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גולמי לחלוקה בין הספריות\מודלים לפרסום 2025\"/>
    </mc:Choice>
  </mc:AlternateContent>
  <xr:revisionPtr revIDLastSave="0" documentId="13_ncr:1_{11B83324-130E-45A1-9406-C6C46C9B5166}" xr6:coauthVersionLast="47" xr6:coauthVersionMax="47" xr10:uidLastSave="{00000000-0000-0000-0000-000000000000}"/>
  <bookViews>
    <workbookView xWindow="-120" yWindow="-120" windowWidth="29040" windowHeight="15720" firstSheet="20" activeTab="24" xr2:uid="{00000000-000D-0000-FFFF-FFFF00000000}"/>
  </bookViews>
  <sheets>
    <sheet name="ProtectSettings" sheetId="261" state="veryHidden" r:id="rId1"/>
    <sheet name="הדרכה למשתמש" sheetId="267" r:id="rId2"/>
    <sheet name="פרמטרים" sheetId="187" r:id="rId3"/>
    <sheet name="תנאי סף - כלליים" sheetId="264" r:id="rId4"/>
    <sheet name="הוראת שעה" sheetId="266" state="hidden" r:id="rId5"/>
    <sheet name="סיווג" sheetId="258" r:id="rId6"/>
    <sheet name="הרצות" sheetId="190" r:id="rId7"/>
    <sheet name="רקדנים ומבצעים" sheetId="189" r:id="rId8"/>
    <sheet name="מיקום ההרצות" sheetId="242" r:id="rId9"/>
    <sheet name="הכנסות עצמיות" sheetId="237" r:id="rId10"/>
    <sheet name="רמה אומנותית" sheetId="239" r:id="rId11"/>
    <sheet name="התחשיב הבסיסי" sheetId="201" r:id="rId12"/>
    <sheet name="פרמטרים לעקרונות חישוב התמיכה" sheetId="243" r:id="rId13"/>
    <sheet name="מוסדי ותמיכה ממקורות אחרים" sheetId="244" r:id="rId14"/>
    <sheet name="ייצוב" sheetId="245" r:id="rId15"/>
    <sheet name="הגנה" sheetId="246" r:id="rId16"/>
    <sheet name="גירעון - בוטל" sheetId="248" state="hidden" r:id="rId17"/>
    <sheet name="הרכב חברי הוועדה -בוטל" sheetId="249" state="hidden" r:id="rId18"/>
    <sheet name="סיכום" sheetId="251" r:id="rId19"/>
    <sheet name="הגבלה לסכום מבוקש (1)" sheetId="252" r:id="rId20"/>
    <sheet name="קיזוזים בגין איחורים" sheetId="262" r:id="rId21"/>
    <sheet name="קיזוזים- החלטות ועדה" sheetId="263" r:id="rId22"/>
    <sheet name="הגבלה לסכום מבוקש (2)" sheetId="255" r:id="rId23"/>
    <sheet name="סיכום לועדה- הזנת נתונים" sheetId="256" r:id="rId24"/>
    <sheet name="סיכום לועדה - תוצאות" sheetId="257" r:id="rId25"/>
    <sheet name="מרכבה" sheetId="268" state="hidden" r:id="rId26"/>
  </sheets>
  <definedNames>
    <definedName name="_xlnm._FilterDatabase" localSheetId="13" hidden="1">'מוסדי ותמיכה ממקורות אחרים'!$A$20:$S$133</definedName>
    <definedName name="_xlnm._FilterDatabase" localSheetId="25" hidden="1">מרכבה!$A$1:$K$443</definedName>
    <definedName name="_xlnm._FilterDatabase" localSheetId="5" hidden="1">סיווג!$A$20:$GT$132</definedName>
    <definedName name="_xlnm._FilterDatabase" localSheetId="23" hidden="1">'סיכום לועדה- הזנת נתונים'!$B$20:$AL$133</definedName>
    <definedName name="_xlnm._FilterDatabase" localSheetId="24" hidden="1">'סיכום לועדה - תוצאות'!$B$20:$V$133</definedName>
    <definedName name="a" localSheetId="16">#REF!</definedName>
    <definedName name="a" localSheetId="22">#REF!</definedName>
    <definedName name="a" localSheetId="1">#REF!</definedName>
    <definedName name="a" localSheetId="9">#REF!</definedName>
    <definedName name="a" localSheetId="17">#REF!</definedName>
    <definedName name="a" localSheetId="8">#REF!</definedName>
    <definedName name="a" localSheetId="25">#REF!</definedName>
    <definedName name="a" localSheetId="5">#REF!</definedName>
    <definedName name="a" localSheetId="18">#REF!</definedName>
    <definedName name="a" localSheetId="24">#REF!</definedName>
    <definedName name="a" localSheetId="12">#REF!</definedName>
    <definedName name="a" localSheetId="10">#REF!</definedName>
    <definedName name="a">#REF!</definedName>
    <definedName name="aa" localSheetId="25">#REF!</definedName>
    <definedName name="aa" localSheetId="5">#REF!</definedName>
    <definedName name="aa" localSheetId="12">#REF!</definedName>
    <definedName name="aa">#REF!</definedName>
    <definedName name="b" localSheetId="16">#REF!</definedName>
    <definedName name="b" localSheetId="9">#REF!</definedName>
    <definedName name="b" localSheetId="8">#REF!</definedName>
    <definedName name="b" localSheetId="25">#REF!</definedName>
    <definedName name="b" localSheetId="5">#REF!</definedName>
    <definedName name="b" localSheetId="12">#REF!</definedName>
    <definedName name="b" localSheetId="10">#REF!</definedName>
    <definedName name="b">#REF!</definedName>
    <definedName name="DDDD" localSheetId="16">#REF!</definedName>
    <definedName name="DDDD" localSheetId="9">#REF!</definedName>
    <definedName name="DDDD" localSheetId="8">#REF!</definedName>
    <definedName name="DDDD" localSheetId="25">#REF!</definedName>
    <definedName name="DDDD" localSheetId="5">#REF!</definedName>
    <definedName name="DDDD" localSheetId="12">#REF!</definedName>
    <definedName name="DDDD" localSheetId="10">#REF!</definedName>
    <definedName name="DDDD">#REF!</definedName>
    <definedName name="ee" localSheetId="16">#REF!</definedName>
    <definedName name="ee" localSheetId="9">#REF!</definedName>
    <definedName name="ee" localSheetId="25">#REF!</definedName>
    <definedName name="ee" localSheetId="5">#REF!</definedName>
    <definedName name="ee" localSheetId="10">#REF!</definedName>
    <definedName name="ee">#REF!</definedName>
    <definedName name="ngf" localSheetId="25">#REF!</definedName>
    <definedName name="ngf">#REF!</definedName>
    <definedName name="OLE_LINK1" localSheetId="2">פרמטרים!$E$2</definedName>
    <definedName name="solver_adj" localSheetId="14" hidden="1">ייצוב!#REF!</definedName>
    <definedName name="solver_cvg" localSheetId="14" hidden="1">0.0001</definedName>
    <definedName name="solver_drv" localSheetId="14" hidden="1">1</definedName>
    <definedName name="solver_est" localSheetId="14" hidden="1">1</definedName>
    <definedName name="solver_itr" localSheetId="14" hidden="1">100</definedName>
    <definedName name="solver_lhs1" localSheetId="14" hidden="1">ייצוב!#REF!</definedName>
    <definedName name="solver_lhs2" localSheetId="14" hidden="1">ייצוב!#REF!</definedName>
    <definedName name="solver_lhs3" localSheetId="14" hidden="1">ייצוב!#REF!</definedName>
    <definedName name="solver_lin" localSheetId="14" hidden="1">2</definedName>
    <definedName name="solver_neg" localSheetId="14" hidden="1">1</definedName>
    <definedName name="solver_num" localSheetId="14" hidden="1">3</definedName>
    <definedName name="solver_nwt" localSheetId="14" hidden="1">1</definedName>
    <definedName name="solver_opt" localSheetId="14" hidden="1">ייצוב!#REF!</definedName>
    <definedName name="solver_pre" localSheetId="14" hidden="1">0.000001</definedName>
    <definedName name="solver_rel1" localSheetId="14" hidden="1">3</definedName>
    <definedName name="solver_rel2" localSheetId="14" hidden="1">3</definedName>
    <definedName name="solver_rel3" localSheetId="14" hidden="1">3</definedName>
    <definedName name="solver_rhs1" localSheetId="14" hidden="1">0.8*AVERAGE(ייצוב!#REF!,ייצוב!#REF!)</definedName>
    <definedName name="solver_rhs2" localSheetId="14" hidden="1">0.8*AVERAGE(ייצוב!#REF!,ייצוב!#REF!)</definedName>
    <definedName name="solver_rhs3" localSheetId="14" hidden="1">0.8*AVERAGE(ייצוב!#REF!,ייצוב!#REF!)</definedName>
    <definedName name="solver_scl" localSheetId="14" hidden="1">2</definedName>
    <definedName name="solver_sho" localSheetId="14" hidden="1">2</definedName>
    <definedName name="solver_tim" localSheetId="14" hidden="1">100</definedName>
    <definedName name="solver_tol" localSheetId="14" hidden="1">0.05</definedName>
    <definedName name="solver_typ" localSheetId="14" hidden="1">3</definedName>
    <definedName name="solver_val" localSheetId="14" hidden="1">1</definedName>
    <definedName name="_xlnm.Print_Area" localSheetId="16">'גירעון - בוטל'!$B$1:$S$121</definedName>
    <definedName name="_xlnm.Print_Area" localSheetId="19">'הגבלה לסכום מבוקש (1)'!$B$1:$V$133</definedName>
    <definedName name="_xlnm.Print_Area" localSheetId="22">'הגבלה לסכום מבוקש (2)'!$B$1:$X$133</definedName>
    <definedName name="_xlnm.Print_Area" localSheetId="15">הגנה!$B$1:$AV$133</definedName>
    <definedName name="_xlnm.Print_Area" localSheetId="1">'הדרכה למשתמש'!$B$1:$H$18</definedName>
    <definedName name="_xlnm.Print_Area" localSheetId="9">'הכנסות עצמיות'!$A$1:$H$121</definedName>
    <definedName name="_xlnm.Print_Area" localSheetId="17">'הרכב חברי הוועדה -בוטל'!$B$1:$K$120</definedName>
    <definedName name="_xlnm.Print_Area" localSheetId="6">הרצות!$B$1:$G$121</definedName>
    <definedName name="_xlnm.Print_Area" localSheetId="11">'התחשיב הבסיסי'!$B$1:$X$119</definedName>
    <definedName name="_xlnm.Print_Area" localSheetId="14">ייצוב!$B$1:$L$133</definedName>
    <definedName name="_xlnm.Print_Area" localSheetId="13">'מוסדי ותמיכה ממקורות אחרים'!$A$1:$K$133</definedName>
    <definedName name="_xlnm.Print_Area" localSheetId="8">'מיקום ההרצות'!$A$2:$M$125</definedName>
    <definedName name="_xlnm.Print_Area" localSheetId="18">סיכום!$B$1:$K$133</definedName>
    <definedName name="_xlnm.Print_Area" localSheetId="23">'סיכום לועדה- הזנת נתונים'!$B$1:$U$133</definedName>
    <definedName name="_xlnm.Print_Area" localSheetId="24">'סיכום לועדה - תוצאות'!$B$1:$U$133</definedName>
    <definedName name="_xlnm.Print_Area" localSheetId="12">'פרמטרים לעקרונות חישוב התמיכה'!$B$1:$G$46</definedName>
    <definedName name="_xlnm.Print_Area" localSheetId="21">'קיזוזים- החלטות ועדה'!$B$1:$G$143</definedName>
    <definedName name="_xlnm.Print_Area" localSheetId="20">'קיזוזים בגין איחורים'!$B$1:$H$143</definedName>
    <definedName name="_xlnm.Print_Area" localSheetId="10">'רמה אומנותית'!$A$1:$H$131</definedName>
    <definedName name="_xlnm.Print_Area" localSheetId="7">'רקדנים ומבצעים'!$A$1:$I$121</definedName>
    <definedName name="_xlnm.Print_Titles" localSheetId="19">'הגבלה לסכום מבוקש (1)'!$19:$20</definedName>
    <definedName name="_xlnm.Print_Titles" localSheetId="22">'הגבלה לסכום מבוקש (2)'!$19:$20</definedName>
    <definedName name="_xlnm.Print_Titles" localSheetId="15">הגנה!$19:$20</definedName>
    <definedName name="_xlnm.Print_Titles" localSheetId="17">'הרכב חברי הוועדה -בוטל'!$20:$20</definedName>
    <definedName name="_xlnm.Print_Titles" localSheetId="14">ייצוב!$19:$20</definedName>
    <definedName name="_xlnm.Print_Titles" localSheetId="13">'מוסדי ותמיכה ממקורות אחרים'!$19:$20</definedName>
    <definedName name="_xlnm.Print_Titles" localSheetId="21">'קיזוזים- החלטות ועדה'!$29:$30</definedName>
    <definedName name="_xlnm.Print_Titles" localSheetId="20">'קיזוזים בגין איחורים'!$29:$30</definedName>
    <definedName name="_xlnm.Print_Titles" localSheetId="3">'תנאי סף - כלליים'!$29:$30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9" i="187" l="1"/>
  <c r="G9" i="187"/>
  <c r="H8" i="187"/>
  <c r="G8" i="187"/>
  <c r="AC98" i="258"/>
  <c r="AD98" i="258"/>
  <c r="AE98" i="258"/>
  <c r="AF98" i="258"/>
  <c r="AG98" i="258"/>
  <c r="AH98" i="258"/>
  <c r="AC99" i="258"/>
  <c r="AD99" i="258"/>
  <c r="AE99" i="258"/>
  <c r="AF99" i="258"/>
  <c r="AG99" i="258"/>
  <c r="AH99" i="258"/>
  <c r="AC100" i="258"/>
  <c r="AD100" i="258"/>
  <c r="AE100" i="258"/>
  <c r="AF100" i="258"/>
  <c r="AG100" i="258"/>
  <c r="AH100" i="258"/>
  <c r="AC101" i="258"/>
  <c r="AD101" i="258"/>
  <c r="AE101" i="258"/>
  <c r="AF101" i="258"/>
  <c r="AG101" i="258"/>
  <c r="AH101" i="258"/>
  <c r="AC102" i="258"/>
  <c r="AD102" i="258"/>
  <c r="AE102" i="258"/>
  <c r="AF102" i="258"/>
  <c r="AG102" i="258"/>
  <c r="AH102" i="258"/>
  <c r="O22" i="256"/>
  <c r="O23" i="256"/>
  <c r="O24" i="256"/>
  <c r="O25" i="256"/>
  <c r="O26" i="256"/>
  <c r="O27" i="256"/>
  <c r="O28" i="256"/>
  <c r="O29" i="256"/>
  <c r="O30" i="256"/>
  <c r="O31" i="256"/>
  <c r="O32" i="256"/>
  <c r="O33" i="256"/>
  <c r="O34" i="256"/>
  <c r="O35" i="256"/>
  <c r="O36" i="256"/>
  <c r="O37" i="256"/>
  <c r="O38" i="256"/>
  <c r="O39" i="256"/>
  <c r="O40" i="256"/>
  <c r="O41" i="256"/>
  <c r="O42" i="256"/>
  <c r="O43" i="256"/>
  <c r="O44" i="256"/>
  <c r="O45" i="256"/>
  <c r="O46" i="256"/>
  <c r="O47" i="256"/>
  <c r="O48" i="256"/>
  <c r="O49" i="256"/>
  <c r="O50" i="256"/>
  <c r="O51" i="256"/>
  <c r="O52" i="256"/>
  <c r="O53" i="256"/>
  <c r="O54" i="256"/>
  <c r="O55" i="256"/>
  <c r="O56" i="256"/>
  <c r="O57" i="256"/>
  <c r="O58" i="256"/>
  <c r="O59" i="256"/>
  <c r="O60" i="256"/>
  <c r="O61" i="256"/>
  <c r="O62" i="256"/>
  <c r="O63" i="256"/>
  <c r="O64" i="256"/>
  <c r="O65" i="256"/>
  <c r="O66" i="256"/>
  <c r="O67" i="256"/>
  <c r="O68" i="256"/>
  <c r="O69" i="256"/>
  <c r="O70" i="256"/>
  <c r="O71" i="256"/>
  <c r="O72" i="256"/>
  <c r="O73" i="256"/>
  <c r="O74" i="256"/>
  <c r="O75" i="256"/>
  <c r="O76" i="256"/>
  <c r="O77" i="256"/>
  <c r="O78" i="256"/>
  <c r="O79" i="256"/>
  <c r="O80" i="256"/>
  <c r="O81" i="256"/>
  <c r="O82" i="256"/>
  <c r="O83" i="256"/>
  <c r="O84" i="256"/>
  <c r="O85" i="256"/>
  <c r="O86" i="256"/>
  <c r="O87" i="256"/>
  <c r="O88" i="256"/>
  <c r="O89" i="256"/>
  <c r="O90" i="256"/>
  <c r="O91" i="256"/>
  <c r="O92" i="256"/>
  <c r="O93" i="256"/>
  <c r="O94" i="256"/>
  <c r="O95" i="256"/>
  <c r="O96" i="256"/>
  <c r="O97" i="256"/>
  <c r="O98" i="256"/>
  <c r="O99" i="256"/>
  <c r="O100" i="256"/>
  <c r="O101" i="256"/>
  <c r="O102" i="256"/>
  <c r="O103" i="256"/>
  <c r="O104" i="256"/>
  <c r="O105" i="256"/>
  <c r="O106" i="256"/>
  <c r="O107" i="256"/>
  <c r="O108" i="256"/>
  <c r="O109" i="256"/>
  <c r="O110" i="256"/>
  <c r="O111" i="256"/>
  <c r="O112" i="256"/>
  <c r="O113" i="256"/>
  <c r="O114" i="256"/>
  <c r="O115" i="256"/>
  <c r="O116" i="256"/>
  <c r="O117" i="256"/>
  <c r="O118" i="256"/>
  <c r="O119" i="256"/>
  <c r="O120" i="256"/>
  <c r="O121" i="256"/>
  <c r="O122" i="256"/>
  <c r="O123" i="256"/>
  <c r="O124" i="256"/>
  <c r="O125" i="256"/>
  <c r="O126" i="256"/>
  <c r="O127" i="256"/>
  <c r="O128" i="256"/>
  <c r="O129" i="256"/>
  <c r="O130" i="256"/>
  <c r="O131" i="256"/>
  <c r="O132" i="256"/>
  <c r="O21" i="256"/>
  <c r="Z133" i="264"/>
  <c r="Z131" i="264"/>
  <c r="Z124" i="264"/>
  <c r="Z114" i="264"/>
  <c r="Z110" i="264"/>
  <c r="U22" i="257" l="1"/>
  <c r="U23" i="257"/>
  <c r="U24" i="257"/>
  <c r="U25" i="257"/>
  <c r="U26" i="257"/>
  <c r="U27" i="257"/>
  <c r="U28" i="257"/>
  <c r="U29" i="257"/>
  <c r="U30" i="257"/>
  <c r="U31" i="257"/>
  <c r="U32" i="257"/>
  <c r="U33" i="257"/>
  <c r="U34" i="257"/>
  <c r="U35" i="257"/>
  <c r="U36" i="257"/>
  <c r="U37" i="257"/>
  <c r="U38" i="257"/>
  <c r="U39" i="257"/>
  <c r="U40" i="257"/>
  <c r="U41" i="257"/>
  <c r="U42" i="257"/>
  <c r="U43" i="257"/>
  <c r="U44" i="257"/>
  <c r="U45" i="257"/>
  <c r="U46" i="257"/>
  <c r="U47" i="257"/>
  <c r="U48" i="257"/>
  <c r="U49" i="257"/>
  <c r="U50" i="257"/>
  <c r="U51" i="257"/>
  <c r="U52" i="257"/>
  <c r="U53" i="257"/>
  <c r="U54" i="257"/>
  <c r="U55" i="257"/>
  <c r="U56" i="257"/>
  <c r="U57" i="257"/>
  <c r="U58" i="257"/>
  <c r="U59" i="257"/>
  <c r="U60" i="257"/>
  <c r="U61" i="257"/>
  <c r="U62" i="257"/>
  <c r="U63" i="257"/>
  <c r="U64" i="257"/>
  <c r="U65" i="257"/>
  <c r="U66" i="257"/>
  <c r="U67" i="257"/>
  <c r="U68" i="257"/>
  <c r="U69" i="257"/>
  <c r="U70" i="257"/>
  <c r="U71" i="257"/>
  <c r="U72" i="257"/>
  <c r="U73" i="257"/>
  <c r="U74" i="257"/>
  <c r="U75" i="257"/>
  <c r="U76" i="257"/>
  <c r="U77" i="257"/>
  <c r="U78" i="257"/>
  <c r="U79" i="257"/>
  <c r="U80" i="257"/>
  <c r="U81" i="257"/>
  <c r="U82" i="257"/>
  <c r="U83" i="257"/>
  <c r="U84" i="257"/>
  <c r="U85" i="257"/>
  <c r="U86" i="257"/>
  <c r="U87" i="257"/>
  <c r="U88" i="257"/>
  <c r="U89" i="257"/>
  <c r="U90" i="257"/>
  <c r="U91" i="257"/>
  <c r="U92" i="257"/>
  <c r="U93" i="257"/>
  <c r="U94" i="257"/>
  <c r="U95" i="257"/>
  <c r="U96" i="257"/>
  <c r="U97" i="257"/>
  <c r="U98" i="257"/>
  <c r="U99" i="257"/>
  <c r="U100" i="257"/>
  <c r="U101" i="257"/>
  <c r="U102" i="257"/>
  <c r="U103" i="257"/>
  <c r="U104" i="257"/>
  <c r="U105" i="257"/>
  <c r="U106" i="257"/>
  <c r="U107" i="257"/>
  <c r="U108" i="257"/>
  <c r="U109" i="257"/>
  <c r="U110" i="257"/>
  <c r="U111" i="257"/>
  <c r="U112" i="257"/>
  <c r="U113" i="257"/>
  <c r="U114" i="257"/>
  <c r="U115" i="257"/>
  <c r="U116" i="257"/>
  <c r="U117" i="257"/>
  <c r="U118" i="257"/>
  <c r="U119" i="257"/>
  <c r="U120" i="257"/>
  <c r="U121" i="257"/>
  <c r="U122" i="257"/>
  <c r="U123" i="257"/>
  <c r="U124" i="257"/>
  <c r="U125" i="257"/>
  <c r="U126" i="257"/>
  <c r="U127" i="257"/>
  <c r="U128" i="257"/>
  <c r="U129" i="257"/>
  <c r="U130" i="257"/>
  <c r="U131" i="257"/>
  <c r="U132" i="257"/>
  <c r="U21" i="257"/>
  <c r="U20" i="257"/>
  <c r="T132" i="257"/>
  <c r="F132" i="257"/>
  <c r="E132" i="257"/>
  <c r="D132" i="257"/>
  <c r="T131" i="257"/>
  <c r="F131" i="257"/>
  <c r="E131" i="257"/>
  <c r="D131" i="257"/>
  <c r="T130" i="257"/>
  <c r="F130" i="257"/>
  <c r="E130" i="257"/>
  <c r="D130" i="257"/>
  <c r="T129" i="257"/>
  <c r="F129" i="257"/>
  <c r="E129" i="257"/>
  <c r="D129" i="257"/>
  <c r="T128" i="257"/>
  <c r="F128" i="257"/>
  <c r="E128" i="257"/>
  <c r="D128" i="257"/>
  <c r="T127" i="257"/>
  <c r="F127" i="257"/>
  <c r="E127" i="257"/>
  <c r="D127" i="257"/>
  <c r="T126" i="257"/>
  <c r="F126" i="257"/>
  <c r="E126" i="257"/>
  <c r="D126" i="257"/>
  <c r="T125" i="257"/>
  <c r="F125" i="257"/>
  <c r="E125" i="257"/>
  <c r="D125" i="257"/>
  <c r="T124" i="257"/>
  <c r="F124" i="257"/>
  <c r="E124" i="257"/>
  <c r="D124" i="257"/>
  <c r="T123" i="257"/>
  <c r="F123" i="257"/>
  <c r="E123" i="257"/>
  <c r="D123" i="257"/>
  <c r="T122" i="257"/>
  <c r="F122" i="257"/>
  <c r="E122" i="257"/>
  <c r="D122" i="257"/>
  <c r="T121" i="257"/>
  <c r="F121" i="257"/>
  <c r="E121" i="257"/>
  <c r="D121" i="257"/>
  <c r="T120" i="257"/>
  <c r="F120" i="257"/>
  <c r="E120" i="257"/>
  <c r="D120" i="257"/>
  <c r="T119" i="257"/>
  <c r="F119" i="257"/>
  <c r="E119" i="257"/>
  <c r="D119" i="257"/>
  <c r="T118" i="257"/>
  <c r="F118" i="257"/>
  <c r="E118" i="257"/>
  <c r="D118" i="257"/>
  <c r="T117" i="257"/>
  <c r="F117" i="257"/>
  <c r="E117" i="257"/>
  <c r="D117" i="257"/>
  <c r="T116" i="257"/>
  <c r="F116" i="257"/>
  <c r="E116" i="257"/>
  <c r="D116" i="257"/>
  <c r="T115" i="257"/>
  <c r="F115" i="257"/>
  <c r="E115" i="257"/>
  <c r="D115" i="257"/>
  <c r="T114" i="257"/>
  <c r="F114" i="257"/>
  <c r="E114" i="257"/>
  <c r="D114" i="257"/>
  <c r="T113" i="257"/>
  <c r="F113" i="257"/>
  <c r="E113" i="257"/>
  <c r="D113" i="257"/>
  <c r="T112" i="257"/>
  <c r="F112" i="257"/>
  <c r="E112" i="257"/>
  <c r="D112" i="257"/>
  <c r="T111" i="257"/>
  <c r="F111" i="257"/>
  <c r="E111" i="257"/>
  <c r="D111" i="257"/>
  <c r="T110" i="257"/>
  <c r="F110" i="257"/>
  <c r="E110" i="257"/>
  <c r="D110" i="257"/>
  <c r="T109" i="257"/>
  <c r="F109" i="257"/>
  <c r="E109" i="257"/>
  <c r="D109" i="257"/>
  <c r="T108" i="257"/>
  <c r="F108" i="257"/>
  <c r="E108" i="257"/>
  <c r="D108" i="257"/>
  <c r="T107" i="257"/>
  <c r="F107" i="257"/>
  <c r="E107" i="257"/>
  <c r="D107" i="257"/>
  <c r="T106" i="257"/>
  <c r="F106" i="257"/>
  <c r="E106" i="257"/>
  <c r="D106" i="257"/>
  <c r="T105" i="257"/>
  <c r="F105" i="257"/>
  <c r="E105" i="257"/>
  <c r="D105" i="257"/>
  <c r="T104" i="257"/>
  <c r="F104" i="257"/>
  <c r="E104" i="257"/>
  <c r="D104" i="257"/>
  <c r="T103" i="257"/>
  <c r="F103" i="257"/>
  <c r="E103" i="257"/>
  <c r="D103" i="257"/>
  <c r="T102" i="257"/>
  <c r="F102" i="257"/>
  <c r="E102" i="257"/>
  <c r="D102" i="257"/>
  <c r="T101" i="257"/>
  <c r="F101" i="257"/>
  <c r="E101" i="257"/>
  <c r="D101" i="257"/>
  <c r="T100" i="257"/>
  <c r="F100" i="257"/>
  <c r="E100" i="257"/>
  <c r="D100" i="257"/>
  <c r="T99" i="257"/>
  <c r="F99" i="257"/>
  <c r="E99" i="257"/>
  <c r="D99" i="257"/>
  <c r="T98" i="257"/>
  <c r="F98" i="257"/>
  <c r="E98" i="257"/>
  <c r="D98" i="257"/>
  <c r="T97" i="257"/>
  <c r="F97" i="257"/>
  <c r="E97" i="257"/>
  <c r="D97" i="257"/>
  <c r="T96" i="257"/>
  <c r="F96" i="257"/>
  <c r="E96" i="257"/>
  <c r="D96" i="257"/>
  <c r="T95" i="257"/>
  <c r="F95" i="257"/>
  <c r="E95" i="257"/>
  <c r="D95" i="257"/>
  <c r="T94" i="257"/>
  <c r="F94" i="257"/>
  <c r="E94" i="257"/>
  <c r="D94" i="257"/>
  <c r="T93" i="257"/>
  <c r="F93" i="257"/>
  <c r="E93" i="257"/>
  <c r="D93" i="257"/>
  <c r="T92" i="257"/>
  <c r="F92" i="257"/>
  <c r="E92" i="257"/>
  <c r="D92" i="257"/>
  <c r="T91" i="257"/>
  <c r="F91" i="257"/>
  <c r="E91" i="257"/>
  <c r="D91" i="257"/>
  <c r="T90" i="257"/>
  <c r="F90" i="257"/>
  <c r="E90" i="257"/>
  <c r="D90" i="257"/>
  <c r="T89" i="257"/>
  <c r="F89" i="257"/>
  <c r="E89" i="257"/>
  <c r="D89" i="257"/>
  <c r="T88" i="257"/>
  <c r="F88" i="257"/>
  <c r="E88" i="257"/>
  <c r="D88" i="257"/>
  <c r="T87" i="257"/>
  <c r="F87" i="257"/>
  <c r="E87" i="257"/>
  <c r="D87" i="257"/>
  <c r="T86" i="257"/>
  <c r="F86" i="257"/>
  <c r="E86" i="257"/>
  <c r="D86" i="257"/>
  <c r="T85" i="257"/>
  <c r="F85" i="257"/>
  <c r="E85" i="257"/>
  <c r="D85" i="257"/>
  <c r="T84" i="257"/>
  <c r="F84" i="257"/>
  <c r="E84" i="257"/>
  <c r="D84" i="257"/>
  <c r="T83" i="257"/>
  <c r="F83" i="257"/>
  <c r="E83" i="257"/>
  <c r="D83" i="257"/>
  <c r="T82" i="257"/>
  <c r="F82" i="257"/>
  <c r="E82" i="257"/>
  <c r="D82" i="257"/>
  <c r="T81" i="257"/>
  <c r="F81" i="257"/>
  <c r="E81" i="257"/>
  <c r="D81" i="257"/>
  <c r="T80" i="257"/>
  <c r="F80" i="257"/>
  <c r="E80" i="257"/>
  <c r="D80" i="257"/>
  <c r="T79" i="257"/>
  <c r="F79" i="257"/>
  <c r="E79" i="257"/>
  <c r="D79" i="257"/>
  <c r="T78" i="257"/>
  <c r="F78" i="257"/>
  <c r="E78" i="257"/>
  <c r="D78" i="257"/>
  <c r="T77" i="257"/>
  <c r="F77" i="257"/>
  <c r="E77" i="257"/>
  <c r="D77" i="257"/>
  <c r="T76" i="257"/>
  <c r="F76" i="257"/>
  <c r="E76" i="257"/>
  <c r="D76" i="257"/>
  <c r="T75" i="257"/>
  <c r="F75" i="257"/>
  <c r="E75" i="257"/>
  <c r="D75" i="257"/>
  <c r="T74" i="257"/>
  <c r="F74" i="257"/>
  <c r="E74" i="257"/>
  <c r="D74" i="257"/>
  <c r="T73" i="257"/>
  <c r="F73" i="257"/>
  <c r="E73" i="257"/>
  <c r="D73" i="257"/>
  <c r="T72" i="257"/>
  <c r="F72" i="257"/>
  <c r="E72" i="257"/>
  <c r="D72" i="257"/>
  <c r="T71" i="257"/>
  <c r="F71" i="257"/>
  <c r="E71" i="257"/>
  <c r="D71" i="257"/>
  <c r="T70" i="257"/>
  <c r="F70" i="257"/>
  <c r="E70" i="257"/>
  <c r="D70" i="257"/>
  <c r="T69" i="257"/>
  <c r="F69" i="257"/>
  <c r="E69" i="257"/>
  <c r="D69" i="257"/>
  <c r="T68" i="257"/>
  <c r="F68" i="257"/>
  <c r="E68" i="257"/>
  <c r="D68" i="257"/>
  <c r="T67" i="257"/>
  <c r="F67" i="257"/>
  <c r="E67" i="257"/>
  <c r="D67" i="257"/>
  <c r="T66" i="257"/>
  <c r="F66" i="257"/>
  <c r="E66" i="257"/>
  <c r="D66" i="257"/>
  <c r="T65" i="257"/>
  <c r="F65" i="257"/>
  <c r="E65" i="257"/>
  <c r="D65" i="257"/>
  <c r="T64" i="257"/>
  <c r="F64" i="257"/>
  <c r="E64" i="257"/>
  <c r="D64" i="257"/>
  <c r="T63" i="257"/>
  <c r="F63" i="257"/>
  <c r="E63" i="257"/>
  <c r="D63" i="257"/>
  <c r="T62" i="257"/>
  <c r="F62" i="257"/>
  <c r="E62" i="257"/>
  <c r="D62" i="257"/>
  <c r="T61" i="257"/>
  <c r="F61" i="257"/>
  <c r="E61" i="257"/>
  <c r="D61" i="257"/>
  <c r="T60" i="257"/>
  <c r="F60" i="257"/>
  <c r="E60" i="257"/>
  <c r="D60" i="257"/>
  <c r="T59" i="257"/>
  <c r="F59" i="257"/>
  <c r="E59" i="257"/>
  <c r="D59" i="257"/>
  <c r="T58" i="257"/>
  <c r="F58" i="257"/>
  <c r="E58" i="257"/>
  <c r="D58" i="257"/>
  <c r="T57" i="257"/>
  <c r="F57" i="257"/>
  <c r="E57" i="257"/>
  <c r="D57" i="257"/>
  <c r="T56" i="257"/>
  <c r="F56" i="257"/>
  <c r="E56" i="257"/>
  <c r="D56" i="257"/>
  <c r="T55" i="257"/>
  <c r="F55" i="257"/>
  <c r="E55" i="257"/>
  <c r="D55" i="257"/>
  <c r="T54" i="257"/>
  <c r="F54" i="257"/>
  <c r="E54" i="257"/>
  <c r="D54" i="257"/>
  <c r="T53" i="257"/>
  <c r="F53" i="257"/>
  <c r="E53" i="257"/>
  <c r="D53" i="257"/>
  <c r="T52" i="257"/>
  <c r="F52" i="257"/>
  <c r="E52" i="257"/>
  <c r="D52" i="257"/>
  <c r="T51" i="257"/>
  <c r="F51" i="257"/>
  <c r="E51" i="257"/>
  <c r="D51" i="257"/>
  <c r="T50" i="257"/>
  <c r="F50" i="257"/>
  <c r="E50" i="257"/>
  <c r="D50" i="257"/>
  <c r="T49" i="257"/>
  <c r="F49" i="257"/>
  <c r="E49" i="257"/>
  <c r="D49" i="257"/>
  <c r="T48" i="257"/>
  <c r="F48" i="257"/>
  <c r="E48" i="257"/>
  <c r="D48" i="257"/>
  <c r="T47" i="257"/>
  <c r="F47" i="257"/>
  <c r="E47" i="257"/>
  <c r="D47" i="257"/>
  <c r="T46" i="257"/>
  <c r="F46" i="257"/>
  <c r="E46" i="257"/>
  <c r="D46" i="257"/>
  <c r="T45" i="257"/>
  <c r="F45" i="257"/>
  <c r="E45" i="257"/>
  <c r="D45" i="257"/>
  <c r="T44" i="257"/>
  <c r="F44" i="257"/>
  <c r="E44" i="257"/>
  <c r="D44" i="257"/>
  <c r="T43" i="257"/>
  <c r="F43" i="257"/>
  <c r="E43" i="257"/>
  <c r="D43" i="257"/>
  <c r="T42" i="257"/>
  <c r="F42" i="257"/>
  <c r="E42" i="257"/>
  <c r="D42" i="257"/>
  <c r="T41" i="257"/>
  <c r="F41" i="257"/>
  <c r="E41" i="257"/>
  <c r="D41" i="257"/>
  <c r="T40" i="257"/>
  <c r="F40" i="257"/>
  <c r="E40" i="257"/>
  <c r="D40" i="257"/>
  <c r="T39" i="257"/>
  <c r="F39" i="257"/>
  <c r="E39" i="257"/>
  <c r="D39" i="257"/>
  <c r="T38" i="257"/>
  <c r="F38" i="257"/>
  <c r="E38" i="257"/>
  <c r="D38" i="257"/>
  <c r="T37" i="257"/>
  <c r="F37" i="257"/>
  <c r="E37" i="257"/>
  <c r="D37" i="257"/>
  <c r="T36" i="257"/>
  <c r="F36" i="257"/>
  <c r="E36" i="257"/>
  <c r="D36" i="257"/>
  <c r="T35" i="257"/>
  <c r="F35" i="257"/>
  <c r="E35" i="257"/>
  <c r="D35" i="257"/>
  <c r="T34" i="257"/>
  <c r="F34" i="257"/>
  <c r="E34" i="257"/>
  <c r="D34" i="257"/>
  <c r="T33" i="257"/>
  <c r="F33" i="257"/>
  <c r="E33" i="257"/>
  <c r="D33" i="257"/>
  <c r="T32" i="257"/>
  <c r="F32" i="257"/>
  <c r="E32" i="257"/>
  <c r="D32" i="257"/>
  <c r="T31" i="257"/>
  <c r="F31" i="257"/>
  <c r="E31" i="257"/>
  <c r="D31" i="257"/>
  <c r="T30" i="257"/>
  <c r="F30" i="257"/>
  <c r="E30" i="257"/>
  <c r="D30" i="257"/>
  <c r="T29" i="257"/>
  <c r="F29" i="257"/>
  <c r="E29" i="257"/>
  <c r="D29" i="257"/>
  <c r="T28" i="257"/>
  <c r="F28" i="257"/>
  <c r="E28" i="257"/>
  <c r="D28" i="257"/>
  <c r="T27" i="257"/>
  <c r="F27" i="257"/>
  <c r="E27" i="257"/>
  <c r="D27" i="257"/>
  <c r="T26" i="257"/>
  <c r="F26" i="257"/>
  <c r="E26" i="257"/>
  <c r="D26" i="257"/>
  <c r="T25" i="257"/>
  <c r="F25" i="257"/>
  <c r="E25" i="257"/>
  <c r="D25" i="257"/>
  <c r="T24" i="257"/>
  <c r="F24" i="257"/>
  <c r="E24" i="257"/>
  <c r="D24" i="257"/>
  <c r="T23" i="257"/>
  <c r="F23" i="257"/>
  <c r="E23" i="257"/>
  <c r="D23" i="257"/>
  <c r="T22" i="257"/>
  <c r="F22" i="257"/>
  <c r="E22" i="257"/>
  <c r="D22" i="257"/>
  <c r="T21" i="257"/>
  <c r="F21" i="257"/>
  <c r="E21" i="257"/>
  <c r="D21" i="257"/>
  <c r="T20" i="257"/>
  <c r="S20" i="257"/>
  <c r="R20" i="257"/>
  <c r="Q20" i="257"/>
  <c r="P20" i="257"/>
  <c r="O20" i="257"/>
  <c r="N20" i="257"/>
  <c r="M20" i="257"/>
  <c r="L20" i="257"/>
  <c r="K20" i="257"/>
  <c r="J20" i="257"/>
  <c r="I20" i="257"/>
  <c r="H20" i="257"/>
  <c r="G20" i="257"/>
  <c r="F20" i="257"/>
  <c r="E20" i="257"/>
  <c r="D20" i="257"/>
  <c r="N22" i="256"/>
  <c r="N23" i="256"/>
  <c r="O23" i="257"/>
  <c r="N24" i="256"/>
  <c r="O24" i="257"/>
  <c r="N25" i="256"/>
  <c r="O25" i="257"/>
  <c r="N26" i="256"/>
  <c r="O26" i="257"/>
  <c r="N27" i="256"/>
  <c r="O27" i="257"/>
  <c r="N28" i="256"/>
  <c r="O28" i="257"/>
  <c r="N29" i="256"/>
  <c r="O29" i="257"/>
  <c r="N30" i="256"/>
  <c r="O30" i="257"/>
  <c r="N31" i="256"/>
  <c r="O31" i="257"/>
  <c r="N32" i="256"/>
  <c r="O32" i="257"/>
  <c r="N33" i="256"/>
  <c r="O33" i="257"/>
  <c r="N34" i="256"/>
  <c r="O34" i="257"/>
  <c r="N35" i="256"/>
  <c r="O35" i="257"/>
  <c r="N36" i="256"/>
  <c r="O36" i="257"/>
  <c r="N37" i="256"/>
  <c r="O37" i="257"/>
  <c r="N38" i="256"/>
  <c r="O38" i="257"/>
  <c r="N39" i="256"/>
  <c r="O39" i="257"/>
  <c r="N40" i="256"/>
  <c r="O40" i="257"/>
  <c r="N41" i="256"/>
  <c r="O41" i="257"/>
  <c r="N42" i="256"/>
  <c r="O42" i="257"/>
  <c r="N43" i="256"/>
  <c r="O43" i="257"/>
  <c r="N44" i="256"/>
  <c r="O44" i="257"/>
  <c r="N45" i="256"/>
  <c r="O45" i="257"/>
  <c r="N46" i="256"/>
  <c r="O46" i="257"/>
  <c r="N47" i="256"/>
  <c r="O47" i="257"/>
  <c r="N48" i="256"/>
  <c r="O48" i="257"/>
  <c r="N49" i="256"/>
  <c r="O49" i="257"/>
  <c r="N50" i="256"/>
  <c r="O50" i="257"/>
  <c r="N51" i="256"/>
  <c r="O51" i="257"/>
  <c r="N52" i="256"/>
  <c r="O52" i="257"/>
  <c r="N53" i="256"/>
  <c r="O53" i="257"/>
  <c r="N54" i="256"/>
  <c r="O54" i="257"/>
  <c r="N55" i="256"/>
  <c r="O55" i="257"/>
  <c r="N56" i="256"/>
  <c r="O56" i="257"/>
  <c r="N57" i="256"/>
  <c r="O57" i="257"/>
  <c r="N58" i="256"/>
  <c r="O58" i="257"/>
  <c r="N59" i="256"/>
  <c r="O59" i="257"/>
  <c r="N60" i="256"/>
  <c r="O60" i="257"/>
  <c r="N61" i="256"/>
  <c r="O61" i="257"/>
  <c r="N62" i="256"/>
  <c r="O62" i="257"/>
  <c r="N63" i="256"/>
  <c r="O63" i="257"/>
  <c r="N64" i="256"/>
  <c r="O64" i="257"/>
  <c r="N65" i="256"/>
  <c r="O65" i="257"/>
  <c r="N66" i="256"/>
  <c r="O66" i="257"/>
  <c r="N67" i="256"/>
  <c r="O67" i="257"/>
  <c r="N68" i="256"/>
  <c r="O68" i="257"/>
  <c r="N69" i="256"/>
  <c r="O69" i="257"/>
  <c r="N70" i="256"/>
  <c r="O70" i="257"/>
  <c r="N71" i="256"/>
  <c r="O71" i="257"/>
  <c r="N72" i="256"/>
  <c r="O72" i="257"/>
  <c r="N73" i="256"/>
  <c r="O73" i="257"/>
  <c r="N74" i="256"/>
  <c r="O74" i="257"/>
  <c r="N75" i="256"/>
  <c r="O75" i="257"/>
  <c r="N76" i="256"/>
  <c r="O76" i="257"/>
  <c r="N77" i="256"/>
  <c r="O77" i="257"/>
  <c r="N78" i="256"/>
  <c r="O78" i="257"/>
  <c r="N79" i="256"/>
  <c r="O79" i="257"/>
  <c r="N80" i="256"/>
  <c r="O80" i="257"/>
  <c r="N81" i="256"/>
  <c r="O81" i="257"/>
  <c r="N82" i="256"/>
  <c r="O82" i="257"/>
  <c r="N83" i="256"/>
  <c r="O83" i="257"/>
  <c r="N84" i="256"/>
  <c r="O84" i="257"/>
  <c r="N85" i="256"/>
  <c r="O85" i="257"/>
  <c r="N86" i="256"/>
  <c r="O86" i="257"/>
  <c r="N87" i="256"/>
  <c r="O87" i="257"/>
  <c r="N88" i="256"/>
  <c r="O88" i="257"/>
  <c r="N89" i="256"/>
  <c r="O89" i="257"/>
  <c r="N90" i="256"/>
  <c r="O90" i="257"/>
  <c r="N91" i="256"/>
  <c r="O91" i="257"/>
  <c r="N92" i="256"/>
  <c r="O92" i="257"/>
  <c r="N93" i="256"/>
  <c r="O93" i="257"/>
  <c r="N94" i="256"/>
  <c r="O94" i="257"/>
  <c r="N95" i="256"/>
  <c r="O95" i="257"/>
  <c r="N96" i="256"/>
  <c r="O96" i="257"/>
  <c r="N97" i="256"/>
  <c r="O97" i="257"/>
  <c r="N98" i="256"/>
  <c r="O98" i="257"/>
  <c r="N99" i="256"/>
  <c r="O99" i="257"/>
  <c r="N100" i="256"/>
  <c r="O100" i="257"/>
  <c r="N101" i="256"/>
  <c r="O101" i="257"/>
  <c r="N102" i="256"/>
  <c r="O102" i="257"/>
  <c r="N103" i="256"/>
  <c r="O103" i="257"/>
  <c r="N104" i="256"/>
  <c r="O104" i="257"/>
  <c r="N105" i="256"/>
  <c r="O105" i="257"/>
  <c r="N106" i="256"/>
  <c r="O106" i="257"/>
  <c r="N107" i="256"/>
  <c r="O107" i="257"/>
  <c r="N108" i="256"/>
  <c r="O108" i="257"/>
  <c r="N109" i="256"/>
  <c r="O109" i="257"/>
  <c r="N110" i="256"/>
  <c r="O110" i="257"/>
  <c r="N111" i="256"/>
  <c r="O111" i="257"/>
  <c r="N112" i="256"/>
  <c r="O112" i="257"/>
  <c r="N113" i="256"/>
  <c r="O113" i="257"/>
  <c r="N114" i="256"/>
  <c r="O114" i="257"/>
  <c r="N115" i="256"/>
  <c r="O115" i="257"/>
  <c r="N116" i="256"/>
  <c r="O116" i="257"/>
  <c r="N117" i="256"/>
  <c r="O117" i="257"/>
  <c r="N118" i="256"/>
  <c r="O118" i="257"/>
  <c r="N119" i="256"/>
  <c r="O119" i="257"/>
  <c r="N120" i="256"/>
  <c r="O120" i="257"/>
  <c r="N121" i="256"/>
  <c r="O121" i="257"/>
  <c r="N122" i="256"/>
  <c r="O122" i="257"/>
  <c r="N123" i="256"/>
  <c r="O123" i="257"/>
  <c r="N124" i="256"/>
  <c r="O124" i="257"/>
  <c r="N125" i="256"/>
  <c r="O125" i="257"/>
  <c r="N126" i="256"/>
  <c r="O126" i="257"/>
  <c r="N127" i="256"/>
  <c r="O127" i="257"/>
  <c r="N128" i="256"/>
  <c r="O128" i="257"/>
  <c r="N129" i="256"/>
  <c r="O129" i="257"/>
  <c r="N130" i="256"/>
  <c r="O130" i="257"/>
  <c r="N131" i="256"/>
  <c r="O131" i="257"/>
  <c r="N132" i="256"/>
  <c r="O132" i="257"/>
  <c r="O21" i="257"/>
  <c r="N21" i="256"/>
  <c r="M23" i="256"/>
  <c r="M23" i="257" s="1"/>
  <c r="M24" i="256"/>
  <c r="M24" i="257" s="1"/>
  <c r="M25" i="256"/>
  <c r="M25" i="257" s="1"/>
  <c r="M26" i="256"/>
  <c r="M26" i="257" s="1"/>
  <c r="M27" i="256"/>
  <c r="M27" i="257" s="1"/>
  <c r="M28" i="256"/>
  <c r="M28" i="257" s="1"/>
  <c r="M29" i="256"/>
  <c r="M29" i="257" s="1"/>
  <c r="M30" i="256"/>
  <c r="M30" i="257" s="1"/>
  <c r="M31" i="256"/>
  <c r="M31" i="257" s="1"/>
  <c r="M32" i="256"/>
  <c r="M32" i="257" s="1"/>
  <c r="M33" i="256"/>
  <c r="M33" i="257" s="1"/>
  <c r="M34" i="256"/>
  <c r="M34" i="257" s="1"/>
  <c r="M35" i="256"/>
  <c r="M35" i="257" s="1"/>
  <c r="M36" i="256"/>
  <c r="M36" i="257" s="1"/>
  <c r="M37" i="256"/>
  <c r="M37" i="257" s="1"/>
  <c r="M38" i="256"/>
  <c r="M38" i="257" s="1"/>
  <c r="M39" i="256"/>
  <c r="M39" i="257" s="1"/>
  <c r="M40" i="256"/>
  <c r="M40" i="257" s="1"/>
  <c r="M41" i="256"/>
  <c r="M41" i="257" s="1"/>
  <c r="M42" i="256"/>
  <c r="M42" i="257" s="1"/>
  <c r="M43" i="256"/>
  <c r="M43" i="257" s="1"/>
  <c r="M44" i="256"/>
  <c r="M44" i="257" s="1"/>
  <c r="M45" i="256"/>
  <c r="M45" i="257" s="1"/>
  <c r="M46" i="256"/>
  <c r="M46" i="257" s="1"/>
  <c r="M47" i="256"/>
  <c r="M47" i="257" s="1"/>
  <c r="M48" i="256"/>
  <c r="M48" i="257" s="1"/>
  <c r="M49" i="256"/>
  <c r="M49" i="257" s="1"/>
  <c r="M50" i="256"/>
  <c r="M50" i="257" s="1"/>
  <c r="M51" i="256"/>
  <c r="M51" i="257" s="1"/>
  <c r="M52" i="256"/>
  <c r="M52" i="257" s="1"/>
  <c r="M53" i="256"/>
  <c r="M53" i="257" s="1"/>
  <c r="M54" i="256"/>
  <c r="M54" i="257" s="1"/>
  <c r="M55" i="256"/>
  <c r="M55" i="257" s="1"/>
  <c r="M56" i="256"/>
  <c r="M56" i="257" s="1"/>
  <c r="M57" i="256"/>
  <c r="M57" i="257" s="1"/>
  <c r="M58" i="256"/>
  <c r="M58" i="257" s="1"/>
  <c r="M59" i="256"/>
  <c r="M59" i="257" s="1"/>
  <c r="M60" i="256"/>
  <c r="M60" i="257" s="1"/>
  <c r="M61" i="256"/>
  <c r="M61" i="257" s="1"/>
  <c r="M62" i="256"/>
  <c r="M62" i="257" s="1"/>
  <c r="M63" i="256"/>
  <c r="M63" i="257" s="1"/>
  <c r="M64" i="256"/>
  <c r="M64" i="257" s="1"/>
  <c r="M65" i="256"/>
  <c r="M65" i="257" s="1"/>
  <c r="M66" i="256"/>
  <c r="M66" i="257" s="1"/>
  <c r="M67" i="256"/>
  <c r="M67" i="257" s="1"/>
  <c r="M68" i="256"/>
  <c r="M68" i="257" s="1"/>
  <c r="M69" i="256"/>
  <c r="M69" i="257" s="1"/>
  <c r="M70" i="256"/>
  <c r="M70" i="257" s="1"/>
  <c r="M71" i="256"/>
  <c r="M71" i="257" s="1"/>
  <c r="M72" i="256"/>
  <c r="M72" i="257" s="1"/>
  <c r="M73" i="256"/>
  <c r="M73" i="257" s="1"/>
  <c r="M74" i="256"/>
  <c r="M74" i="257" s="1"/>
  <c r="M75" i="256"/>
  <c r="M75" i="257" s="1"/>
  <c r="M76" i="256"/>
  <c r="M76" i="257" s="1"/>
  <c r="M77" i="256"/>
  <c r="M77" i="257" s="1"/>
  <c r="M78" i="256"/>
  <c r="M78" i="257" s="1"/>
  <c r="M79" i="256"/>
  <c r="M79" i="257" s="1"/>
  <c r="M80" i="256"/>
  <c r="M80" i="257" s="1"/>
  <c r="M81" i="256"/>
  <c r="M81" i="257" s="1"/>
  <c r="M82" i="256"/>
  <c r="M82" i="257" s="1"/>
  <c r="M83" i="256"/>
  <c r="M83" i="257" s="1"/>
  <c r="M84" i="256"/>
  <c r="M84" i="257" s="1"/>
  <c r="M85" i="256"/>
  <c r="M85" i="257" s="1"/>
  <c r="M86" i="256"/>
  <c r="M86" i="257" s="1"/>
  <c r="M87" i="256"/>
  <c r="M87" i="257" s="1"/>
  <c r="M88" i="256"/>
  <c r="M88" i="257" s="1"/>
  <c r="M89" i="256"/>
  <c r="M89" i="257" s="1"/>
  <c r="M90" i="256"/>
  <c r="M90" i="257" s="1"/>
  <c r="M91" i="256"/>
  <c r="M91" i="257" s="1"/>
  <c r="M92" i="256"/>
  <c r="M92" i="257" s="1"/>
  <c r="M93" i="256"/>
  <c r="M93" i="257" s="1"/>
  <c r="M94" i="256"/>
  <c r="M94" i="257" s="1"/>
  <c r="M95" i="256"/>
  <c r="M95" i="257" s="1"/>
  <c r="M96" i="256"/>
  <c r="M96" i="257" s="1"/>
  <c r="M97" i="256"/>
  <c r="M97" i="257" s="1"/>
  <c r="M98" i="256"/>
  <c r="M98" i="257" s="1"/>
  <c r="M99" i="256"/>
  <c r="M99" i="257" s="1"/>
  <c r="M100" i="256"/>
  <c r="M100" i="257" s="1"/>
  <c r="M101" i="256"/>
  <c r="M101" i="257" s="1"/>
  <c r="M102" i="256"/>
  <c r="M102" i="257" s="1"/>
  <c r="M103" i="256"/>
  <c r="M103" i="257" s="1"/>
  <c r="M104" i="256"/>
  <c r="M104" i="257" s="1"/>
  <c r="M105" i="256"/>
  <c r="M105" i="257" s="1"/>
  <c r="M106" i="256"/>
  <c r="M106" i="257" s="1"/>
  <c r="M107" i="256"/>
  <c r="M107" i="257" s="1"/>
  <c r="M108" i="256"/>
  <c r="M108" i="257" s="1"/>
  <c r="M109" i="256"/>
  <c r="M109" i="257" s="1"/>
  <c r="M110" i="256"/>
  <c r="M110" i="257" s="1"/>
  <c r="M111" i="256"/>
  <c r="M111" i="257" s="1"/>
  <c r="M112" i="256"/>
  <c r="M112" i="257" s="1"/>
  <c r="M113" i="256"/>
  <c r="M113" i="257" s="1"/>
  <c r="M114" i="256"/>
  <c r="M114" i="257" s="1"/>
  <c r="M115" i="256"/>
  <c r="M115" i="257" s="1"/>
  <c r="M116" i="256"/>
  <c r="M116" i="257" s="1"/>
  <c r="M117" i="256"/>
  <c r="M117" i="257" s="1"/>
  <c r="M118" i="256"/>
  <c r="M118" i="257" s="1"/>
  <c r="M119" i="256"/>
  <c r="M119" i="257" s="1"/>
  <c r="M120" i="256"/>
  <c r="M120" i="257" s="1"/>
  <c r="M121" i="256"/>
  <c r="M121" i="257" s="1"/>
  <c r="M122" i="256"/>
  <c r="M122" i="257" s="1"/>
  <c r="M123" i="256"/>
  <c r="M123" i="257" s="1"/>
  <c r="M124" i="256"/>
  <c r="M124" i="257" s="1"/>
  <c r="M125" i="256"/>
  <c r="M125" i="257" s="1"/>
  <c r="M126" i="256"/>
  <c r="M126" i="257" s="1"/>
  <c r="M127" i="256"/>
  <c r="M127" i="257" s="1"/>
  <c r="M128" i="256"/>
  <c r="M128" i="257" s="1"/>
  <c r="M129" i="256"/>
  <c r="M129" i="257" s="1"/>
  <c r="M130" i="256"/>
  <c r="M130" i="257" s="1"/>
  <c r="M131" i="256"/>
  <c r="M131" i="257" s="1"/>
  <c r="M132" i="256"/>
  <c r="M132" i="257" s="1"/>
  <c r="M22" i="256"/>
  <c r="M22" i="257" s="1"/>
  <c r="M21" i="256"/>
  <c r="M21" i="257" s="1"/>
  <c r="L22" i="256"/>
  <c r="L22" i="257" s="1"/>
  <c r="L23" i="256"/>
  <c r="L23" i="257" s="1"/>
  <c r="L24" i="256"/>
  <c r="L24" i="257" s="1"/>
  <c r="L25" i="256"/>
  <c r="L25" i="257" s="1"/>
  <c r="L26" i="256"/>
  <c r="L26" i="257" s="1"/>
  <c r="L27" i="256"/>
  <c r="L27" i="257" s="1"/>
  <c r="L28" i="256"/>
  <c r="L28" i="257" s="1"/>
  <c r="L29" i="256"/>
  <c r="L29" i="257" s="1"/>
  <c r="L30" i="256"/>
  <c r="L30" i="257" s="1"/>
  <c r="L31" i="256"/>
  <c r="L31" i="257" s="1"/>
  <c r="L32" i="256"/>
  <c r="L32" i="257" s="1"/>
  <c r="L33" i="256"/>
  <c r="L33" i="257" s="1"/>
  <c r="L34" i="256"/>
  <c r="L34" i="257" s="1"/>
  <c r="L35" i="256"/>
  <c r="L35" i="257" s="1"/>
  <c r="L36" i="256"/>
  <c r="L36" i="257" s="1"/>
  <c r="L37" i="256"/>
  <c r="L37" i="257" s="1"/>
  <c r="L38" i="256"/>
  <c r="L38" i="257" s="1"/>
  <c r="L39" i="256"/>
  <c r="L39" i="257" s="1"/>
  <c r="L40" i="256"/>
  <c r="L40" i="257" s="1"/>
  <c r="L41" i="256"/>
  <c r="L41" i="257" s="1"/>
  <c r="L42" i="256"/>
  <c r="L42" i="257" s="1"/>
  <c r="L43" i="256"/>
  <c r="L43" i="257" s="1"/>
  <c r="L44" i="256"/>
  <c r="L44" i="257" s="1"/>
  <c r="L45" i="256"/>
  <c r="L45" i="257" s="1"/>
  <c r="L46" i="256"/>
  <c r="L46" i="257" s="1"/>
  <c r="L47" i="256"/>
  <c r="L47" i="257" s="1"/>
  <c r="L48" i="256"/>
  <c r="L48" i="257" s="1"/>
  <c r="L49" i="256"/>
  <c r="L49" i="257" s="1"/>
  <c r="L50" i="256"/>
  <c r="L50" i="257" s="1"/>
  <c r="L51" i="256"/>
  <c r="L51" i="257" s="1"/>
  <c r="L52" i="256"/>
  <c r="L52" i="257" s="1"/>
  <c r="L53" i="256"/>
  <c r="L53" i="257" s="1"/>
  <c r="L54" i="256"/>
  <c r="L54" i="257" s="1"/>
  <c r="L55" i="256"/>
  <c r="L55" i="257" s="1"/>
  <c r="L56" i="256"/>
  <c r="L56" i="257" s="1"/>
  <c r="L57" i="256"/>
  <c r="L57" i="257" s="1"/>
  <c r="L58" i="256"/>
  <c r="L58" i="257" s="1"/>
  <c r="L59" i="256"/>
  <c r="L59" i="257" s="1"/>
  <c r="L60" i="256"/>
  <c r="L60" i="257" s="1"/>
  <c r="L61" i="256"/>
  <c r="L61" i="257" s="1"/>
  <c r="L62" i="256"/>
  <c r="L62" i="257" s="1"/>
  <c r="L63" i="256"/>
  <c r="L63" i="257" s="1"/>
  <c r="L64" i="256"/>
  <c r="L64" i="257" s="1"/>
  <c r="L65" i="256"/>
  <c r="L65" i="257" s="1"/>
  <c r="L66" i="256"/>
  <c r="L66" i="257" s="1"/>
  <c r="L67" i="256"/>
  <c r="L67" i="257" s="1"/>
  <c r="L68" i="256"/>
  <c r="L68" i="257" s="1"/>
  <c r="L69" i="256"/>
  <c r="L69" i="257" s="1"/>
  <c r="L70" i="256"/>
  <c r="L70" i="257" s="1"/>
  <c r="L71" i="256"/>
  <c r="L71" i="257" s="1"/>
  <c r="L72" i="256"/>
  <c r="L72" i="257" s="1"/>
  <c r="L73" i="256"/>
  <c r="L73" i="257" s="1"/>
  <c r="L74" i="256"/>
  <c r="L74" i="257" s="1"/>
  <c r="L75" i="256"/>
  <c r="L75" i="257" s="1"/>
  <c r="L76" i="256"/>
  <c r="L76" i="257" s="1"/>
  <c r="L77" i="256"/>
  <c r="L77" i="257" s="1"/>
  <c r="L78" i="256"/>
  <c r="L78" i="257" s="1"/>
  <c r="L79" i="256"/>
  <c r="L79" i="257" s="1"/>
  <c r="L80" i="256"/>
  <c r="L80" i="257" s="1"/>
  <c r="L81" i="256"/>
  <c r="L81" i="257" s="1"/>
  <c r="L82" i="256"/>
  <c r="L82" i="257" s="1"/>
  <c r="L83" i="256"/>
  <c r="L83" i="257" s="1"/>
  <c r="L84" i="256"/>
  <c r="L84" i="257" s="1"/>
  <c r="L85" i="256"/>
  <c r="L85" i="257" s="1"/>
  <c r="L86" i="256"/>
  <c r="L86" i="257" s="1"/>
  <c r="L87" i="256"/>
  <c r="L87" i="257" s="1"/>
  <c r="L88" i="256"/>
  <c r="L88" i="257" s="1"/>
  <c r="L89" i="256"/>
  <c r="L89" i="257" s="1"/>
  <c r="L90" i="256"/>
  <c r="L90" i="257" s="1"/>
  <c r="L91" i="256"/>
  <c r="L91" i="257" s="1"/>
  <c r="L92" i="256"/>
  <c r="L92" i="257" s="1"/>
  <c r="L93" i="256"/>
  <c r="L93" i="257" s="1"/>
  <c r="L94" i="256"/>
  <c r="L94" i="257" s="1"/>
  <c r="L95" i="256"/>
  <c r="L95" i="257" s="1"/>
  <c r="L96" i="256"/>
  <c r="L96" i="257" s="1"/>
  <c r="L97" i="256"/>
  <c r="L97" i="257" s="1"/>
  <c r="L98" i="256"/>
  <c r="L98" i="257" s="1"/>
  <c r="L99" i="256"/>
  <c r="L99" i="257" s="1"/>
  <c r="L100" i="256"/>
  <c r="L100" i="257" s="1"/>
  <c r="L101" i="256"/>
  <c r="L101" i="257" s="1"/>
  <c r="L102" i="256"/>
  <c r="L102" i="257" s="1"/>
  <c r="L103" i="256"/>
  <c r="L103" i="257" s="1"/>
  <c r="L104" i="256"/>
  <c r="L104" i="257" s="1"/>
  <c r="L105" i="256"/>
  <c r="L105" i="257" s="1"/>
  <c r="L106" i="256"/>
  <c r="L106" i="257" s="1"/>
  <c r="L107" i="256"/>
  <c r="L107" i="257" s="1"/>
  <c r="L108" i="256"/>
  <c r="L108" i="257" s="1"/>
  <c r="L109" i="256"/>
  <c r="L109" i="257" s="1"/>
  <c r="L110" i="256"/>
  <c r="L110" i="257" s="1"/>
  <c r="L111" i="256"/>
  <c r="L111" i="257" s="1"/>
  <c r="L112" i="256"/>
  <c r="L112" i="257" s="1"/>
  <c r="L113" i="256"/>
  <c r="L113" i="257" s="1"/>
  <c r="L114" i="256"/>
  <c r="L114" i="257" s="1"/>
  <c r="L115" i="256"/>
  <c r="L115" i="257" s="1"/>
  <c r="L116" i="256"/>
  <c r="L116" i="257" s="1"/>
  <c r="L117" i="256"/>
  <c r="L117" i="257" s="1"/>
  <c r="L118" i="256"/>
  <c r="L118" i="257" s="1"/>
  <c r="L119" i="256"/>
  <c r="L119" i="257" s="1"/>
  <c r="L120" i="256"/>
  <c r="L120" i="257" s="1"/>
  <c r="L121" i="256"/>
  <c r="L121" i="257" s="1"/>
  <c r="L122" i="256"/>
  <c r="L122" i="257" s="1"/>
  <c r="L123" i="256"/>
  <c r="L123" i="257" s="1"/>
  <c r="L124" i="256"/>
  <c r="L124" i="257" s="1"/>
  <c r="L125" i="256"/>
  <c r="L125" i="257" s="1"/>
  <c r="L126" i="256"/>
  <c r="L126" i="257" s="1"/>
  <c r="L127" i="256"/>
  <c r="L127" i="257" s="1"/>
  <c r="L128" i="256"/>
  <c r="L128" i="257" s="1"/>
  <c r="L129" i="256"/>
  <c r="L129" i="257" s="1"/>
  <c r="L130" i="256"/>
  <c r="L130" i="257" s="1"/>
  <c r="L131" i="256"/>
  <c r="L131" i="257" s="1"/>
  <c r="L132" i="256"/>
  <c r="L132" i="257" s="1"/>
  <c r="L21" i="256"/>
  <c r="L21" i="257" s="1"/>
  <c r="K24" i="256"/>
  <c r="K24" i="257" s="1"/>
  <c r="K25" i="256"/>
  <c r="K25" i="257" s="1"/>
  <c r="K26" i="256"/>
  <c r="K27" i="256"/>
  <c r="K28" i="256"/>
  <c r="K28" i="257" s="1"/>
  <c r="K29" i="256"/>
  <c r="K29" i="257" s="1"/>
  <c r="K30" i="256"/>
  <c r="K31" i="256"/>
  <c r="K32" i="256"/>
  <c r="K32" i="257" s="1"/>
  <c r="K33" i="256"/>
  <c r="K33" i="257" s="1"/>
  <c r="K34" i="256"/>
  <c r="K35" i="256"/>
  <c r="K36" i="256"/>
  <c r="K36" i="257" s="1"/>
  <c r="K37" i="256"/>
  <c r="K37" i="257" s="1"/>
  <c r="K38" i="256"/>
  <c r="K39" i="256"/>
  <c r="K40" i="256"/>
  <c r="K40" i="257" s="1"/>
  <c r="K41" i="256"/>
  <c r="K41" i="257" s="1"/>
  <c r="K42" i="256"/>
  <c r="K43" i="256"/>
  <c r="K44" i="256"/>
  <c r="K44" i="257" s="1"/>
  <c r="K45" i="256"/>
  <c r="K45" i="257" s="1"/>
  <c r="K46" i="256"/>
  <c r="K47" i="256"/>
  <c r="K48" i="256"/>
  <c r="K48" i="257" s="1"/>
  <c r="K49" i="256"/>
  <c r="K49" i="257" s="1"/>
  <c r="K50" i="256"/>
  <c r="K51" i="256"/>
  <c r="K52" i="256"/>
  <c r="K52" i="257" s="1"/>
  <c r="K53" i="256"/>
  <c r="K53" i="257" s="1"/>
  <c r="K54" i="256"/>
  <c r="K55" i="256"/>
  <c r="K56" i="256"/>
  <c r="K56" i="257" s="1"/>
  <c r="K57" i="256"/>
  <c r="K57" i="257" s="1"/>
  <c r="K58" i="256"/>
  <c r="K59" i="256"/>
  <c r="K60" i="256"/>
  <c r="K60" i="257" s="1"/>
  <c r="K61" i="256"/>
  <c r="K61" i="257" s="1"/>
  <c r="K62" i="256"/>
  <c r="K63" i="256"/>
  <c r="K64" i="256"/>
  <c r="K64" i="257" s="1"/>
  <c r="K65" i="256"/>
  <c r="K65" i="257" s="1"/>
  <c r="K66" i="256"/>
  <c r="K67" i="256"/>
  <c r="K68" i="256"/>
  <c r="K68" i="257" s="1"/>
  <c r="K69" i="256"/>
  <c r="K69" i="257" s="1"/>
  <c r="K70" i="256"/>
  <c r="K71" i="256"/>
  <c r="K72" i="256"/>
  <c r="K72" i="257" s="1"/>
  <c r="K73" i="256"/>
  <c r="K73" i="257" s="1"/>
  <c r="K74" i="256"/>
  <c r="K75" i="256"/>
  <c r="K76" i="256"/>
  <c r="K76" i="257" s="1"/>
  <c r="K77" i="256"/>
  <c r="K77" i="257" s="1"/>
  <c r="K78" i="256"/>
  <c r="K79" i="256"/>
  <c r="K80" i="256"/>
  <c r="K80" i="257" s="1"/>
  <c r="K81" i="256"/>
  <c r="K81" i="257" s="1"/>
  <c r="K82" i="256"/>
  <c r="K83" i="256"/>
  <c r="K84" i="256"/>
  <c r="K85" i="256"/>
  <c r="K85" i="257" s="1"/>
  <c r="K86" i="256"/>
  <c r="K87" i="256"/>
  <c r="K88" i="256"/>
  <c r="K89" i="256"/>
  <c r="K89" i="257" s="1"/>
  <c r="K90" i="256"/>
  <c r="K91" i="256"/>
  <c r="K92" i="256"/>
  <c r="K93" i="256"/>
  <c r="K93" i="257" s="1"/>
  <c r="K94" i="256"/>
  <c r="K94" i="257" s="1"/>
  <c r="K95" i="256"/>
  <c r="K96" i="256"/>
  <c r="K97" i="256"/>
  <c r="K97" i="257" s="1"/>
  <c r="K98" i="256"/>
  <c r="K99" i="256"/>
  <c r="K100" i="256"/>
  <c r="K101" i="256"/>
  <c r="K101" i="257" s="1"/>
  <c r="K102" i="256"/>
  <c r="K102" i="257" s="1"/>
  <c r="K103" i="256"/>
  <c r="K104" i="256"/>
  <c r="K105" i="256"/>
  <c r="K105" i="257" s="1"/>
  <c r="K106" i="256"/>
  <c r="K107" i="256"/>
  <c r="K108" i="256"/>
  <c r="K109" i="256"/>
  <c r="K109" i="257" s="1"/>
  <c r="K110" i="256"/>
  <c r="K110" i="257" s="1"/>
  <c r="K111" i="256"/>
  <c r="K112" i="256"/>
  <c r="K113" i="256"/>
  <c r="K113" i="257" s="1"/>
  <c r="K114" i="256"/>
  <c r="K115" i="256"/>
  <c r="K116" i="256"/>
  <c r="K117" i="256"/>
  <c r="K117" i="257" s="1"/>
  <c r="K118" i="256"/>
  <c r="K118" i="257" s="1"/>
  <c r="K119" i="256"/>
  <c r="K120" i="256"/>
  <c r="K121" i="256"/>
  <c r="K121" i="257" s="1"/>
  <c r="K122" i="256"/>
  <c r="K123" i="256"/>
  <c r="K124" i="256"/>
  <c r="K125" i="256"/>
  <c r="K125" i="257" s="1"/>
  <c r="K126" i="256"/>
  <c r="K126" i="257" s="1"/>
  <c r="K127" i="256"/>
  <c r="K128" i="256"/>
  <c r="K129" i="256"/>
  <c r="K129" i="257" s="1"/>
  <c r="K130" i="256"/>
  <c r="K131" i="256"/>
  <c r="K132" i="256"/>
  <c r="K22" i="256"/>
  <c r="K22" i="257" s="1"/>
  <c r="K23" i="256"/>
  <c r="K21" i="256"/>
  <c r="J24" i="256"/>
  <c r="J24" i="257" s="1"/>
  <c r="J25" i="256"/>
  <c r="J25" i="257" s="1"/>
  <c r="J26" i="256"/>
  <c r="J26" i="257" s="1"/>
  <c r="J27" i="256"/>
  <c r="J27" i="257" s="1"/>
  <c r="J28" i="256"/>
  <c r="J28" i="257" s="1"/>
  <c r="J29" i="256"/>
  <c r="J29" i="257" s="1"/>
  <c r="J30" i="256"/>
  <c r="J30" i="257" s="1"/>
  <c r="J31" i="256"/>
  <c r="J31" i="257" s="1"/>
  <c r="J32" i="256"/>
  <c r="J32" i="257" s="1"/>
  <c r="J33" i="256"/>
  <c r="J33" i="257" s="1"/>
  <c r="J34" i="256"/>
  <c r="J34" i="257" s="1"/>
  <c r="J35" i="256"/>
  <c r="J35" i="257" s="1"/>
  <c r="J36" i="256"/>
  <c r="J36" i="257" s="1"/>
  <c r="J37" i="256"/>
  <c r="J37" i="257" s="1"/>
  <c r="J38" i="256"/>
  <c r="J38" i="257" s="1"/>
  <c r="J39" i="256"/>
  <c r="J39" i="257" s="1"/>
  <c r="J40" i="256"/>
  <c r="J40" i="257" s="1"/>
  <c r="J41" i="256"/>
  <c r="J41" i="257" s="1"/>
  <c r="J42" i="256"/>
  <c r="J42" i="257" s="1"/>
  <c r="J43" i="256"/>
  <c r="J43" i="257" s="1"/>
  <c r="J44" i="256"/>
  <c r="J44" i="257" s="1"/>
  <c r="J45" i="256"/>
  <c r="J45" i="257" s="1"/>
  <c r="J46" i="256"/>
  <c r="J46" i="257" s="1"/>
  <c r="J47" i="256"/>
  <c r="J47" i="257" s="1"/>
  <c r="J48" i="256"/>
  <c r="J48" i="257" s="1"/>
  <c r="J49" i="256"/>
  <c r="J49" i="257" s="1"/>
  <c r="J50" i="256"/>
  <c r="J50" i="257" s="1"/>
  <c r="J51" i="256"/>
  <c r="J51" i="257" s="1"/>
  <c r="J52" i="256"/>
  <c r="J52" i="257" s="1"/>
  <c r="J53" i="256"/>
  <c r="J53" i="257" s="1"/>
  <c r="J54" i="256"/>
  <c r="J54" i="257" s="1"/>
  <c r="J55" i="256"/>
  <c r="J55" i="257" s="1"/>
  <c r="J56" i="256"/>
  <c r="J56" i="257" s="1"/>
  <c r="J57" i="256"/>
  <c r="J57" i="257" s="1"/>
  <c r="J58" i="256"/>
  <c r="J58" i="257" s="1"/>
  <c r="J59" i="256"/>
  <c r="J59" i="257" s="1"/>
  <c r="J60" i="256"/>
  <c r="J60" i="257" s="1"/>
  <c r="J61" i="256"/>
  <c r="J61" i="257" s="1"/>
  <c r="J62" i="256"/>
  <c r="J62" i="257" s="1"/>
  <c r="J63" i="256"/>
  <c r="J63" i="257" s="1"/>
  <c r="J64" i="256"/>
  <c r="J64" i="257" s="1"/>
  <c r="J65" i="256"/>
  <c r="J65" i="257" s="1"/>
  <c r="J66" i="256"/>
  <c r="J66" i="257" s="1"/>
  <c r="J67" i="256"/>
  <c r="J67" i="257" s="1"/>
  <c r="J68" i="256"/>
  <c r="J68" i="257" s="1"/>
  <c r="J69" i="256"/>
  <c r="J69" i="257" s="1"/>
  <c r="J70" i="256"/>
  <c r="J70" i="257" s="1"/>
  <c r="J71" i="256"/>
  <c r="J71" i="257" s="1"/>
  <c r="J72" i="256"/>
  <c r="J72" i="257" s="1"/>
  <c r="J73" i="256"/>
  <c r="J73" i="257" s="1"/>
  <c r="J74" i="256"/>
  <c r="J74" i="257" s="1"/>
  <c r="J75" i="256"/>
  <c r="J75" i="257" s="1"/>
  <c r="J76" i="256"/>
  <c r="J76" i="257" s="1"/>
  <c r="J77" i="256"/>
  <c r="J77" i="257" s="1"/>
  <c r="J78" i="256"/>
  <c r="J78" i="257" s="1"/>
  <c r="J79" i="256"/>
  <c r="J79" i="257" s="1"/>
  <c r="J80" i="256"/>
  <c r="J80" i="257" s="1"/>
  <c r="J81" i="256"/>
  <c r="J81" i="257" s="1"/>
  <c r="J82" i="256"/>
  <c r="J82" i="257" s="1"/>
  <c r="J83" i="256"/>
  <c r="J83" i="257" s="1"/>
  <c r="J84" i="256"/>
  <c r="J84" i="257" s="1"/>
  <c r="J85" i="256"/>
  <c r="J85" i="257" s="1"/>
  <c r="J86" i="256"/>
  <c r="J86" i="257" s="1"/>
  <c r="J87" i="256"/>
  <c r="J87" i="257" s="1"/>
  <c r="J88" i="256"/>
  <c r="J88" i="257" s="1"/>
  <c r="J89" i="256"/>
  <c r="J89" i="257" s="1"/>
  <c r="J90" i="256"/>
  <c r="J90" i="257" s="1"/>
  <c r="J91" i="256"/>
  <c r="J91" i="257" s="1"/>
  <c r="J92" i="256"/>
  <c r="J92" i="257" s="1"/>
  <c r="J93" i="256"/>
  <c r="J93" i="257" s="1"/>
  <c r="J94" i="256"/>
  <c r="J94" i="257" s="1"/>
  <c r="J95" i="256"/>
  <c r="J95" i="257" s="1"/>
  <c r="J96" i="256"/>
  <c r="J96" i="257" s="1"/>
  <c r="J97" i="256"/>
  <c r="J97" i="257" s="1"/>
  <c r="J98" i="256"/>
  <c r="J98" i="257" s="1"/>
  <c r="J99" i="256"/>
  <c r="J99" i="257" s="1"/>
  <c r="J100" i="256"/>
  <c r="J100" i="257" s="1"/>
  <c r="J101" i="256"/>
  <c r="J101" i="257" s="1"/>
  <c r="J102" i="256"/>
  <c r="J102" i="257" s="1"/>
  <c r="J103" i="256"/>
  <c r="J103" i="257" s="1"/>
  <c r="J104" i="256"/>
  <c r="J104" i="257" s="1"/>
  <c r="J105" i="256"/>
  <c r="J105" i="257" s="1"/>
  <c r="J106" i="256"/>
  <c r="J106" i="257" s="1"/>
  <c r="J107" i="256"/>
  <c r="J107" i="257" s="1"/>
  <c r="J108" i="256"/>
  <c r="J108" i="257" s="1"/>
  <c r="J109" i="256"/>
  <c r="J109" i="257" s="1"/>
  <c r="J110" i="256"/>
  <c r="J110" i="257" s="1"/>
  <c r="J111" i="256"/>
  <c r="J111" i="257" s="1"/>
  <c r="J112" i="256"/>
  <c r="J112" i="257" s="1"/>
  <c r="J113" i="256"/>
  <c r="J113" i="257" s="1"/>
  <c r="J114" i="256"/>
  <c r="J114" i="257" s="1"/>
  <c r="J115" i="256"/>
  <c r="J115" i="257" s="1"/>
  <c r="J116" i="256"/>
  <c r="J116" i="257" s="1"/>
  <c r="J117" i="256"/>
  <c r="J117" i="257" s="1"/>
  <c r="J118" i="256"/>
  <c r="J118" i="257" s="1"/>
  <c r="J119" i="256"/>
  <c r="J119" i="257" s="1"/>
  <c r="J120" i="256"/>
  <c r="J120" i="257" s="1"/>
  <c r="J121" i="256"/>
  <c r="J121" i="257" s="1"/>
  <c r="J122" i="256"/>
  <c r="J122" i="257" s="1"/>
  <c r="J123" i="256"/>
  <c r="J123" i="257" s="1"/>
  <c r="J124" i="256"/>
  <c r="J124" i="257" s="1"/>
  <c r="J125" i="256"/>
  <c r="J125" i="257" s="1"/>
  <c r="J126" i="256"/>
  <c r="J126" i="257" s="1"/>
  <c r="J127" i="256"/>
  <c r="J127" i="257" s="1"/>
  <c r="J128" i="256"/>
  <c r="J128" i="257" s="1"/>
  <c r="J129" i="256"/>
  <c r="J129" i="257" s="1"/>
  <c r="J130" i="256"/>
  <c r="J130" i="257" s="1"/>
  <c r="J131" i="256"/>
  <c r="J131" i="257" s="1"/>
  <c r="J132" i="256"/>
  <c r="J132" i="257" s="1"/>
  <c r="J22" i="256"/>
  <c r="J22" i="257" s="1"/>
  <c r="J23" i="256"/>
  <c r="J23" i="257" s="1"/>
  <c r="J21" i="256"/>
  <c r="J21" i="257" s="1"/>
  <c r="I21" i="256"/>
  <c r="I21" i="257" s="1"/>
  <c r="I22" i="256"/>
  <c r="I22" i="257" s="1"/>
  <c r="I23" i="256"/>
  <c r="I23" i="257" s="1"/>
  <c r="I24" i="256"/>
  <c r="I24" i="257" s="1"/>
  <c r="I25" i="256"/>
  <c r="I25" i="257" s="1"/>
  <c r="I26" i="256"/>
  <c r="I26" i="257" s="1"/>
  <c r="I27" i="256"/>
  <c r="I27" i="257" s="1"/>
  <c r="I28" i="256"/>
  <c r="I28" i="257" s="1"/>
  <c r="I29" i="256"/>
  <c r="I29" i="257" s="1"/>
  <c r="I30" i="256"/>
  <c r="I30" i="257" s="1"/>
  <c r="I31" i="256"/>
  <c r="I31" i="257" s="1"/>
  <c r="I32" i="256"/>
  <c r="I32" i="257" s="1"/>
  <c r="I33" i="256"/>
  <c r="I33" i="257" s="1"/>
  <c r="I34" i="256"/>
  <c r="I34" i="257" s="1"/>
  <c r="I35" i="256"/>
  <c r="I35" i="257" s="1"/>
  <c r="I36" i="256"/>
  <c r="I36" i="257" s="1"/>
  <c r="I37" i="256"/>
  <c r="I37" i="257" s="1"/>
  <c r="I38" i="256"/>
  <c r="I38" i="257" s="1"/>
  <c r="I39" i="256"/>
  <c r="I39" i="257" s="1"/>
  <c r="I40" i="256"/>
  <c r="I40" i="257" s="1"/>
  <c r="I41" i="256"/>
  <c r="I41" i="257" s="1"/>
  <c r="I42" i="256"/>
  <c r="I42" i="257" s="1"/>
  <c r="I43" i="256"/>
  <c r="I43" i="257" s="1"/>
  <c r="I44" i="256"/>
  <c r="I44" i="257" s="1"/>
  <c r="I45" i="256"/>
  <c r="I45" i="257" s="1"/>
  <c r="I46" i="256"/>
  <c r="I46" i="257" s="1"/>
  <c r="I47" i="256"/>
  <c r="I47" i="257" s="1"/>
  <c r="I48" i="256"/>
  <c r="I48" i="257" s="1"/>
  <c r="I49" i="256"/>
  <c r="I49" i="257" s="1"/>
  <c r="I50" i="256"/>
  <c r="I50" i="257" s="1"/>
  <c r="I51" i="256"/>
  <c r="I51" i="257" s="1"/>
  <c r="I52" i="256"/>
  <c r="I52" i="257" s="1"/>
  <c r="I53" i="256"/>
  <c r="I53" i="257" s="1"/>
  <c r="I54" i="256"/>
  <c r="I54" i="257" s="1"/>
  <c r="I55" i="256"/>
  <c r="I55" i="257" s="1"/>
  <c r="I56" i="256"/>
  <c r="I56" i="257" s="1"/>
  <c r="I57" i="256"/>
  <c r="I57" i="257" s="1"/>
  <c r="I58" i="256"/>
  <c r="I58" i="257" s="1"/>
  <c r="I59" i="256"/>
  <c r="I59" i="257" s="1"/>
  <c r="I60" i="256"/>
  <c r="I60" i="257" s="1"/>
  <c r="I61" i="256"/>
  <c r="I61" i="257" s="1"/>
  <c r="I62" i="256"/>
  <c r="I62" i="257" s="1"/>
  <c r="I63" i="256"/>
  <c r="I63" i="257" s="1"/>
  <c r="I64" i="256"/>
  <c r="I64" i="257" s="1"/>
  <c r="I65" i="256"/>
  <c r="I65" i="257" s="1"/>
  <c r="I66" i="256"/>
  <c r="I66" i="257" s="1"/>
  <c r="I67" i="256"/>
  <c r="I67" i="257" s="1"/>
  <c r="I68" i="256"/>
  <c r="I68" i="257" s="1"/>
  <c r="I69" i="256"/>
  <c r="I69" i="257" s="1"/>
  <c r="I70" i="256"/>
  <c r="I70" i="257" s="1"/>
  <c r="I71" i="256"/>
  <c r="I71" i="257" s="1"/>
  <c r="I72" i="256"/>
  <c r="I72" i="257" s="1"/>
  <c r="I73" i="256"/>
  <c r="I73" i="257" s="1"/>
  <c r="I74" i="256"/>
  <c r="I74" i="257" s="1"/>
  <c r="I75" i="256"/>
  <c r="I75" i="257" s="1"/>
  <c r="I76" i="256"/>
  <c r="I76" i="257" s="1"/>
  <c r="I77" i="256"/>
  <c r="I77" i="257" s="1"/>
  <c r="I78" i="256"/>
  <c r="I78" i="257" s="1"/>
  <c r="I79" i="256"/>
  <c r="I79" i="257" s="1"/>
  <c r="I80" i="256"/>
  <c r="I80" i="257" s="1"/>
  <c r="I81" i="256"/>
  <c r="I81" i="257" s="1"/>
  <c r="I82" i="256"/>
  <c r="I82" i="257" s="1"/>
  <c r="I83" i="256"/>
  <c r="I83" i="257" s="1"/>
  <c r="I84" i="256"/>
  <c r="I84" i="257" s="1"/>
  <c r="I85" i="256"/>
  <c r="I85" i="257" s="1"/>
  <c r="I86" i="256"/>
  <c r="I86" i="257" s="1"/>
  <c r="I87" i="256"/>
  <c r="I87" i="257" s="1"/>
  <c r="I88" i="256"/>
  <c r="I88" i="257" s="1"/>
  <c r="I89" i="256"/>
  <c r="I89" i="257" s="1"/>
  <c r="I90" i="256"/>
  <c r="I90" i="257" s="1"/>
  <c r="I91" i="256"/>
  <c r="I91" i="257" s="1"/>
  <c r="I92" i="256"/>
  <c r="I92" i="257" s="1"/>
  <c r="I93" i="256"/>
  <c r="I93" i="257" s="1"/>
  <c r="I94" i="256"/>
  <c r="I94" i="257" s="1"/>
  <c r="I95" i="256"/>
  <c r="I95" i="257" s="1"/>
  <c r="I96" i="256"/>
  <c r="I96" i="257" s="1"/>
  <c r="I97" i="256"/>
  <c r="I97" i="257" s="1"/>
  <c r="I98" i="256"/>
  <c r="I98" i="257" s="1"/>
  <c r="I99" i="256"/>
  <c r="I99" i="257" s="1"/>
  <c r="I100" i="256"/>
  <c r="I100" i="257" s="1"/>
  <c r="I101" i="256"/>
  <c r="I101" i="257" s="1"/>
  <c r="I102" i="256"/>
  <c r="I102" i="257" s="1"/>
  <c r="I103" i="256"/>
  <c r="I103" i="257" s="1"/>
  <c r="I104" i="256"/>
  <c r="I104" i="257" s="1"/>
  <c r="I105" i="256"/>
  <c r="I105" i="257" s="1"/>
  <c r="I106" i="256"/>
  <c r="I106" i="257" s="1"/>
  <c r="I107" i="256"/>
  <c r="I107" i="257" s="1"/>
  <c r="I108" i="256"/>
  <c r="I108" i="257" s="1"/>
  <c r="I109" i="256"/>
  <c r="I109" i="257" s="1"/>
  <c r="I110" i="256"/>
  <c r="I110" i="257" s="1"/>
  <c r="I111" i="256"/>
  <c r="I111" i="257" s="1"/>
  <c r="I112" i="256"/>
  <c r="I112" i="257" s="1"/>
  <c r="I113" i="256"/>
  <c r="I113" i="257" s="1"/>
  <c r="I114" i="256"/>
  <c r="I114" i="257" s="1"/>
  <c r="I115" i="256"/>
  <c r="I115" i="257" s="1"/>
  <c r="I116" i="256"/>
  <c r="I116" i="257" s="1"/>
  <c r="I117" i="256"/>
  <c r="I117" i="257" s="1"/>
  <c r="I118" i="256"/>
  <c r="I118" i="257" s="1"/>
  <c r="I119" i="256"/>
  <c r="I119" i="257" s="1"/>
  <c r="I120" i="256"/>
  <c r="I120" i="257" s="1"/>
  <c r="I121" i="256"/>
  <c r="I121" i="257" s="1"/>
  <c r="I122" i="256"/>
  <c r="I122" i="257" s="1"/>
  <c r="I123" i="256"/>
  <c r="I123" i="257" s="1"/>
  <c r="I124" i="256"/>
  <c r="I124" i="257" s="1"/>
  <c r="I125" i="256"/>
  <c r="I125" i="257" s="1"/>
  <c r="I126" i="256"/>
  <c r="I126" i="257" s="1"/>
  <c r="I127" i="256"/>
  <c r="I127" i="257" s="1"/>
  <c r="I128" i="256"/>
  <c r="I128" i="257" s="1"/>
  <c r="I129" i="256"/>
  <c r="I129" i="257" s="1"/>
  <c r="I130" i="256"/>
  <c r="I130" i="257" s="1"/>
  <c r="I131" i="256"/>
  <c r="I131" i="257" s="1"/>
  <c r="I132" i="256"/>
  <c r="I132" i="257" s="1"/>
  <c r="H24" i="256" l="1"/>
  <c r="H24" i="257" s="1"/>
  <c r="H56" i="256"/>
  <c r="H56" i="257" s="1"/>
  <c r="N52" i="257"/>
  <c r="D52" i="252"/>
  <c r="N50" i="257"/>
  <c r="D50" i="252"/>
  <c r="N48" i="257"/>
  <c r="D48" i="252"/>
  <c r="N46" i="257"/>
  <c r="D46" i="252"/>
  <c r="N44" i="257"/>
  <c r="D44" i="252"/>
  <c r="N42" i="257"/>
  <c r="D42" i="252"/>
  <c r="N40" i="257"/>
  <c r="D40" i="252"/>
  <c r="N38" i="257"/>
  <c r="D38" i="252"/>
  <c r="N36" i="257"/>
  <c r="D36" i="252"/>
  <c r="N34" i="257"/>
  <c r="D34" i="252"/>
  <c r="N32" i="257"/>
  <c r="D32" i="252"/>
  <c r="N30" i="257"/>
  <c r="D30" i="252"/>
  <c r="N28" i="257"/>
  <c r="D28" i="252"/>
  <c r="N26" i="257"/>
  <c r="D26" i="252"/>
  <c r="N24" i="257"/>
  <c r="D24" i="252"/>
  <c r="N22" i="257"/>
  <c r="D22" i="252"/>
  <c r="N132" i="257"/>
  <c r="D132" i="252"/>
  <c r="N130" i="257"/>
  <c r="D130" i="252"/>
  <c r="N128" i="257"/>
  <c r="D128" i="252"/>
  <c r="N126" i="257"/>
  <c r="D126" i="252"/>
  <c r="N124" i="257"/>
  <c r="D124" i="252"/>
  <c r="N122" i="257"/>
  <c r="D122" i="252"/>
  <c r="N120" i="257"/>
  <c r="D120" i="252"/>
  <c r="N118" i="257"/>
  <c r="D118" i="252"/>
  <c r="N116" i="257"/>
  <c r="D116" i="252"/>
  <c r="N114" i="257"/>
  <c r="D114" i="252"/>
  <c r="N112" i="257"/>
  <c r="D112" i="252"/>
  <c r="N110" i="257"/>
  <c r="D110" i="252"/>
  <c r="N108" i="257"/>
  <c r="D108" i="252"/>
  <c r="N106" i="257"/>
  <c r="D106" i="252"/>
  <c r="N104" i="257"/>
  <c r="D104" i="252"/>
  <c r="N102" i="257"/>
  <c r="D102" i="252"/>
  <c r="N100" i="257"/>
  <c r="D100" i="252"/>
  <c r="N98" i="257"/>
  <c r="D98" i="252"/>
  <c r="N96" i="257"/>
  <c r="D96" i="252"/>
  <c r="N94" i="257"/>
  <c r="D94" i="252"/>
  <c r="N92" i="257"/>
  <c r="D92" i="252"/>
  <c r="N90" i="257"/>
  <c r="D90" i="252"/>
  <c r="N88" i="257"/>
  <c r="D88" i="252"/>
  <c r="N86" i="257"/>
  <c r="D86" i="252"/>
  <c r="N84" i="257"/>
  <c r="D84" i="252"/>
  <c r="N82" i="257"/>
  <c r="D82" i="252"/>
  <c r="N80" i="257"/>
  <c r="D80" i="252"/>
  <c r="N78" i="257"/>
  <c r="D78" i="252"/>
  <c r="N76" i="257"/>
  <c r="D76" i="252"/>
  <c r="N74" i="257"/>
  <c r="D74" i="252"/>
  <c r="N72" i="257"/>
  <c r="D72" i="252"/>
  <c r="N70" i="257"/>
  <c r="D70" i="252"/>
  <c r="N68" i="257"/>
  <c r="D68" i="252"/>
  <c r="N66" i="257"/>
  <c r="D66" i="252"/>
  <c r="N64" i="257"/>
  <c r="D64" i="252"/>
  <c r="N62" i="257"/>
  <c r="D62" i="252"/>
  <c r="N60" i="257"/>
  <c r="D60" i="252"/>
  <c r="N58" i="257"/>
  <c r="D58" i="252"/>
  <c r="N56" i="257"/>
  <c r="D56" i="252"/>
  <c r="N54" i="257"/>
  <c r="D54" i="252"/>
  <c r="N21" i="257"/>
  <c r="D21" i="252"/>
  <c r="H93" i="256"/>
  <c r="H93" i="257" s="1"/>
  <c r="N131" i="257"/>
  <c r="D131" i="252"/>
  <c r="N129" i="257"/>
  <c r="D129" i="252"/>
  <c r="N127" i="257"/>
  <c r="D127" i="252"/>
  <c r="N125" i="257"/>
  <c r="D125" i="252"/>
  <c r="N123" i="257"/>
  <c r="D123" i="252"/>
  <c r="N121" i="257"/>
  <c r="D121" i="252"/>
  <c r="N119" i="257"/>
  <c r="D119" i="252"/>
  <c r="N117" i="257"/>
  <c r="D117" i="252"/>
  <c r="N115" i="257"/>
  <c r="D115" i="252"/>
  <c r="N113" i="257"/>
  <c r="D113" i="252"/>
  <c r="N111" i="257"/>
  <c r="D111" i="252"/>
  <c r="N109" i="257"/>
  <c r="D109" i="252"/>
  <c r="N107" i="257"/>
  <c r="D107" i="252"/>
  <c r="N105" i="257"/>
  <c r="D105" i="252"/>
  <c r="N103" i="257"/>
  <c r="D103" i="252"/>
  <c r="N101" i="257"/>
  <c r="D101" i="252"/>
  <c r="N99" i="257"/>
  <c r="D99" i="252"/>
  <c r="N97" i="257"/>
  <c r="D97" i="252"/>
  <c r="N95" i="257"/>
  <c r="D95" i="252"/>
  <c r="N93" i="257"/>
  <c r="D93" i="252"/>
  <c r="N91" i="257"/>
  <c r="D91" i="252"/>
  <c r="N89" i="257"/>
  <c r="D89" i="252"/>
  <c r="N87" i="257"/>
  <c r="D87" i="252"/>
  <c r="N85" i="257"/>
  <c r="D85" i="252"/>
  <c r="N83" i="257"/>
  <c r="D83" i="252"/>
  <c r="N81" i="257"/>
  <c r="D81" i="252"/>
  <c r="N79" i="257"/>
  <c r="D79" i="252"/>
  <c r="N77" i="257"/>
  <c r="D77" i="252"/>
  <c r="N75" i="257"/>
  <c r="D75" i="252"/>
  <c r="N73" i="257"/>
  <c r="D73" i="252"/>
  <c r="N71" i="257"/>
  <c r="D71" i="252"/>
  <c r="N69" i="257"/>
  <c r="D69" i="252"/>
  <c r="N67" i="257"/>
  <c r="D67" i="252"/>
  <c r="N65" i="257"/>
  <c r="D65" i="252"/>
  <c r="N63" i="257"/>
  <c r="D63" i="252"/>
  <c r="N61" i="257"/>
  <c r="D61" i="252"/>
  <c r="N59" i="257"/>
  <c r="D59" i="252"/>
  <c r="N57" i="257"/>
  <c r="D57" i="252"/>
  <c r="N55" i="257"/>
  <c r="D55" i="252"/>
  <c r="N53" i="257"/>
  <c r="D53" i="252"/>
  <c r="N51" i="257"/>
  <c r="D51" i="252"/>
  <c r="N49" i="257"/>
  <c r="D49" i="252"/>
  <c r="N47" i="257"/>
  <c r="D47" i="252"/>
  <c r="N45" i="257"/>
  <c r="D45" i="252"/>
  <c r="N43" i="257"/>
  <c r="D43" i="252"/>
  <c r="N41" i="257"/>
  <c r="D41" i="252"/>
  <c r="N39" i="257"/>
  <c r="D39" i="252"/>
  <c r="N37" i="257"/>
  <c r="D37" i="252"/>
  <c r="N35" i="257"/>
  <c r="D35" i="252"/>
  <c r="N33" i="257"/>
  <c r="D33" i="252"/>
  <c r="N31" i="257"/>
  <c r="D31" i="252"/>
  <c r="N29" i="257"/>
  <c r="D29" i="252"/>
  <c r="N27" i="257"/>
  <c r="D27" i="252"/>
  <c r="N25" i="257"/>
  <c r="D25" i="252"/>
  <c r="N23" i="257"/>
  <c r="D23" i="252"/>
  <c r="H121" i="256"/>
  <c r="H121" i="257" s="1"/>
  <c r="H94" i="256"/>
  <c r="H94" i="257" s="1"/>
  <c r="H48" i="256"/>
  <c r="H48" i="257" s="1"/>
  <c r="H105" i="256"/>
  <c r="H105" i="257" s="1"/>
  <c r="H72" i="256"/>
  <c r="H72" i="257" s="1"/>
  <c r="H40" i="256"/>
  <c r="H40" i="257" s="1"/>
  <c r="H80" i="256"/>
  <c r="H80" i="257" s="1"/>
  <c r="H64" i="256"/>
  <c r="H64" i="257" s="1"/>
  <c r="H32" i="256"/>
  <c r="H32" i="257" s="1"/>
  <c r="H129" i="256"/>
  <c r="H129" i="257" s="1"/>
  <c r="H101" i="256"/>
  <c r="H101" i="257" s="1"/>
  <c r="H77" i="256"/>
  <c r="H77" i="257" s="1"/>
  <c r="H61" i="256"/>
  <c r="H61" i="257" s="1"/>
  <c r="H45" i="256"/>
  <c r="H45" i="257" s="1"/>
  <c r="H29" i="256"/>
  <c r="H29" i="257" s="1"/>
  <c r="H126" i="256"/>
  <c r="H126" i="257" s="1"/>
  <c r="H113" i="256"/>
  <c r="H113" i="257" s="1"/>
  <c r="H97" i="256"/>
  <c r="H97" i="257" s="1"/>
  <c r="H85" i="256"/>
  <c r="H85" i="257" s="1"/>
  <c r="H76" i="256"/>
  <c r="H76" i="257" s="1"/>
  <c r="H68" i="256"/>
  <c r="H68" i="257" s="1"/>
  <c r="H60" i="256"/>
  <c r="H60" i="257" s="1"/>
  <c r="H52" i="256"/>
  <c r="H52" i="257" s="1"/>
  <c r="H44" i="256"/>
  <c r="H44" i="257" s="1"/>
  <c r="H36" i="256"/>
  <c r="H36" i="257" s="1"/>
  <c r="H28" i="256"/>
  <c r="H28" i="257" s="1"/>
  <c r="H125" i="256"/>
  <c r="H125" i="257" s="1"/>
  <c r="H109" i="256"/>
  <c r="H109" i="257" s="1"/>
  <c r="H81" i="256"/>
  <c r="H81" i="257" s="1"/>
  <c r="H73" i="256"/>
  <c r="H73" i="257" s="1"/>
  <c r="H65" i="256"/>
  <c r="H65" i="257" s="1"/>
  <c r="H57" i="256"/>
  <c r="H57" i="257" s="1"/>
  <c r="H49" i="256"/>
  <c r="H49" i="257" s="1"/>
  <c r="H41" i="256"/>
  <c r="H41" i="257" s="1"/>
  <c r="H33" i="256"/>
  <c r="H33" i="257" s="1"/>
  <c r="H25" i="256"/>
  <c r="H25" i="257" s="1"/>
  <c r="H117" i="256"/>
  <c r="H117" i="257" s="1"/>
  <c r="H89" i="256"/>
  <c r="H89" i="257" s="1"/>
  <c r="H69" i="256"/>
  <c r="H69" i="257" s="1"/>
  <c r="H53" i="256"/>
  <c r="H53" i="257" s="1"/>
  <c r="H37" i="256"/>
  <c r="H37" i="257" s="1"/>
  <c r="H22" i="256"/>
  <c r="H22" i="257" s="1"/>
  <c r="H98" i="256"/>
  <c r="H98" i="257" s="1"/>
  <c r="K98" i="257"/>
  <c r="H86" i="256"/>
  <c r="H86" i="257" s="1"/>
  <c r="K86" i="257"/>
  <c r="H70" i="256"/>
  <c r="H70" i="257" s="1"/>
  <c r="K70" i="257"/>
  <c r="H54" i="256"/>
  <c r="H54" i="257" s="1"/>
  <c r="K54" i="257"/>
  <c r="H42" i="256"/>
  <c r="H42" i="257" s="1"/>
  <c r="K42" i="257"/>
  <c r="H23" i="256"/>
  <c r="H23" i="257" s="1"/>
  <c r="K23" i="257"/>
  <c r="H122" i="256"/>
  <c r="H122" i="257" s="1"/>
  <c r="K122" i="257"/>
  <c r="H114" i="256"/>
  <c r="H114" i="257" s="1"/>
  <c r="K114" i="257"/>
  <c r="H90" i="256"/>
  <c r="H90" i="257" s="1"/>
  <c r="K90" i="257"/>
  <c r="H78" i="256"/>
  <c r="H78" i="257" s="1"/>
  <c r="K78" i="257"/>
  <c r="H62" i="256"/>
  <c r="H62" i="257" s="1"/>
  <c r="K62" i="257"/>
  <c r="H50" i="256"/>
  <c r="H50" i="257" s="1"/>
  <c r="K50" i="257"/>
  <c r="H38" i="256"/>
  <c r="H38" i="257" s="1"/>
  <c r="K38" i="257"/>
  <c r="H30" i="256"/>
  <c r="H30" i="257" s="1"/>
  <c r="K30" i="257"/>
  <c r="H102" i="256"/>
  <c r="H102" i="257" s="1"/>
  <c r="H110" i="256"/>
  <c r="H110" i="257" s="1"/>
  <c r="H132" i="256"/>
  <c r="H132" i="257" s="1"/>
  <c r="K132" i="257"/>
  <c r="H128" i="256"/>
  <c r="H128" i="257" s="1"/>
  <c r="K128" i="257"/>
  <c r="H124" i="256"/>
  <c r="H124" i="257" s="1"/>
  <c r="K124" i="257"/>
  <c r="H120" i="256"/>
  <c r="H120" i="257" s="1"/>
  <c r="K120" i="257"/>
  <c r="H116" i="256"/>
  <c r="H116" i="257" s="1"/>
  <c r="K116" i="257"/>
  <c r="H112" i="256"/>
  <c r="H112" i="257" s="1"/>
  <c r="K112" i="257"/>
  <c r="H108" i="256"/>
  <c r="H108" i="257" s="1"/>
  <c r="K108" i="257"/>
  <c r="H104" i="256"/>
  <c r="H104" i="257" s="1"/>
  <c r="K104" i="257"/>
  <c r="H100" i="256"/>
  <c r="H100" i="257" s="1"/>
  <c r="K100" i="257"/>
  <c r="H96" i="256"/>
  <c r="H96" i="257" s="1"/>
  <c r="K96" i="257"/>
  <c r="H92" i="256"/>
  <c r="H92" i="257" s="1"/>
  <c r="K92" i="257"/>
  <c r="H88" i="256"/>
  <c r="H88" i="257" s="1"/>
  <c r="K88" i="257"/>
  <c r="H84" i="256"/>
  <c r="H84" i="257" s="1"/>
  <c r="K84" i="257"/>
  <c r="H130" i="256"/>
  <c r="H130" i="257" s="1"/>
  <c r="K130" i="257"/>
  <c r="H106" i="256"/>
  <c r="H106" i="257" s="1"/>
  <c r="K106" i="257"/>
  <c r="H82" i="256"/>
  <c r="H82" i="257" s="1"/>
  <c r="K82" i="257"/>
  <c r="H74" i="256"/>
  <c r="H74" i="257" s="1"/>
  <c r="K74" i="257"/>
  <c r="H66" i="256"/>
  <c r="H66" i="257" s="1"/>
  <c r="K66" i="257"/>
  <c r="H58" i="256"/>
  <c r="H58" i="257" s="1"/>
  <c r="K58" i="257"/>
  <c r="H46" i="256"/>
  <c r="H46" i="257" s="1"/>
  <c r="K46" i="257"/>
  <c r="H34" i="256"/>
  <c r="H34" i="257" s="1"/>
  <c r="K34" i="257"/>
  <c r="H26" i="256"/>
  <c r="H26" i="257" s="1"/>
  <c r="K26" i="257"/>
  <c r="H118" i="256"/>
  <c r="H118" i="257" s="1"/>
  <c r="H21" i="256"/>
  <c r="H21" i="257" s="1"/>
  <c r="K21" i="257"/>
  <c r="H131" i="256"/>
  <c r="H131" i="257" s="1"/>
  <c r="K131" i="257"/>
  <c r="H127" i="256"/>
  <c r="H127" i="257" s="1"/>
  <c r="K127" i="257"/>
  <c r="H123" i="256"/>
  <c r="H123" i="257" s="1"/>
  <c r="K123" i="257"/>
  <c r="H119" i="256"/>
  <c r="H119" i="257" s="1"/>
  <c r="K119" i="257"/>
  <c r="H115" i="256"/>
  <c r="H115" i="257" s="1"/>
  <c r="K115" i="257"/>
  <c r="H111" i="256"/>
  <c r="H111" i="257" s="1"/>
  <c r="K111" i="257"/>
  <c r="H107" i="256"/>
  <c r="H107" i="257" s="1"/>
  <c r="K107" i="257"/>
  <c r="H103" i="256"/>
  <c r="H103" i="257" s="1"/>
  <c r="K103" i="257"/>
  <c r="H99" i="256"/>
  <c r="H99" i="257" s="1"/>
  <c r="K99" i="257"/>
  <c r="H95" i="256"/>
  <c r="H95" i="257" s="1"/>
  <c r="K95" i="257"/>
  <c r="H91" i="256"/>
  <c r="H91" i="257" s="1"/>
  <c r="K91" i="257"/>
  <c r="H87" i="256"/>
  <c r="H87" i="257" s="1"/>
  <c r="K87" i="257"/>
  <c r="H83" i="256"/>
  <c r="H83" i="257" s="1"/>
  <c r="K83" i="257"/>
  <c r="H79" i="256"/>
  <c r="H79" i="257" s="1"/>
  <c r="K79" i="257"/>
  <c r="H75" i="256"/>
  <c r="H75" i="257" s="1"/>
  <c r="K75" i="257"/>
  <c r="H71" i="256"/>
  <c r="H71" i="257" s="1"/>
  <c r="K71" i="257"/>
  <c r="H67" i="256"/>
  <c r="H67" i="257" s="1"/>
  <c r="K67" i="257"/>
  <c r="H63" i="256"/>
  <c r="H63" i="257" s="1"/>
  <c r="K63" i="257"/>
  <c r="H59" i="256"/>
  <c r="H59" i="257" s="1"/>
  <c r="K59" i="257"/>
  <c r="H55" i="256"/>
  <c r="H55" i="257" s="1"/>
  <c r="K55" i="257"/>
  <c r="H51" i="256"/>
  <c r="H51" i="257" s="1"/>
  <c r="K51" i="257"/>
  <c r="H47" i="256"/>
  <c r="H47" i="257" s="1"/>
  <c r="K47" i="257"/>
  <c r="H43" i="256"/>
  <c r="H43" i="257" s="1"/>
  <c r="K43" i="257"/>
  <c r="H39" i="256"/>
  <c r="H39" i="257" s="1"/>
  <c r="K39" i="257"/>
  <c r="H35" i="256"/>
  <c r="H35" i="257" s="1"/>
  <c r="K35" i="257"/>
  <c r="H31" i="256"/>
  <c r="H31" i="257" s="1"/>
  <c r="K31" i="257"/>
  <c r="H27" i="256"/>
  <c r="H27" i="257" s="1"/>
  <c r="K27" i="257"/>
  <c r="O22" i="257"/>
  <c r="S119" i="256"/>
  <c r="S119" i="257" s="1"/>
  <c r="S120" i="256"/>
  <c r="S120" i="257" s="1"/>
  <c r="S121" i="256"/>
  <c r="S121" i="257" s="1"/>
  <c r="S122" i="256"/>
  <c r="S122" i="257" s="1"/>
  <c r="S123" i="256"/>
  <c r="S123" i="257" s="1"/>
  <c r="S124" i="256"/>
  <c r="S124" i="257" s="1"/>
  <c r="S125" i="256"/>
  <c r="S125" i="257" s="1"/>
  <c r="S126" i="256"/>
  <c r="S126" i="257" s="1"/>
  <c r="S127" i="256"/>
  <c r="S127" i="257" s="1"/>
  <c r="S128" i="256"/>
  <c r="S128" i="257" s="1"/>
  <c r="S129" i="256"/>
  <c r="S129" i="257" s="1"/>
  <c r="S130" i="256"/>
  <c r="S130" i="257" s="1"/>
  <c r="S131" i="256"/>
  <c r="S131" i="257" s="1"/>
  <c r="S132" i="256"/>
  <c r="S132" i="257" s="1"/>
  <c r="AH133" i="264" l="1"/>
  <c r="F133" i="245"/>
  <c r="Q127" i="244"/>
  <c r="R127" i="244"/>
  <c r="Q128" i="244"/>
  <c r="R128" i="244"/>
  <c r="Q129" i="244"/>
  <c r="R129" i="244"/>
  <c r="Q130" i="244"/>
  <c r="R130" i="244"/>
  <c r="Q131" i="244"/>
  <c r="R131" i="244"/>
  <c r="Q132" i="244"/>
  <c r="R132" i="244"/>
  <c r="G133" i="244"/>
  <c r="E133" i="244"/>
  <c r="Q121" i="244"/>
  <c r="R121" i="244"/>
  <c r="Q122" i="244"/>
  <c r="R122" i="244"/>
  <c r="Q123" i="244"/>
  <c r="R123" i="244"/>
  <c r="Q124" i="244"/>
  <c r="R124" i="244"/>
  <c r="Q125" i="244"/>
  <c r="R125" i="244"/>
  <c r="Q126" i="244"/>
  <c r="R126" i="244"/>
  <c r="G119" i="201"/>
  <c r="I119" i="201"/>
  <c r="K119" i="201"/>
  <c r="B107" i="201"/>
  <c r="B108" i="201"/>
  <c r="B109" i="201"/>
  <c r="B110" i="201"/>
  <c r="B111" i="201"/>
  <c r="B112" i="201"/>
  <c r="B113" i="201"/>
  <c r="B114" i="201"/>
  <c r="B115" i="201"/>
  <c r="B116" i="201"/>
  <c r="B117" i="201"/>
  <c r="B118" i="201"/>
  <c r="U113" i="242"/>
  <c r="U114" i="242"/>
  <c r="U115" i="242"/>
  <c r="U116" i="242"/>
  <c r="U117" i="242"/>
  <c r="U118" i="242"/>
  <c r="U119" i="242"/>
  <c r="U120" i="242"/>
  <c r="U121" i="242"/>
  <c r="U122" i="242"/>
  <c r="U123" i="242"/>
  <c r="U124" i="242"/>
  <c r="O125" i="242"/>
  <c r="P125" i="242"/>
  <c r="S125" i="242" s="1" a="1"/>
  <c r="S125" i="242" s="1"/>
  <c r="Q125" i="242"/>
  <c r="R125" i="242"/>
  <c r="U125" i="242"/>
  <c r="AA125" i="242"/>
  <c r="AS127" i="264"/>
  <c r="AT127" i="264"/>
  <c r="BN127" i="264"/>
  <c r="BP127" i="264"/>
  <c r="BQ127" i="264"/>
  <c r="BR127" i="264"/>
  <c r="BS127" i="264"/>
  <c r="BT127" i="264"/>
  <c r="BU127" i="264"/>
  <c r="BV127" i="264"/>
  <c r="BW127" i="264"/>
  <c r="BX127" i="264"/>
  <c r="BY127" i="264"/>
  <c r="BZ127" i="264"/>
  <c r="CA127" i="264"/>
  <c r="CB127" i="264"/>
  <c r="CC127" i="264"/>
  <c r="CW127" i="264"/>
  <c r="CX127" i="264"/>
  <c r="AS128" i="264"/>
  <c r="AT128" i="264"/>
  <c r="BN128" i="264"/>
  <c r="BP128" i="264"/>
  <c r="BQ128" i="264"/>
  <c r="BR128" i="264"/>
  <c r="BS128" i="264"/>
  <c r="BT128" i="264"/>
  <c r="BU128" i="264"/>
  <c r="BV128" i="264"/>
  <c r="BW128" i="264"/>
  <c r="BX128" i="264"/>
  <c r="BY128" i="264"/>
  <c r="BZ128" i="264"/>
  <c r="CA128" i="264"/>
  <c r="CB128" i="264"/>
  <c r="CC128" i="264"/>
  <c r="CW128" i="264"/>
  <c r="CX128" i="264"/>
  <c r="AS129" i="264"/>
  <c r="AT129" i="264"/>
  <c r="BN129" i="264"/>
  <c r="BP129" i="264"/>
  <c r="BQ129" i="264"/>
  <c r="BR129" i="264"/>
  <c r="BS129" i="264"/>
  <c r="BT129" i="264"/>
  <c r="BU129" i="264"/>
  <c r="BV129" i="264"/>
  <c r="BW129" i="264"/>
  <c r="BX129" i="264"/>
  <c r="BY129" i="264"/>
  <c r="BZ129" i="264"/>
  <c r="CA129" i="264"/>
  <c r="CB129" i="264"/>
  <c r="CC129" i="264"/>
  <c r="CW129" i="264"/>
  <c r="CX129" i="264"/>
  <c r="AS130" i="264"/>
  <c r="AT130" i="264"/>
  <c r="BN130" i="264"/>
  <c r="BP130" i="264"/>
  <c r="BQ130" i="264"/>
  <c r="BR130" i="264"/>
  <c r="BS130" i="264"/>
  <c r="BT130" i="264"/>
  <c r="BU130" i="264"/>
  <c r="BV130" i="264"/>
  <c r="BW130" i="264"/>
  <c r="BX130" i="264"/>
  <c r="BY130" i="264"/>
  <c r="BZ130" i="264"/>
  <c r="CA130" i="264"/>
  <c r="CB130" i="264"/>
  <c r="CC130" i="264"/>
  <c r="CW130" i="264"/>
  <c r="CX130" i="264"/>
  <c r="AS131" i="264"/>
  <c r="AT131" i="264"/>
  <c r="BN131" i="264"/>
  <c r="BP131" i="264"/>
  <c r="BQ131" i="264"/>
  <c r="BR131" i="264"/>
  <c r="BS131" i="264"/>
  <c r="BT131" i="264"/>
  <c r="BU131" i="264"/>
  <c r="BV131" i="264"/>
  <c r="BW131" i="264"/>
  <c r="BX131" i="264"/>
  <c r="BY131" i="264"/>
  <c r="BZ131" i="264"/>
  <c r="CA131" i="264"/>
  <c r="CB131" i="264"/>
  <c r="CC131" i="264"/>
  <c r="CH131" i="264"/>
  <c r="CI131" i="264"/>
  <c r="CJ131" i="264"/>
  <c r="CK131" i="264"/>
  <c r="CL131" i="264"/>
  <c r="CM131" i="264"/>
  <c r="CN131" i="264"/>
  <c r="CO131" i="264"/>
  <c r="CP131" i="264"/>
  <c r="CQ131" i="264"/>
  <c r="CW131" i="264"/>
  <c r="CX131" i="264"/>
  <c r="AS132" i="264"/>
  <c r="AT132" i="264"/>
  <c r="BN132" i="264"/>
  <c r="BP132" i="264"/>
  <c r="BQ132" i="264"/>
  <c r="BR132" i="264"/>
  <c r="BS132" i="264"/>
  <c r="BT132" i="264"/>
  <c r="BU132" i="264"/>
  <c r="BV132" i="264"/>
  <c r="BW132" i="264"/>
  <c r="BX132" i="264"/>
  <c r="BY132" i="264"/>
  <c r="BZ132" i="264"/>
  <c r="CA132" i="264"/>
  <c r="CB132" i="264"/>
  <c r="CC132" i="264"/>
  <c r="CW132" i="264"/>
  <c r="CX132" i="264"/>
  <c r="AS133" i="264"/>
  <c r="AT133" i="264"/>
  <c r="BN133" i="264"/>
  <c r="BP133" i="264"/>
  <c r="BQ133" i="264"/>
  <c r="BR133" i="264"/>
  <c r="BS133" i="264"/>
  <c r="BT133" i="264"/>
  <c r="BU133" i="264"/>
  <c r="BV133" i="264"/>
  <c r="BW133" i="264"/>
  <c r="BX133" i="264"/>
  <c r="BY133" i="264"/>
  <c r="BZ133" i="264"/>
  <c r="CA133" i="264"/>
  <c r="CB133" i="264"/>
  <c r="CC133" i="264"/>
  <c r="CH133" i="264"/>
  <c r="CI133" i="264"/>
  <c r="CJ133" i="264"/>
  <c r="CK133" i="264"/>
  <c r="CL133" i="264"/>
  <c r="CM133" i="264"/>
  <c r="CN133" i="264"/>
  <c r="CO133" i="264"/>
  <c r="CP133" i="264"/>
  <c r="CQ133" i="264"/>
  <c r="CW133" i="264"/>
  <c r="CX133" i="264"/>
  <c r="AS134" i="264"/>
  <c r="AT134" i="264"/>
  <c r="BN134" i="264"/>
  <c r="BP134" i="264"/>
  <c r="BQ134" i="264"/>
  <c r="BR134" i="264"/>
  <c r="BS134" i="264"/>
  <c r="BT134" i="264"/>
  <c r="BU134" i="264"/>
  <c r="BV134" i="264"/>
  <c r="BW134" i="264"/>
  <c r="BX134" i="264"/>
  <c r="BY134" i="264"/>
  <c r="BZ134" i="264"/>
  <c r="CA134" i="264"/>
  <c r="CB134" i="264"/>
  <c r="CC134" i="264"/>
  <c r="CW134" i="264"/>
  <c r="CX134" i="264"/>
  <c r="AS135" i="264"/>
  <c r="AT135" i="264"/>
  <c r="BN135" i="264"/>
  <c r="BP135" i="264"/>
  <c r="BQ135" i="264"/>
  <c r="BR135" i="264"/>
  <c r="BS135" i="264"/>
  <c r="BT135" i="264"/>
  <c r="BU135" i="264"/>
  <c r="BV135" i="264"/>
  <c r="BW135" i="264"/>
  <c r="BX135" i="264"/>
  <c r="BY135" i="264"/>
  <c r="BZ135" i="264"/>
  <c r="CA135" i="264"/>
  <c r="CB135" i="264"/>
  <c r="CC135" i="264"/>
  <c r="CW135" i="264"/>
  <c r="CX135" i="264"/>
  <c r="AS136" i="264"/>
  <c r="AT136" i="264"/>
  <c r="BN136" i="264"/>
  <c r="BP136" i="264"/>
  <c r="BQ136" i="264"/>
  <c r="BR136" i="264"/>
  <c r="BS136" i="264"/>
  <c r="BT136" i="264"/>
  <c r="BU136" i="264"/>
  <c r="BV136" i="264"/>
  <c r="BW136" i="264"/>
  <c r="BX136" i="264"/>
  <c r="BY136" i="264"/>
  <c r="BZ136" i="264"/>
  <c r="CA136" i="264"/>
  <c r="CB136" i="264"/>
  <c r="CC136" i="264"/>
  <c r="CW136" i="264"/>
  <c r="CX136" i="264"/>
  <c r="AS137" i="264"/>
  <c r="AT137" i="264"/>
  <c r="BN137" i="264"/>
  <c r="BP137" i="264"/>
  <c r="BQ137" i="264"/>
  <c r="BR137" i="264"/>
  <c r="BS137" i="264"/>
  <c r="BT137" i="264"/>
  <c r="BU137" i="264"/>
  <c r="BV137" i="264"/>
  <c r="BW137" i="264"/>
  <c r="BX137" i="264"/>
  <c r="BY137" i="264"/>
  <c r="BZ137" i="264"/>
  <c r="CA137" i="264"/>
  <c r="CB137" i="264"/>
  <c r="CC137" i="264"/>
  <c r="CW137" i="264"/>
  <c r="CX137" i="264"/>
  <c r="AS138" i="264"/>
  <c r="AT138" i="264"/>
  <c r="BN138" i="264"/>
  <c r="BP138" i="264"/>
  <c r="BQ138" i="264"/>
  <c r="BR138" i="264"/>
  <c r="BS138" i="264"/>
  <c r="BT138" i="264"/>
  <c r="BU138" i="264"/>
  <c r="BV138" i="264"/>
  <c r="BW138" i="264"/>
  <c r="BX138" i="264"/>
  <c r="BY138" i="264"/>
  <c r="BZ138" i="264"/>
  <c r="CA138" i="264"/>
  <c r="CB138" i="264"/>
  <c r="CC138" i="264"/>
  <c r="CW138" i="264"/>
  <c r="CX138" i="264"/>
  <c r="AS139" i="264"/>
  <c r="AT139" i="264"/>
  <c r="BN139" i="264"/>
  <c r="BP139" i="264"/>
  <c r="BQ139" i="264"/>
  <c r="BR139" i="264"/>
  <c r="BS139" i="264"/>
  <c r="BT139" i="264"/>
  <c r="BU139" i="264"/>
  <c r="BV139" i="264"/>
  <c r="BW139" i="264"/>
  <c r="BX139" i="264"/>
  <c r="BY139" i="264"/>
  <c r="BZ139" i="264"/>
  <c r="CA139" i="264"/>
  <c r="CB139" i="264"/>
  <c r="CC139" i="264"/>
  <c r="CW139" i="264"/>
  <c r="CX139" i="264"/>
  <c r="AS140" i="264"/>
  <c r="AT140" i="264"/>
  <c r="BN140" i="264"/>
  <c r="BP140" i="264"/>
  <c r="BQ140" i="264"/>
  <c r="BR140" i="264"/>
  <c r="BS140" i="264"/>
  <c r="BT140" i="264"/>
  <c r="BU140" i="264"/>
  <c r="BV140" i="264"/>
  <c r="BW140" i="264"/>
  <c r="BX140" i="264"/>
  <c r="BY140" i="264"/>
  <c r="BZ140" i="264"/>
  <c r="CA140" i="264"/>
  <c r="CB140" i="264"/>
  <c r="CC140" i="264"/>
  <c r="CW140" i="264"/>
  <c r="CX140" i="264"/>
  <c r="AS141" i="264"/>
  <c r="AT141" i="264"/>
  <c r="BN141" i="264"/>
  <c r="BP141" i="264"/>
  <c r="BQ141" i="264"/>
  <c r="BR141" i="264"/>
  <c r="BS141" i="264"/>
  <c r="BT141" i="264"/>
  <c r="BU141" i="264"/>
  <c r="BV141" i="264"/>
  <c r="BW141" i="264"/>
  <c r="BX141" i="264"/>
  <c r="BY141" i="264"/>
  <c r="BZ141" i="264"/>
  <c r="CA141" i="264"/>
  <c r="CB141" i="264"/>
  <c r="CC141" i="264"/>
  <c r="CW141" i="264"/>
  <c r="CX141" i="264"/>
  <c r="AS142" i="264"/>
  <c r="AT142" i="264"/>
  <c r="BN142" i="264"/>
  <c r="BP142" i="264"/>
  <c r="BQ142" i="264"/>
  <c r="BR142" i="264"/>
  <c r="BS142" i="264"/>
  <c r="BT142" i="264"/>
  <c r="BU142" i="264"/>
  <c r="BV142" i="264"/>
  <c r="BW142" i="264"/>
  <c r="BX142" i="264"/>
  <c r="BY142" i="264"/>
  <c r="BZ142" i="264"/>
  <c r="CA142" i="264"/>
  <c r="CB142" i="264"/>
  <c r="CC142" i="264"/>
  <c r="CW142" i="264"/>
  <c r="CX142" i="264"/>
  <c r="B131" i="258"/>
  <c r="AE131" i="258" s="1"/>
  <c r="B132" i="258"/>
  <c r="AD132" i="258" s="1"/>
  <c r="B121" i="258"/>
  <c r="T121" i="258" s="1"/>
  <c r="X121" i="258" s="1"/>
  <c r="B122" i="258"/>
  <c r="B123" i="258"/>
  <c r="AF123" i="258" s="1"/>
  <c r="B124" i="258"/>
  <c r="AN124" i="258" s="1"/>
  <c r="B125" i="258"/>
  <c r="AN125" i="258" s="1"/>
  <c r="B126" i="258"/>
  <c r="B127" i="258"/>
  <c r="AN127" i="258" s="1"/>
  <c r="B128" i="258"/>
  <c r="AG128" i="258" s="1"/>
  <c r="B129" i="258"/>
  <c r="AO129" i="258" s="1"/>
  <c r="B130" i="258"/>
  <c r="T130" i="258" s="1"/>
  <c r="B131" i="264"/>
  <c r="AH131" i="264"/>
  <c r="AK131" i="264"/>
  <c r="B132" i="264"/>
  <c r="Z132" i="264"/>
  <c r="AH132" i="264"/>
  <c r="AK132" i="264"/>
  <c r="B133" i="264"/>
  <c r="AK133" i="264"/>
  <c r="B134" i="264"/>
  <c r="Z134" i="264"/>
  <c r="AH134" i="264"/>
  <c r="AK134" i="264"/>
  <c r="B135" i="264"/>
  <c r="Z135" i="264"/>
  <c r="AH135" i="264"/>
  <c r="AK135" i="264"/>
  <c r="B136" i="264"/>
  <c r="Z136" i="264"/>
  <c r="AH136" i="264"/>
  <c r="AK136" i="264"/>
  <c r="B137" i="264"/>
  <c r="Z137" i="264"/>
  <c r="AH137" i="264"/>
  <c r="AK137" i="264"/>
  <c r="B138" i="264"/>
  <c r="AH138" i="264"/>
  <c r="AK138" i="264"/>
  <c r="B139" i="264"/>
  <c r="Z139" i="264"/>
  <c r="AH139" i="264"/>
  <c r="AK139" i="264"/>
  <c r="B140" i="264"/>
  <c r="AH140" i="264"/>
  <c r="AK140" i="264"/>
  <c r="B141" i="264"/>
  <c r="Z141" i="264"/>
  <c r="AH141" i="264"/>
  <c r="AK141" i="264"/>
  <c r="B142" i="264"/>
  <c r="Z142" i="264"/>
  <c r="AH142" i="264"/>
  <c r="AK142" i="264"/>
  <c r="B25" i="258"/>
  <c r="B26" i="258"/>
  <c r="B27" i="258"/>
  <c r="B28" i="258"/>
  <c r="B29" i="258"/>
  <c r="B30" i="258"/>
  <c r="B31" i="258"/>
  <c r="B32" i="258"/>
  <c r="B33" i="258"/>
  <c r="B34" i="258"/>
  <c r="B35" i="258"/>
  <c r="B36" i="258"/>
  <c r="B37" i="258"/>
  <c r="B38" i="258"/>
  <c r="B39" i="258"/>
  <c r="B40" i="258"/>
  <c r="B41" i="258"/>
  <c r="B42" i="258"/>
  <c r="B43" i="258"/>
  <c r="B44" i="258"/>
  <c r="B45" i="258"/>
  <c r="B46" i="258"/>
  <c r="B47" i="258"/>
  <c r="B48" i="258"/>
  <c r="B49" i="258"/>
  <c r="B50" i="258"/>
  <c r="B51" i="258"/>
  <c r="B52" i="258"/>
  <c r="B53" i="258"/>
  <c r="B54" i="258"/>
  <c r="B55" i="258"/>
  <c r="B56" i="258"/>
  <c r="B57" i="258"/>
  <c r="B58" i="258"/>
  <c r="B59" i="258"/>
  <c r="B60" i="258"/>
  <c r="B61" i="258"/>
  <c r="B62" i="258"/>
  <c r="B63" i="258"/>
  <c r="B64" i="258"/>
  <c r="B65" i="258"/>
  <c r="B66" i="258"/>
  <c r="B67" i="258"/>
  <c r="B68" i="258"/>
  <c r="B69" i="258"/>
  <c r="B70" i="258"/>
  <c r="B71" i="258"/>
  <c r="B72" i="258"/>
  <c r="B73" i="258"/>
  <c r="B74" i="258"/>
  <c r="B75" i="258"/>
  <c r="B76" i="258"/>
  <c r="B77" i="258"/>
  <c r="B78" i="258"/>
  <c r="B79" i="258"/>
  <c r="B80" i="258"/>
  <c r="B81" i="258"/>
  <c r="B82" i="258"/>
  <c r="B83" i="258"/>
  <c r="B84" i="258"/>
  <c r="B85" i="258"/>
  <c r="B86" i="258"/>
  <c r="B87" i="258"/>
  <c r="B88" i="258"/>
  <c r="B89" i="258"/>
  <c r="B90" i="258"/>
  <c r="B91" i="258"/>
  <c r="B92" i="258"/>
  <c r="B93" i="258"/>
  <c r="B94" i="258"/>
  <c r="B95" i="258"/>
  <c r="B96" i="258"/>
  <c r="B97" i="258"/>
  <c r="B98" i="258"/>
  <c r="B99" i="258"/>
  <c r="B100" i="258"/>
  <c r="B101" i="258"/>
  <c r="B102" i="258"/>
  <c r="B103" i="258"/>
  <c r="B104" i="258"/>
  <c r="B105" i="258"/>
  <c r="B106" i="258"/>
  <c r="B107" i="258"/>
  <c r="B108" i="258"/>
  <c r="B109" i="258"/>
  <c r="B110" i="258"/>
  <c r="B111" i="258"/>
  <c r="B112" i="258"/>
  <c r="B113" i="258"/>
  <c r="B114" i="258"/>
  <c r="B115" i="258"/>
  <c r="B116" i="258"/>
  <c r="B117" i="258"/>
  <c r="B118" i="258"/>
  <c r="B119" i="258"/>
  <c r="B120" i="258"/>
  <c r="B21" i="258"/>
  <c r="B22" i="258"/>
  <c r="B23" i="258"/>
  <c r="B24" i="258"/>
  <c r="H7" i="187"/>
  <c r="G7" i="187"/>
  <c r="M5" i="258"/>
  <c r="AO131" i="258" l="1"/>
  <c r="AM131" i="258"/>
  <c r="AC131" i="258"/>
  <c r="AQ132" i="258"/>
  <c r="AG131" i="258"/>
  <c r="AH132" i="258"/>
  <c r="AR131" i="258"/>
  <c r="AN123" i="258"/>
  <c r="T123" i="258"/>
  <c r="X123" i="258" s="1"/>
  <c r="AV123" i="258" s="1"/>
  <c r="AT123" i="258" s="1"/>
  <c r="AG123" i="258"/>
  <c r="AG124" i="258"/>
  <c r="T127" i="258"/>
  <c r="X127" i="258" s="1"/>
  <c r="AN128" i="258"/>
  <c r="AR129" i="258"/>
  <c r="AM129" i="258"/>
  <c r="AG127" i="258"/>
  <c r="AF127" i="258"/>
  <c r="AO132" i="258"/>
  <c r="AG132" i="258"/>
  <c r="AC132" i="258"/>
  <c r="AN132" i="258"/>
  <c r="AF132" i="258"/>
  <c r="T132" i="258"/>
  <c r="X132" i="258" s="1"/>
  <c r="AV132" i="258" s="1"/>
  <c r="AU132" i="258" s="1"/>
  <c r="AR132" i="258"/>
  <c r="AM132" i="258"/>
  <c r="AE132" i="258"/>
  <c r="AN131" i="258"/>
  <c r="AF131" i="258"/>
  <c r="T131" i="258"/>
  <c r="X131" i="258" s="1"/>
  <c r="AV131" i="258" s="1"/>
  <c r="AT131" i="258" s="1"/>
  <c r="AQ131" i="258"/>
  <c r="AH131" i="258"/>
  <c r="AD131" i="258"/>
  <c r="AD126" i="258"/>
  <c r="AH126" i="258"/>
  <c r="AQ126" i="258"/>
  <c r="AE126" i="258"/>
  <c r="AM126" i="258"/>
  <c r="AR126" i="258"/>
  <c r="AD122" i="258"/>
  <c r="AH122" i="258"/>
  <c r="AQ122" i="258"/>
  <c r="AE122" i="258"/>
  <c r="AM122" i="258"/>
  <c r="AR122" i="258"/>
  <c r="AR130" i="258"/>
  <c r="AM130" i="258"/>
  <c r="AE130" i="258"/>
  <c r="AN126" i="258"/>
  <c r="AD125" i="258"/>
  <c r="AH125" i="258"/>
  <c r="AQ125" i="258"/>
  <c r="AE125" i="258"/>
  <c r="AM125" i="258"/>
  <c r="AR125" i="258"/>
  <c r="AH130" i="258"/>
  <c r="AD130" i="258"/>
  <c r="AF129" i="258"/>
  <c r="T129" i="258"/>
  <c r="X129" i="258" s="1"/>
  <c r="AG126" i="258"/>
  <c r="AG125" i="258"/>
  <c r="AD128" i="258"/>
  <c r="AH128" i="258"/>
  <c r="AQ128" i="258"/>
  <c r="AE128" i="258"/>
  <c r="AM128" i="258"/>
  <c r="AR128" i="258"/>
  <c r="AO130" i="258"/>
  <c r="AC130" i="258"/>
  <c r="AF128" i="258"/>
  <c r="T128" i="258"/>
  <c r="X128" i="258" s="1"/>
  <c r="AV128" i="258" s="1"/>
  <c r="AT128" i="258" s="1"/>
  <c r="AF122" i="258"/>
  <c r="AN122" i="258"/>
  <c r="AC129" i="258"/>
  <c r="AG129" i="258"/>
  <c r="AD129" i="258"/>
  <c r="AH129" i="258"/>
  <c r="AQ130" i="258"/>
  <c r="AQ129" i="258"/>
  <c r="AG122" i="258"/>
  <c r="AD124" i="258"/>
  <c r="AH124" i="258"/>
  <c r="AQ124" i="258"/>
  <c r="AE124" i="258"/>
  <c r="AM124" i="258"/>
  <c r="AR124" i="258"/>
  <c r="AG130" i="258"/>
  <c r="X130" i="258"/>
  <c r="AV130" i="258" s="1"/>
  <c r="AT130" i="258" s="1"/>
  <c r="AE129" i="258"/>
  <c r="AF126" i="258"/>
  <c r="T126" i="258"/>
  <c r="X126" i="258" s="1"/>
  <c r="AV126" i="258" s="1"/>
  <c r="AF125" i="258"/>
  <c r="T125" i="258"/>
  <c r="X125" i="258" s="1"/>
  <c r="AV125" i="258" s="1"/>
  <c r="AT125" i="258" s="1"/>
  <c r="AF124" i="258"/>
  <c r="T124" i="258"/>
  <c r="X124" i="258" s="1"/>
  <c r="AV124" i="258" s="1"/>
  <c r="AT124" i="258" s="1"/>
  <c r="T122" i="258"/>
  <c r="X122" i="258" s="1"/>
  <c r="AD127" i="258"/>
  <c r="AH127" i="258"/>
  <c r="AQ127" i="258"/>
  <c r="AE127" i="258"/>
  <c r="AM127" i="258"/>
  <c r="AR127" i="258"/>
  <c r="AD123" i="258"/>
  <c r="AH123" i="258"/>
  <c r="AQ123" i="258"/>
  <c r="AE123" i="258"/>
  <c r="AM123" i="258"/>
  <c r="AR123" i="258"/>
  <c r="AN130" i="258"/>
  <c r="AF130" i="258"/>
  <c r="AN129" i="258"/>
  <c r="AO128" i="258"/>
  <c r="AC128" i="258"/>
  <c r="AO127" i="258"/>
  <c r="AC127" i="258"/>
  <c r="AO126" i="258"/>
  <c r="AC126" i="258"/>
  <c r="AO125" i="258"/>
  <c r="AC125" i="258"/>
  <c r="AO124" i="258"/>
  <c r="AC124" i="258"/>
  <c r="AO123" i="258"/>
  <c r="AC123" i="258"/>
  <c r="AO122" i="258"/>
  <c r="AC122" i="258"/>
  <c r="AR121" i="258"/>
  <c r="AM121" i="258"/>
  <c r="AQ121" i="258"/>
  <c r="AD121" i="258"/>
  <c r="AO121" i="258"/>
  <c r="AG121" i="258"/>
  <c r="AC121" i="258"/>
  <c r="AE121" i="258"/>
  <c r="AH121" i="258"/>
  <c r="AN121" i="258"/>
  <c r="AF121" i="258"/>
  <c r="AV121" i="258"/>
  <c r="AU121" i="258" s="1"/>
  <c r="Z129" i="264"/>
  <c r="Z128" i="264"/>
  <c r="Z126" i="264"/>
  <c r="Z125" i="264"/>
  <c r="Z123" i="264"/>
  <c r="Z92" i="264"/>
  <c r="Z60" i="264"/>
  <c r="Z61" i="264"/>
  <c r="Z62" i="264"/>
  <c r="AK123" i="258" l="1"/>
  <c r="AU123" i="258"/>
  <c r="Y123" i="258" s="1"/>
  <c r="C115" i="239" s="1"/>
  <c r="AK131" i="258"/>
  <c r="AK132" i="258"/>
  <c r="AK129" i="258"/>
  <c r="AK128" i="258"/>
  <c r="AK126" i="258"/>
  <c r="AK125" i="258"/>
  <c r="AU125" i="258"/>
  <c r="Y125" i="258" s="1"/>
  <c r="AK124" i="258"/>
  <c r="AV127" i="258"/>
  <c r="AT127" i="258" s="1"/>
  <c r="AK130" i="258"/>
  <c r="AU128" i="258"/>
  <c r="Y128" i="258" s="1"/>
  <c r="AU124" i="258"/>
  <c r="Y124" i="258" s="1"/>
  <c r="AK122" i="258"/>
  <c r="AK127" i="258"/>
  <c r="AT132" i="258"/>
  <c r="Y132" i="258" s="1"/>
  <c r="AV122" i="258"/>
  <c r="AU122" i="258" s="1"/>
  <c r="AT126" i="258"/>
  <c r="AV129" i="258"/>
  <c r="AU129" i="258" s="1"/>
  <c r="AK121" i="258"/>
  <c r="AU131" i="258"/>
  <c r="Y131" i="258" s="1"/>
  <c r="AU126" i="258"/>
  <c r="AT121" i="258"/>
  <c r="Y121" i="258" s="1"/>
  <c r="C113" i="239" s="1"/>
  <c r="AU130" i="258"/>
  <c r="Y130" i="258" s="1"/>
  <c r="Z41" i="264"/>
  <c r="B8" i="201"/>
  <c r="B9" i="201"/>
  <c r="B10" i="201"/>
  <c r="B11" i="201"/>
  <c r="B12" i="201"/>
  <c r="B13" i="201"/>
  <c r="B14" i="201"/>
  <c r="B15" i="201"/>
  <c r="B16" i="201"/>
  <c r="B17" i="201"/>
  <c r="B18" i="201"/>
  <c r="B19" i="201"/>
  <c r="B20" i="201"/>
  <c r="B21" i="201"/>
  <c r="B22" i="201"/>
  <c r="B23" i="201"/>
  <c r="B24" i="201"/>
  <c r="B25" i="201"/>
  <c r="B26" i="201"/>
  <c r="B27" i="201"/>
  <c r="B28" i="201"/>
  <c r="B29" i="201"/>
  <c r="B30" i="201"/>
  <c r="B31" i="201"/>
  <c r="B32" i="201"/>
  <c r="B33" i="201"/>
  <c r="B34" i="201"/>
  <c r="B35" i="201"/>
  <c r="B36" i="201"/>
  <c r="B37" i="201"/>
  <c r="B38" i="201"/>
  <c r="B39" i="201"/>
  <c r="B40" i="201"/>
  <c r="B41" i="201"/>
  <c r="B42" i="201"/>
  <c r="B43" i="201"/>
  <c r="B44" i="201"/>
  <c r="B45" i="201"/>
  <c r="B46" i="201"/>
  <c r="B47" i="201"/>
  <c r="B48" i="201"/>
  <c r="B49" i="201"/>
  <c r="B50" i="201"/>
  <c r="B51" i="201"/>
  <c r="B52" i="201"/>
  <c r="B53" i="201"/>
  <c r="B54" i="201"/>
  <c r="B55" i="201"/>
  <c r="B56" i="201"/>
  <c r="B57" i="201"/>
  <c r="B58" i="201"/>
  <c r="B59" i="201"/>
  <c r="B60" i="201"/>
  <c r="B61" i="201"/>
  <c r="B62" i="201"/>
  <c r="B63" i="201"/>
  <c r="B64" i="201"/>
  <c r="B65" i="201"/>
  <c r="B66" i="201"/>
  <c r="B67" i="201"/>
  <c r="B68" i="201"/>
  <c r="B69" i="201"/>
  <c r="B70" i="201"/>
  <c r="B71" i="201"/>
  <c r="B72" i="201"/>
  <c r="B73" i="201"/>
  <c r="B74" i="201"/>
  <c r="B75" i="201"/>
  <c r="B76" i="201"/>
  <c r="B77" i="201"/>
  <c r="B78" i="201"/>
  <c r="B79" i="201"/>
  <c r="B80" i="201"/>
  <c r="B81" i="201"/>
  <c r="B82" i="201"/>
  <c r="B83" i="201"/>
  <c r="B84" i="201"/>
  <c r="B85" i="201"/>
  <c r="B86" i="201"/>
  <c r="B87" i="201"/>
  <c r="B88" i="201"/>
  <c r="B89" i="201"/>
  <c r="B90" i="201"/>
  <c r="B91" i="201"/>
  <c r="B92" i="201"/>
  <c r="B93" i="201"/>
  <c r="B94" i="201"/>
  <c r="B95" i="201"/>
  <c r="B96" i="201"/>
  <c r="B97" i="201"/>
  <c r="B98" i="201"/>
  <c r="B99" i="201"/>
  <c r="B100" i="201"/>
  <c r="B101" i="201"/>
  <c r="B102" i="201"/>
  <c r="B103" i="201"/>
  <c r="B104" i="201"/>
  <c r="B105" i="201"/>
  <c r="B106" i="201"/>
  <c r="B7" i="201"/>
  <c r="AB123" i="258" l="1"/>
  <c r="H115" i="242" s="1"/>
  <c r="Y126" i="258"/>
  <c r="AB126" i="258" s="1"/>
  <c r="AU127" i="258"/>
  <c r="Y127" i="258" s="1"/>
  <c r="C119" i="239" s="1"/>
  <c r="AB128" i="258"/>
  <c r="E120" i="239" s="1"/>
  <c r="C120" i="239"/>
  <c r="C124" i="239"/>
  <c r="AB132" i="258"/>
  <c r="C123" i="239"/>
  <c r="AB131" i="258"/>
  <c r="C122" i="239"/>
  <c r="AB130" i="258"/>
  <c r="AT122" i="258"/>
  <c r="Y122" i="258" s="1"/>
  <c r="C116" i="239"/>
  <c r="AB124" i="258"/>
  <c r="AT129" i="258"/>
  <c r="Y129" i="258" s="1"/>
  <c r="C117" i="239"/>
  <c r="AB125" i="258"/>
  <c r="AB121" i="258"/>
  <c r="Z122" i="264"/>
  <c r="Z121" i="264"/>
  <c r="C118" i="239" l="1"/>
  <c r="G111" i="189"/>
  <c r="E111" i="237"/>
  <c r="E111" i="190"/>
  <c r="E115" i="239"/>
  <c r="AB127" i="258"/>
  <c r="E115" i="190" s="1"/>
  <c r="H120" i="242"/>
  <c r="G116" i="189"/>
  <c r="E116" i="190"/>
  <c r="E116" i="237"/>
  <c r="E124" i="239"/>
  <c r="G120" i="189"/>
  <c r="E120" i="237"/>
  <c r="E120" i="190"/>
  <c r="H124" i="242"/>
  <c r="E119" i="237"/>
  <c r="E119" i="190"/>
  <c r="E123" i="239"/>
  <c r="G119" i="189"/>
  <c r="H123" i="242"/>
  <c r="C121" i="239"/>
  <c r="AB129" i="258"/>
  <c r="E114" i="190"/>
  <c r="H118" i="242"/>
  <c r="E118" i="239"/>
  <c r="E114" i="237"/>
  <c r="G114" i="189"/>
  <c r="H117" i="242"/>
  <c r="E113" i="190"/>
  <c r="E113" i="237"/>
  <c r="G113" i="189"/>
  <c r="E117" i="239"/>
  <c r="E122" i="239"/>
  <c r="H122" i="242"/>
  <c r="G118" i="189"/>
  <c r="E118" i="190"/>
  <c r="E118" i="237"/>
  <c r="C114" i="239"/>
  <c r="AB122" i="258"/>
  <c r="E116" i="239"/>
  <c r="E112" i="190"/>
  <c r="E112" i="237"/>
  <c r="H116" i="242"/>
  <c r="G112" i="189"/>
  <c r="E113" i="239"/>
  <c r="E109" i="237"/>
  <c r="H113" i="242"/>
  <c r="G109" i="189"/>
  <c r="E109" i="190"/>
  <c r="D71" i="187"/>
  <c r="E71" i="187"/>
  <c r="D72" i="187"/>
  <c r="E72" i="187"/>
  <c r="D73" i="187"/>
  <c r="E73" i="187"/>
  <c r="D74" i="187"/>
  <c r="C9" i="239" s="1"/>
  <c r="E74" i="187"/>
  <c r="E70" i="187"/>
  <c r="D70" i="187"/>
  <c r="C71" i="187"/>
  <c r="C72" i="187"/>
  <c r="C73" i="187"/>
  <c r="C74" i="187"/>
  <c r="C70" i="187"/>
  <c r="B74" i="187"/>
  <c r="B73" i="187"/>
  <c r="B72" i="187"/>
  <c r="B71" i="187"/>
  <c r="B70" i="187"/>
  <c r="D133" i="252"/>
  <c r="AH59" i="264"/>
  <c r="AH60" i="264"/>
  <c r="AH61" i="264"/>
  <c r="AH62" i="264"/>
  <c r="AH63" i="264"/>
  <c r="AH64" i="264"/>
  <c r="AH65" i="264"/>
  <c r="AH66" i="264"/>
  <c r="AH67" i="264"/>
  <c r="AH68" i="264"/>
  <c r="AH69" i="264"/>
  <c r="AH70" i="264"/>
  <c r="AH71" i="264"/>
  <c r="AH72" i="264"/>
  <c r="AH73" i="264"/>
  <c r="AH74" i="264"/>
  <c r="AH75" i="264"/>
  <c r="AH76" i="264"/>
  <c r="AH77" i="264"/>
  <c r="AH78" i="264"/>
  <c r="AH79" i="264"/>
  <c r="AH80" i="264"/>
  <c r="AH81" i="264"/>
  <c r="AH82" i="264"/>
  <c r="AH83" i="264"/>
  <c r="AH84" i="264"/>
  <c r="AH85" i="264"/>
  <c r="AH86" i="264"/>
  <c r="AH87" i="264"/>
  <c r="AH88" i="264"/>
  <c r="AH89" i="264"/>
  <c r="AH90" i="264"/>
  <c r="AH91" i="264"/>
  <c r="AH92" i="264"/>
  <c r="AH93" i="264"/>
  <c r="AH94" i="264"/>
  <c r="AH95" i="264"/>
  <c r="AH96" i="264"/>
  <c r="AH97" i="264"/>
  <c r="AH98" i="264"/>
  <c r="AH99" i="264"/>
  <c r="AH100" i="264"/>
  <c r="AH101" i="264"/>
  <c r="AH102" i="264"/>
  <c r="AH103" i="264"/>
  <c r="AH104" i="264"/>
  <c r="AH105" i="264"/>
  <c r="AH106" i="264"/>
  <c r="AH107" i="264"/>
  <c r="AH108" i="264"/>
  <c r="AH109" i="264"/>
  <c r="AH110" i="264"/>
  <c r="AH111" i="264"/>
  <c r="AH112" i="264"/>
  <c r="AH113" i="264"/>
  <c r="AH114" i="264"/>
  <c r="AH115" i="264"/>
  <c r="AH116" i="264"/>
  <c r="AH117" i="264"/>
  <c r="AH118" i="264"/>
  <c r="AH119" i="264"/>
  <c r="AH120" i="264"/>
  <c r="AH121" i="264"/>
  <c r="AH122" i="264"/>
  <c r="AH123" i="264"/>
  <c r="AH124" i="264"/>
  <c r="AH125" i="264"/>
  <c r="AH126" i="264"/>
  <c r="AH127" i="264"/>
  <c r="AH128" i="264"/>
  <c r="AH129" i="264"/>
  <c r="AH130" i="264"/>
  <c r="AH32" i="264"/>
  <c r="AH33" i="264"/>
  <c r="AH34" i="264"/>
  <c r="AH35" i="264"/>
  <c r="AH36" i="264"/>
  <c r="AH37" i="264"/>
  <c r="AH38" i="264"/>
  <c r="AH39" i="264"/>
  <c r="AH40" i="264"/>
  <c r="AH41" i="264"/>
  <c r="AH42" i="264"/>
  <c r="AH43" i="264"/>
  <c r="AH44" i="264"/>
  <c r="AH45" i="264"/>
  <c r="AH46" i="264"/>
  <c r="AH47" i="264"/>
  <c r="AH48" i="264"/>
  <c r="AH49" i="264"/>
  <c r="AH50" i="264"/>
  <c r="AH51" i="264"/>
  <c r="AH52" i="264"/>
  <c r="AH53" i="264"/>
  <c r="AH54" i="264"/>
  <c r="AH55" i="264"/>
  <c r="AH56" i="264"/>
  <c r="AH57" i="264"/>
  <c r="AH58" i="264"/>
  <c r="E119" i="239" l="1"/>
  <c r="E115" i="237"/>
  <c r="G115" i="189"/>
  <c r="H119" i="242"/>
  <c r="E114" i="239"/>
  <c r="H114" i="242"/>
  <c r="G110" i="189"/>
  <c r="E110" i="190"/>
  <c r="E110" i="237"/>
  <c r="H121" i="242"/>
  <c r="E121" i="239"/>
  <c r="E117" i="237"/>
  <c r="G117" i="189"/>
  <c r="E117" i="190"/>
  <c r="AH31" i="264"/>
  <c r="C100" i="187" l="1"/>
  <c r="C99" i="187"/>
  <c r="AC29" i="264" l="1"/>
  <c r="AD29" i="264"/>
  <c r="M29" i="264" l="1"/>
  <c r="B100" i="187"/>
  <c r="B22" i="243" s="1"/>
  <c r="B99" i="187"/>
  <c r="B21" i="243" s="1"/>
  <c r="C22" i="243"/>
  <c r="C21" i="243"/>
  <c r="Q4" i="258" l="1"/>
  <c r="L4" i="258"/>
  <c r="M4" i="258"/>
  <c r="N4" i="258"/>
  <c r="O4" i="258"/>
  <c r="P4" i="258"/>
  <c r="K4" i="258"/>
  <c r="J4" i="258"/>
  <c r="I4" i="258"/>
  <c r="H4" i="258"/>
  <c r="R4" i="258"/>
  <c r="R6" i="258"/>
  <c r="Q6" i="258" l="1"/>
  <c r="Q7" i="258"/>
  <c r="Q5" i="258"/>
  <c r="P6" i="258"/>
  <c r="P7" i="258"/>
  <c r="O6" i="258"/>
  <c r="O7" i="258"/>
  <c r="N6" i="258"/>
  <c r="N7" i="258"/>
  <c r="M6" i="258"/>
  <c r="M7" i="258"/>
  <c r="L6" i="258"/>
  <c r="L7" i="258"/>
  <c r="K7" i="258"/>
  <c r="K6" i="258"/>
  <c r="J6" i="258"/>
  <c r="J7" i="258"/>
  <c r="I6" i="258"/>
  <c r="I7" i="258"/>
  <c r="I5" i="258"/>
  <c r="J5" i="258"/>
  <c r="K5" i="258"/>
  <c r="L5" i="258"/>
  <c r="N5" i="258"/>
  <c r="O5" i="258"/>
  <c r="P5" i="258"/>
  <c r="H6" i="258"/>
  <c r="H7" i="258"/>
  <c r="H5" i="258"/>
  <c r="C6" i="239" l="1"/>
  <c r="C7" i="239"/>
  <c r="U14" i="242" l="1"/>
  <c r="U15" i="242"/>
  <c r="U16" i="242"/>
  <c r="U17" i="242"/>
  <c r="U18" i="242"/>
  <c r="U19" i="242"/>
  <c r="U20" i="242"/>
  <c r="U21" i="242"/>
  <c r="U22" i="242"/>
  <c r="U23" i="242"/>
  <c r="U24" i="242"/>
  <c r="U25" i="242"/>
  <c r="U26" i="242"/>
  <c r="U27" i="242"/>
  <c r="U28" i="242"/>
  <c r="U29" i="242"/>
  <c r="U30" i="242"/>
  <c r="U31" i="242"/>
  <c r="U32" i="242"/>
  <c r="U33" i="242"/>
  <c r="U34" i="242"/>
  <c r="U35" i="242"/>
  <c r="U36" i="242"/>
  <c r="U37" i="242"/>
  <c r="U38" i="242"/>
  <c r="U39" i="242"/>
  <c r="U40" i="242"/>
  <c r="U41" i="242"/>
  <c r="U42" i="242"/>
  <c r="U43" i="242"/>
  <c r="U44" i="242"/>
  <c r="U45" i="242"/>
  <c r="U46" i="242"/>
  <c r="U47" i="242"/>
  <c r="U48" i="242"/>
  <c r="U49" i="242"/>
  <c r="U50" i="242"/>
  <c r="U51" i="242"/>
  <c r="U52" i="242"/>
  <c r="U53" i="242"/>
  <c r="U54" i="242"/>
  <c r="U55" i="242"/>
  <c r="U56" i="242"/>
  <c r="U57" i="242"/>
  <c r="U58" i="242"/>
  <c r="U59" i="242"/>
  <c r="U60" i="242"/>
  <c r="U61" i="242"/>
  <c r="U62" i="242"/>
  <c r="U63" i="242"/>
  <c r="U64" i="242"/>
  <c r="U65" i="242"/>
  <c r="U66" i="242"/>
  <c r="U67" i="242"/>
  <c r="U68" i="242"/>
  <c r="U69" i="242"/>
  <c r="U70" i="242"/>
  <c r="U71" i="242"/>
  <c r="U72" i="242"/>
  <c r="U73" i="242"/>
  <c r="U74" i="242"/>
  <c r="U75" i="242"/>
  <c r="U76" i="242"/>
  <c r="U77" i="242"/>
  <c r="U78" i="242"/>
  <c r="U79" i="242"/>
  <c r="U80" i="242"/>
  <c r="U81" i="242"/>
  <c r="U82" i="242"/>
  <c r="U83" i="242"/>
  <c r="U84" i="242"/>
  <c r="U85" i="242"/>
  <c r="U86" i="242"/>
  <c r="U87" i="242"/>
  <c r="U88" i="242"/>
  <c r="U89" i="242"/>
  <c r="U90" i="242"/>
  <c r="U91" i="242"/>
  <c r="U92" i="242"/>
  <c r="U93" i="242"/>
  <c r="U94" i="242"/>
  <c r="U95" i="242"/>
  <c r="U96" i="242"/>
  <c r="U97" i="242"/>
  <c r="U98" i="242"/>
  <c r="U99" i="242"/>
  <c r="U100" i="242"/>
  <c r="U101" i="242"/>
  <c r="U102" i="242"/>
  <c r="U103" i="242"/>
  <c r="U104" i="242"/>
  <c r="U105" i="242"/>
  <c r="U106" i="242"/>
  <c r="U107" i="242"/>
  <c r="U108" i="242"/>
  <c r="U109" i="242"/>
  <c r="U110" i="242"/>
  <c r="U111" i="242"/>
  <c r="U112" i="242"/>
  <c r="U13" i="242"/>
  <c r="N13" i="242"/>
  <c r="D6" i="239" l="1"/>
  <c r="D7" i="239"/>
  <c r="D8" i="239"/>
  <c r="D9" i="239"/>
  <c r="D5" i="239"/>
  <c r="C8" i="239"/>
  <c r="C5" i="239"/>
  <c r="B6" i="239"/>
  <c r="B7" i="239"/>
  <c r="B8" i="239"/>
  <c r="B9" i="239"/>
  <c r="B5" i="239"/>
  <c r="A6" i="239"/>
  <c r="A7" i="239"/>
  <c r="A8" i="239"/>
  <c r="A9" i="239"/>
  <c r="A5" i="239"/>
  <c r="D3" i="239"/>
  <c r="C3" i="239"/>
  <c r="B3" i="239"/>
  <c r="A3" i="239"/>
  <c r="C2" i="239"/>
  <c r="A2" i="239"/>
  <c r="N14" i="242" l="1"/>
  <c r="N15" i="242"/>
  <c r="N16" i="242"/>
  <c r="M13" i="242"/>
  <c r="N12" i="242"/>
  <c r="M14" i="242"/>
  <c r="M15" i="242"/>
  <c r="M16" i="242"/>
  <c r="M12" i="242"/>
  <c r="L13" i="242"/>
  <c r="L14" i="242"/>
  <c r="L15" i="242"/>
  <c r="L16" i="242"/>
  <c r="L12" i="242"/>
  <c r="F2" i="201"/>
  <c r="D2" i="201"/>
  <c r="F1" i="201"/>
  <c r="D1" i="201"/>
  <c r="O6" i="201"/>
  <c r="L6" i="201"/>
  <c r="L5" i="201"/>
  <c r="J6" i="201"/>
  <c r="J5" i="201"/>
  <c r="H6" i="201"/>
  <c r="H5" i="201"/>
  <c r="F6" i="201"/>
  <c r="F5" i="201"/>
  <c r="E6" i="201"/>
  <c r="E5" i="201"/>
  <c r="G23" i="187"/>
  <c r="AC13" i="242" l="1" a="1"/>
  <c r="AC13" i="242" s="1"/>
  <c r="M6" i="201"/>
  <c r="AC12" i="242" a="1"/>
  <c r="AC12" i="242" s="1"/>
  <c r="BF29" i="264" l="1"/>
  <c r="BF30" i="264"/>
  <c r="Z32" i="264" l="1"/>
  <c r="Z33" i="264"/>
  <c r="Z34" i="264"/>
  <c r="Z35" i="264"/>
  <c r="Z36" i="264"/>
  <c r="Z37" i="264"/>
  <c r="Z38" i="264"/>
  <c r="Z39" i="264"/>
  <c r="Z40" i="264"/>
  <c r="Z42" i="264"/>
  <c r="Z43" i="264"/>
  <c r="Z44" i="264"/>
  <c r="Z45" i="264"/>
  <c r="Z46" i="264"/>
  <c r="Z47" i="264"/>
  <c r="Z48" i="264"/>
  <c r="Z49" i="264"/>
  <c r="Z50" i="264"/>
  <c r="Z51" i="264"/>
  <c r="Z52" i="264"/>
  <c r="Z53" i="264"/>
  <c r="Z54" i="264"/>
  <c r="Z55" i="264"/>
  <c r="Z56" i="264"/>
  <c r="Z57" i="264"/>
  <c r="Z58" i="264"/>
  <c r="Z59" i="264"/>
  <c r="Z63" i="264"/>
  <c r="Z64" i="264"/>
  <c r="Z65" i="264"/>
  <c r="Z66" i="264"/>
  <c r="Z67" i="264"/>
  <c r="Z68" i="264"/>
  <c r="Z69" i="264"/>
  <c r="Z70" i="264"/>
  <c r="Z71" i="264"/>
  <c r="Z72" i="264"/>
  <c r="Z73" i="264"/>
  <c r="Z74" i="264"/>
  <c r="Z75" i="264"/>
  <c r="Z76" i="264"/>
  <c r="Z77" i="264"/>
  <c r="Z78" i="264"/>
  <c r="Z79" i="264"/>
  <c r="Z80" i="264"/>
  <c r="Z81" i="264"/>
  <c r="Z82" i="264"/>
  <c r="Z83" i="264"/>
  <c r="Z84" i="264"/>
  <c r="Z85" i="264"/>
  <c r="Z86" i="264"/>
  <c r="Z87" i="264"/>
  <c r="Z88" i="264"/>
  <c r="Z89" i="264"/>
  <c r="Z90" i="264"/>
  <c r="Z91" i="264"/>
  <c r="Z93" i="264"/>
  <c r="Z94" i="264"/>
  <c r="Z95" i="264"/>
  <c r="Z97" i="264"/>
  <c r="Z98" i="264"/>
  <c r="Z99" i="264"/>
  <c r="Z100" i="264"/>
  <c r="Z101" i="264"/>
  <c r="Z102" i="264"/>
  <c r="Z103" i="264"/>
  <c r="Z104" i="264"/>
  <c r="Z106" i="264"/>
  <c r="Z107" i="264"/>
  <c r="Z108" i="264"/>
  <c r="Z109" i="264"/>
  <c r="Z111" i="264"/>
  <c r="Z112" i="264"/>
  <c r="Z115" i="264"/>
  <c r="Z116" i="264"/>
  <c r="Z117" i="264"/>
  <c r="Z118" i="264"/>
  <c r="Z119" i="264"/>
  <c r="Z120" i="264"/>
  <c r="Z130" i="264"/>
  <c r="Z31" i="264"/>
  <c r="AK32" i="264"/>
  <c r="AK130" i="264"/>
  <c r="B130" i="264"/>
  <c r="AK129" i="264"/>
  <c r="B129" i="264"/>
  <c r="AK128" i="264"/>
  <c r="B128" i="264"/>
  <c r="AK127" i="264"/>
  <c r="B127" i="264"/>
  <c r="CX126" i="264"/>
  <c r="CW126" i="264"/>
  <c r="CC126" i="264"/>
  <c r="CB126" i="264"/>
  <c r="CA126" i="264"/>
  <c r="BZ126" i="264"/>
  <c r="BY126" i="264"/>
  <c r="BX126" i="264"/>
  <c r="BW126" i="264"/>
  <c r="BV126" i="264"/>
  <c r="BU126" i="264"/>
  <c r="BT126" i="264"/>
  <c r="BS126" i="264"/>
  <c r="BR126" i="264"/>
  <c r="BQ126" i="264"/>
  <c r="BP126" i="264"/>
  <c r="BN126" i="264"/>
  <c r="AT126" i="264"/>
  <c r="AS126" i="264"/>
  <c r="AK126" i="264"/>
  <c r="B126" i="264"/>
  <c r="CX125" i="264"/>
  <c r="CW125" i="264"/>
  <c r="CC125" i="264"/>
  <c r="CB125" i="264"/>
  <c r="CA125" i="264"/>
  <c r="BZ125" i="264"/>
  <c r="BY125" i="264"/>
  <c r="BX125" i="264"/>
  <c r="BW125" i="264"/>
  <c r="BV125" i="264"/>
  <c r="BU125" i="264"/>
  <c r="BT125" i="264"/>
  <c r="BS125" i="264"/>
  <c r="BR125" i="264"/>
  <c r="BQ125" i="264"/>
  <c r="BP125" i="264"/>
  <c r="BN125" i="264"/>
  <c r="AT125" i="264"/>
  <c r="AS125" i="264"/>
  <c r="AK125" i="264"/>
  <c r="B125" i="264"/>
  <c r="CX124" i="264"/>
  <c r="CW124" i="264"/>
  <c r="CC124" i="264"/>
  <c r="CB124" i="264"/>
  <c r="CA124" i="264"/>
  <c r="BZ124" i="264"/>
  <c r="BY124" i="264"/>
  <c r="BX124" i="264"/>
  <c r="BW124" i="264"/>
  <c r="BV124" i="264"/>
  <c r="BU124" i="264"/>
  <c r="BT124" i="264"/>
  <c r="BS124" i="264"/>
  <c r="BR124" i="264"/>
  <c r="BQ124" i="264"/>
  <c r="BP124" i="264"/>
  <c r="BN124" i="264"/>
  <c r="AT124" i="264"/>
  <c r="AS124" i="264"/>
  <c r="AK124" i="264"/>
  <c r="B124" i="264"/>
  <c r="CX123" i="264"/>
  <c r="CW123" i="264"/>
  <c r="CC123" i="264"/>
  <c r="CB123" i="264"/>
  <c r="CA123" i="264"/>
  <c r="BZ123" i="264"/>
  <c r="BY123" i="264"/>
  <c r="BX123" i="264"/>
  <c r="BW123" i="264"/>
  <c r="BV123" i="264"/>
  <c r="BU123" i="264"/>
  <c r="BT123" i="264"/>
  <c r="BS123" i="264"/>
  <c r="BR123" i="264"/>
  <c r="BQ123" i="264"/>
  <c r="BP123" i="264"/>
  <c r="BN123" i="264"/>
  <c r="AT123" i="264"/>
  <c r="AS123" i="264"/>
  <c r="AK123" i="264"/>
  <c r="B123" i="264"/>
  <c r="CX122" i="264"/>
  <c r="CW122" i="264"/>
  <c r="CC122" i="264"/>
  <c r="CB122" i="264"/>
  <c r="CA122" i="264"/>
  <c r="BZ122" i="264"/>
  <c r="BY122" i="264"/>
  <c r="BX122" i="264"/>
  <c r="BW122" i="264"/>
  <c r="BV122" i="264"/>
  <c r="BU122" i="264"/>
  <c r="BT122" i="264"/>
  <c r="BS122" i="264"/>
  <c r="BR122" i="264"/>
  <c r="BQ122" i="264"/>
  <c r="BP122" i="264"/>
  <c r="BN122" i="264"/>
  <c r="AT122" i="264"/>
  <c r="AS122" i="264"/>
  <c r="AK122" i="264"/>
  <c r="B122" i="264"/>
  <c r="CX121" i="264"/>
  <c r="CW121" i="264"/>
  <c r="CC121" i="264"/>
  <c r="CB121" i="264"/>
  <c r="CA121" i="264"/>
  <c r="BZ121" i="264"/>
  <c r="BY121" i="264"/>
  <c r="BX121" i="264"/>
  <c r="BW121" i="264"/>
  <c r="BV121" i="264"/>
  <c r="BU121" i="264"/>
  <c r="BT121" i="264"/>
  <c r="BS121" i="264"/>
  <c r="BR121" i="264"/>
  <c r="BQ121" i="264"/>
  <c r="BP121" i="264"/>
  <c r="BN121" i="264"/>
  <c r="AT121" i="264"/>
  <c r="AS121" i="264"/>
  <c r="AK121" i="264"/>
  <c r="B121" i="264"/>
  <c r="CX120" i="264"/>
  <c r="CW120" i="264"/>
  <c r="CC120" i="264"/>
  <c r="CB120" i="264"/>
  <c r="CA120" i="264"/>
  <c r="BZ120" i="264"/>
  <c r="BY120" i="264"/>
  <c r="BX120" i="264"/>
  <c r="BW120" i="264"/>
  <c r="BV120" i="264"/>
  <c r="BT120" i="264"/>
  <c r="BS120" i="264"/>
  <c r="BR120" i="264"/>
  <c r="BQ120" i="264"/>
  <c r="BP120" i="264"/>
  <c r="BN120" i="264"/>
  <c r="AT120" i="264"/>
  <c r="AS120" i="264"/>
  <c r="AK120" i="264"/>
  <c r="B120" i="264"/>
  <c r="CX119" i="264"/>
  <c r="CW119" i="264"/>
  <c r="CC119" i="264"/>
  <c r="CB119" i="264"/>
  <c r="CA119" i="264"/>
  <c r="BZ119" i="264"/>
  <c r="BY119" i="264"/>
  <c r="BX119" i="264"/>
  <c r="BW119" i="264"/>
  <c r="BV119" i="264"/>
  <c r="BT119" i="264"/>
  <c r="BS119" i="264"/>
  <c r="BR119" i="264"/>
  <c r="BQ119" i="264"/>
  <c r="BP119" i="264"/>
  <c r="BN119" i="264"/>
  <c r="AT119" i="264"/>
  <c r="AS119" i="264"/>
  <c r="AK119" i="264"/>
  <c r="B119" i="264"/>
  <c r="CX118" i="264"/>
  <c r="CW118" i="264"/>
  <c r="CC118" i="264"/>
  <c r="CB118" i="264"/>
  <c r="CA118" i="264"/>
  <c r="BZ118" i="264"/>
  <c r="BY118" i="264"/>
  <c r="BX118" i="264"/>
  <c r="BW118" i="264"/>
  <c r="BV118" i="264"/>
  <c r="BT118" i="264"/>
  <c r="BS118" i="264"/>
  <c r="BR118" i="264"/>
  <c r="BQ118" i="264"/>
  <c r="BP118" i="264"/>
  <c r="BN118" i="264"/>
  <c r="AT118" i="264"/>
  <c r="AS118" i="264"/>
  <c r="AK118" i="264"/>
  <c r="B118" i="264"/>
  <c r="CX117" i="264"/>
  <c r="CW117" i="264"/>
  <c r="CC117" i="264"/>
  <c r="CB117" i="264"/>
  <c r="CA117" i="264"/>
  <c r="BZ117" i="264"/>
  <c r="BY117" i="264"/>
  <c r="BX117" i="264"/>
  <c r="BW117" i="264"/>
  <c r="BV117" i="264"/>
  <c r="BT117" i="264"/>
  <c r="BS117" i="264"/>
  <c r="BR117" i="264"/>
  <c r="BQ117" i="264"/>
  <c r="BP117" i="264"/>
  <c r="BN117" i="264"/>
  <c r="AT117" i="264"/>
  <c r="AS117" i="264"/>
  <c r="AK117" i="264"/>
  <c r="B117" i="264"/>
  <c r="CX116" i="264"/>
  <c r="CW116" i="264"/>
  <c r="CC116" i="264"/>
  <c r="CB116" i="264"/>
  <c r="CA116" i="264"/>
  <c r="BZ116" i="264"/>
  <c r="BY116" i="264"/>
  <c r="BX116" i="264"/>
  <c r="BW116" i="264"/>
  <c r="BV116" i="264"/>
  <c r="BT116" i="264"/>
  <c r="BS116" i="264"/>
  <c r="BR116" i="264"/>
  <c r="BQ116" i="264"/>
  <c r="BP116" i="264"/>
  <c r="BN116" i="264"/>
  <c r="AT116" i="264"/>
  <c r="AS116" i="264"/>
  <c r="AK116" i="264"/>
  <c r="B116" i="264"/>
  <c r="CX115" i="264"/>
  <c r="CW115" i="264"/>
  <c r="CC115" i="264"/>
  <c r="CB115" i="264"/>
  <c r="CA115" i="264"/>
  <c r="BZ115" i="264"/>
  <c r="BY115" i="264"/>
  <c r="BX115" i="264"/>
  <c r="BW115" i="264"/>
  <c r="BV115" i="264"/>
  <c r="BT115" i="264"/>
  <c r="BS115" i="264"/>
  <c r="BR115" i="264"/>
  <c r="BQ115" i="264"/>
  <c r="BP115" i="264"/>
  <c r="BN115" i="264"/>
  <c r="AT115" i="264"/>
  <c r="AS115" i="264"/>
  <c r="AK115" i="264"/>
  <c r="B115" i="264"/>
  <c r="CX114" i="264"/>
  <c r="CW114" i="264"/>
  <c r="CC114" i="264"/>
  <c r="CB114" i="264"/>
  <c r="CA114" i="264"/>
  <c r="BZ114" i="264"/>
  <c r="BY114" i="264"/>
  <c r="BX114" i="264"/>
  <c r="BW114" i="264"/>
  <c r="BV114" i="264"/>
  <c r="BT114" i="264"/>
  <c r="BS114" i="264"/>
  <c r="BR114" i="264"/>
  <c r="BQ114" i="264"/>
  <c r="BP114" i="264"/>
  <c r="BN114" i="264"/>
  <c r="AT114" i="264"/>
  <c r="AS114" i="264"/>
  <c r="AK114" i="264"/>
  <c r="B114" i="264"/>
  <c r="CX113" i="264"/>
  <c r="CW113" i="264"/>
  <c r="CC113" i="264"/>
  <c r="CB113" i="264"/>
  <c r="CA113" i="264"/>
  <c r="BZ113" i="264"/>
  <c r="BY113" i="264"/>
  <c r="BX113" i="264"/>
  <c r="BW113" i="264"/>
  <c r="BV113" i="264"/>
  <c r="BT113" i="264"/>
  <c r="BS113" i="264"/>
  <c r="BR113" i="264"/>
  <c r="BQ113" i="264"/>
  <c r="BP113" i="264"/>
  <c r="BN113" i="264"/>
  <c r="AT113" i="264"/>
  <c r="AS113" i="264"/>
  <c r="AK113" i="264"/>
  <c r="B113" i="264"/>
  <c r="CX112" i="264"/>
  <c r="CW112" i="264"/>
  <c r="CC112" i="264"/>
  <c r="CB112" i="264"/>
  <c r="CA112" i="264"/>
  <c r="BZ112" i="264"/>
  <c r="BY112" i="264"/>
  <c r="BX112" i="264"/>
  <c r="BW112" i="264"/>
  <c r="BV112" i="264"/>
  <c r="BT112" i="264"/>
  <c r="BS112" i="264"/>
  <c r="BR112" i="264"/>
  <c r="BQ112" i="264"/>
  <c r="BP112" i="264"/>
  <c r="BN112" i="264"/>
  <c r="AT112" i="264"/>
  <c r="AS112" i="264"/>
  <c r="AK112" i="264"/>
  <c r="B112" i="264"/>
  <c r="CX111" i="264"/>
  <c r="CW111" i="264"/>
  <c r="CC111" i="264"/>
  <c r="CB111" i="264"/>
  <c r="CA111" i="264"/>
  <c r="BZ111" i="264"/>
  <c r="BY111" i="264"/>
  <c r="BX111" i="264"/>
  <c r="BW111" i="264"/>
  <c r="BV111" i="264"/>
  <c r="BT111" i="264"/>
  <c r="BS111" i="264"/>
  <c r="BR111" i="264"/>
  <c r="BQ111" i="264"/>
  <c r="BP111" i="264"/>
  <c r="BN111" i="264"/>
  <c r="AT111" i="264"/>
  <c r="AS111" i="264"/>
  <c r="AK111" i="264"/>
  <c r="B111" i="264"/>
  <c r="CX110" i="264"/>
  <c r="CW110" i="264"/>
  <c r="CC110" i="264"/>
  <c r="CB110" i="264"/>
  <c r="CA110" i="264"/>
  <c r="BZ110" i="264"/>
  <c r="BY110" i="264"/>
  <c r="BX110" i="264"/>
  <c r="BW110" i="264"/>
  <c r="BV110" i="264"/>
  <c r="BT110" i="264"/>
  <c r="BS110" i="264"/>
  <c r="BR110" i="264"/>
  <c r="BQ110" i="264"/>
  <c r="BP110" i="264"/>
  <c r="BN110" i="264"/>
  <c r="AT110" i="264"/>
  <c r="AS110" i="264"/>
  <c r="AK110" i="264"/>
  <c r="B110" i="264"/>
  <c r="CX109" i="264"/>
  <c r="CW109" i="264"/>
  <c r="CC109" i="264"/>
  <c r="CB109" i="264"/>
  <c r="CA109" i="264"/>
  <c r="BZ109" i="264"/>
  <c r="BY109" i="264"/>
  <c r="BX109" i="264"/>
  <c r="BW109" i="264"/>
  <c r="BV109" i="264"/>
  <c r="BU109" i="264"/>
  <c r="BT109" i="264"/>
  <c r="BS109" i="264"/>
  <c r="BR109" i="264"/>
  <c r="BQ109" i="264"/>
  <c r="BP109" i="264"/>
  <c r="BN109" i="264"/>
  <c r="BL109" i="264"/>
  <c r="BJ109" i="264"/>
  <c r="AT109" i="264"/>
  <c r="AS109" i="264"/>
  <c r="AK109" i="264"/>
  <c r="B109" i="264"/>
  <c r="CX108" i="264"/>
  <c r="CW108" i="264"/>
  <c r="CQ108" i="264"/>
  <c r="CP108" i="264"/>
  <c r="CO108" i="264"/>
  <c r="CN108" i="264"/>
  <c r="CM108" i="264"/>
  <c r="CL108" i="264"/>
  <c r="CK108" i="264"/>
  <c r="CJ108" i="264"/>
  <c r="CI108" i="264"/>
  <c r="CH108" i="264"/>
  <c r="CC108" i="264"/>
  <c r="CB108" i="264"/>
  <c r="CA108" i="264"/>
  <c r="BZ108" i="264"/>
  <c r="BY108" i="264"/>
  <c r="BX108" i="264"/>
  <c r="BW108" i="264"/>
  <c r="BV108" i="264"/>
  <c r="BU108" i="264"/>
  <c r="BT108" i="264"/>
  <c r="BS108" i="264"/>
  <c r="BR108" i="264"/>
  <c r="BQ108" i="264"/>
  <c r="BP108" i="264"/>
  <c r="BN108" i="264"/>
  <c r="AT108" i="264"/>
  <c r="AS108" i="264"/>
  <c r="AK108" i="264"/>
  <c r="B108" i="264"/>
  <c r="CX107" i="264"/>
  <c r="CW107" i="264"/>
  <c r="CC107" i="264"/>
  <c r="CB107" i="264"/>
  <c r="CA107" i="264"/>
  <c r="BZ107" i="264"/>
  <c r="BY107" i="264"/>
  <c r="BX107" i="264"/>
  <c r="BW107" i="264"/>
  <c r="BV107" i="264"/>
  <c r="BU107" i="264"/>
  <c r="BT107" i="264"/>
  <c r="BS107" i="264"/>
  <c r="BR107" i="264"/>
  <c r="BQ107" i="264"/>
  <c r="BP107" i="264"/>
  <c r="BN107" i="264"/>
  <c r="AT107" i="264"/>
  <c r="AS107" i="264"/>
  <c r="AK107" i="264"/>
  <c r="B107" i="264"/>
  <c r="CX106" i="264"/>
  <c r="CW106" i="264"/>
  <c r="CC106" i="264"/>
  <c r="CB106" i="264"/>
  <c r="CA106" i="264"/>
  <c r="BZ106" i="264"/>
  <c r="BY106" i="264"/>
  <c r="BX106" i="264"/>
  <c r="BW106" i="264"/>
  <c r="BV106" i="264"/>
  <c r="BT106" i="264"/>
  <c r="BS106" i="264"/>
  <c r="BR106" i="264"/>
  <c r="BQ106" i="264"/>
  <c r="BP106" i="264"/>
  <c r="BN106" i="264"/>
  <c r="AT106" i="264"/>
  <c r="AS106" i="264"/>
  <c r="AK106" i="264"/>
  <c r="B106" i="264"/>
  <c r="CX105" i="264"/>
  <c r="CW105" i="264"/>
  <c r="CC105" i="264"/>
  <c r="CB105" i="264"/>
  <c r="CA105" i="264"/>
  <c r="BZ105" i="264"/>
  <c r="BY105" i="264"/>
  <c r="BX105" i="264"/>
  <c r="BW105" i="264"/>
  <c r="BV105" i="264"/>
  <c r="BU105" i="264"/>
  <c r="BT105" i="264"/>
  <c r="BS105" i="264"/>
  <c r="BR105" i="264"/>
  <c r="BQ105" i="264"/>
  <c r="BP105" i="264"/>
  <c r="BN105" i="264"/>
  <c r="AT105" i="264"/>
  <c r="AS105" i="264"/>
  <c r="AK105" i="264"/>
  <c r="B105" i="264"/>
  <c r="CX104" i="264"/>
  <c r="CW104" i="264"/>
  <c r="CC104" i="264"/>
  <c r="CB104" i="264"/>
  <c r="CA104" i="264"/>
  <c r="BZ104" i="264"/>
  <c r="BY104" i="264"/>
  <c r="BX104" i="264"/>
  <c r="BW104" i="264"/>
  <c r="BV104" i="264"/>
  <c r="BT104" i="264"/>
  <c r="BS104" i="264"/>
  <c r="BR104" i="264"/>
  <c r="BQ104" i="264"/>
  <c r="BP104" i="264"/>
  <c r="BN104" i="264"/>
  <c r="AT104" i="264"/>
  <c r="AS104" i="264"/>
  <c r="AK104" i="264"/>
  <c r="B104" i="264"/>
  <c r="CX103" i="264"/>
  <c r="CW103" i="264"/>
  <c r="CC103" i="264"/>
  <c r="CB103" i="264"/>
  <c r="CA103" i="264"/>
  <c r="BZ103" i="264"/>
  <c r="BY103" i="264"/>
  <c r="BX103" i="264"/>
  <c r="BW103" i="264"/>
  <c r="BV103" i="264"/>
  <c r="BT103" i="264"/>
  <c r="BS103" i="264"/>
  <c r="BR103" i="264"/>
  <c r="BQ103" i="264"/>
  <c r="BP103" i="264"/>
  <c r="BN103" i="264"/>
  <c r="AT103" i="264"/>
  <c r="AS103" i="264"/>
  <c r="AK103" i="264"/>
  <c r="B103" i="264"/>
  <c r="CX102" i="264"/>
  <c r="CW102" i="264"/>
  <c r="CC102" i="264"/>
  <c r="CB102" i="264"/>
  <c r="CA102" i="264"/>
  <c r="BZ102" i="264"/>
  <c r="BY102" i="264"/>
  <c r="BX102" i="264"/>
  <c r="BW102" i="264"/>
  <c r="BV102" i="264"/>
  <c r="BT102" i="264"/>
  <c r="BS102" i="264"/>
  <c r="BR102" i="264"/>
  <c r="BQ102" i="264"/>
  <c r="BP102" i="264"/>
  <c r="BN102" i="264"/>
  <c r="AT102" i="264"/>
  <c r="AS102" i="264"/>
  <c r="AK102" i="264"/>
  <c r="B102" i="264"/>
  <c r="CX101" i="264"/>
  <c r="CW101" i="264"/>
  <c r="CC101" i="264"/>
  <c r="CB101" i="264"/>
  <c r="CA101" i="264"/>
  <c r="BZ101" i="264"/>
  <c r="BY101" i="264"/>
  <c r="BX101" i="264"/>
  <c r="BW101" i="264"/>
  <c r="BV101" i="264"/>
  <c r="BT101" i="264"/>
  <c r="BS101" i="264"/>
  <c r="BR101" i="264"/>
  <c r="BQ101" i="264"/>
  <c r="BP101" i="264"/>
  <c r="BN101" i="264"/>
  <c r="AT101" i="264"/>
  <c r="AS101" i="264"/>
  <c r="AK101" i="264"/>
  <c r="B101" i="264"/>
  <c r="CX100" i="264"/>
  <c r="CW100" i="264"/>
  <c r="CC100" i="264"/>
  <c r="CB100" i="264"/>
  <c r="CA100" i="264"/>
  <c r="BZ100" i="264"/>
  <c r="BY100" i="264"/>
  <c r="BX100" i="264"/>
  <c r="BW100" i="264"/>
  <c r="BV100" i="264"/>
  <c r="BT100" i="264"/>
  <c r="BS100" i="264"/>
  <c r="BR100" i="264"/>
  <c r="BQ100" i="264"/>
  <c r="BP100" i="264"/>
  <c r="BN100" i="264"/>
  <c r="AT100" i="264"/>
  <c r="AS100" i="264"/>
  <c r="AK100" i="264"/>
  <c r="B100" i="264"/>
  <c r="CX99" i="264"/>
  <c r="CW99" i="264"/>
  <c r="CC99" i="264"/>
  <c r="CB99" i="264"/>
  <c r="CA99" i="264"/>
  <c r="BZ99" i="264"/>
  <c r="BY99" i="264"/>
  <c r="BX99" i="264"/>
  <c r="BW99" i="264"/>
  <c r="BV99" i="264"/>
  <c r="BT99" i="264"/>
  <c r="BS99" i="264"/>
  <c r="BR99" i="264"/>
  <c r="BQ99" i="264"/>
  <c r="BP99" i="264"/>
  <c r="BN99" i="264"/>
  <c r="AT99" i="264"/>
  <c r="AS99" i="264"/>
  <c r="AK99" i="264"/>
  <c r="B99" i="264"/>
  <c r="CX98" i="264"/>
  <c r="CW98" i="264"/>
  <c r="CC98" i="264"/>
  <c r="CB98" i="264"/>
  <c r="CA98" i="264"/>
  <c r="BZ98" i="264"/>
  <c r="BY98" i="264"/>
  <c r="BX98" i="264"/>
  <c r="BW98" i="264"/>
  <c r="BV98" i="264"/>
  <c r="BT98" i="264"/>
  <c r="BS98" i="264"/>
  <c r="BR98" i="264"/>
  <c r="BQ98" i="264"/>
  <c r="BP98" i="264"/>
  <c r="BN98" i="264"/>
  <c r="AT98" i="264"/>
  <c r="AS98" i="264"/>
  <c r="AK98" i="264"/>
  <c r="B98" i="264"/>
  <c r="CX97" i="264"/>
  <c r="CW97" i="264"/>
  <c r="CC97" i="264"/>
  <c r="CB97" i="264"/>
  <c r="CA97" i="264"/>
  <c r="BZ97" i="264"/>
  <c r="BY97" i="264"/>
  <c r="BX97" i="264"/>
  <c r="BW97" i="264"/>
  <c r="BV97" i="264"/>
  <c r="BT97" i="264"/>
  <c r="BS97" i="264"/>
  <c r="BR97" i="264"/>
  <c r="BQ97" i="264"/>
  <c r="BP97" i="264"/>
  <c r="BN97" i="264"/>
  <c r="AT97" i="264"/>
  <c r="AS97" i="264"/>
  <c r="AK97" i="264"/>
  <c r="B97" i="264"/>
  <c r="CX96" i="264"/>
  <c r="CW96" i="264"/>
  <c r="CC96" i="264"/>
  <c r="CB96" i="264"/>
  <c r="CA96" i="264"/>
  <c r="BZ96" i="264"/>
  <c r="BY96" i="264"/>
  <c r="BX96" i="264"/>
  <c r="BW96" i="264"/>
  <c r="BV96" i="264"/>
  <c r="BT96" i="264"/>
  <c r="BS96" i="264"/>
  <c r="BR96" i="264"/>
  <c r="BQ96" i="264"/>
  <c r="BP96" i="264"/>
  <c r="BN96" i="264"/>
  <c r="AT96" i="264"/>
  <c r="AS96" i="264"/>
  <c r="AK96" i="264"/>
  <c r="B96" i="264"/>
  <c r="CX95" i="264"/>
  <c r="CW95" i="264"/>
  <c r="CC95" i="264"/>
  <c r="CB95" i="264"/>
  <c r="CA95" i="264"/>
  <c r="BZ95" i="264"/>
  <c r="BY95" i="264"/>
  <c r="BX95" i="264"/>
  <c r="BW95" i="264"/>
  <c r="BV95" i="264"/>
  <c r="BT95" i="264"/>
  <c r="BS95" i="264"/>
  <c r="BR95" i="264"/>
  <c r="BQ95" i="264"/>
  <c r="BP95" i="264"/>
  <c r="BN95" i="264"/>
  <c r="AT95" i="264"/>
  <c r="AS95" i="264"/>
  <c r="AK95" i="264"/>
  <c r="B95" i="264"/>
  <c r="CX94" i="264"/>
  <c r="CW94" i="264"/>
  <c r="CC94" i="264"/>
  <c r="CB94" i="264"/>
  <c r="CA94" i="264"/>
  <c r="BZ94" i="264"/>
  <c r="BY94" i="264"/>
  <c r="BX94" i="264"/>
  <c r="BW94" i="264"/>
  <c r="BV94" i="264"/>
  <c r="BT94" i="264"/>
  <c r="BS94" i="264"/>
  <c r="BR94" i="264"/>
  <c r="BQ94" i="264"/>
  <c r="BP94" i="264"/>
  <c r="BN94" i="264"/>
  <c r="AT94" i="264"/>
  <c r="AS94" i="264"/>
  <c r="AK94" i="264"/>
  <c r="B94" i="264"/>
  <c r="CX93" i="264"/>
  <c r="CW93" i="264"/>
  <c r="CC93" i="264"/>
  <c r="CB93" i="264"/>
  <c r="CA93" i="264"/>
  <c r="BZ93" i="264"/>
  <c r="BY93" i="264"/>
  <c r="BX93" i="264"/>
  <c r="BW93" i="264"/>
  <c r="BV93" i="264"/>
  <c r="BT93" i="264"/>
  <c r="BS93" i="264"/>
  <c r="BR93" i="264"/>
  <c r="BQ93" i="264"/>
  <c r="BP93" i="264"/>
  <c r="BN93" i="264"/>
  <c r="AT93" i="264"/>
  <c r="AS93" i="264"/>
  <c r="AK93" i="264"/>
  <c r="B93" i="264"/>
  <c r="CX92" i="264"/>
  <c r="CW92" i="264"/>
  <c r="CC92" i="264"/>
  <c r="CB92" i="264"/>
  <c r="CA92" i="264"/>
  <c r="BZ92" i="264"/>
  <c r="BY92" i="264"/>
  <c r="BX92" i="264"/>
  <c r="BW92" i="264"/>
  <c r="BV92" i="264"/>
  <c r="BT92" i="264"/>
  <c r="BS92" i="264"/>
  <c r="BR92" i="264"/>
  <c r="BQ92" i="264"/>
  <c r="BP92" i="264"/>
  <c r="BN92" i="264"/>
  <c r="AT92" i="264"/>
  <c r="AS92" i="264"/>
  <c r="AK92" i="264"/>
  <c r="B92" i="264"/>
  <c r="CX91" i="264"/>
  <c r="CW91" i="264"/>
  <c r="CC91" i="264"/>
  <c r="CB91" i="264"/>
  <c r="CA91" i="264"/>
  <c r="BZ91" i="264"/>
  <c r="BY91" i="264"/>
  <c r="BX91" i="264"/>
  <c r="BW91" i="264"/>
  <c r="BV91" i="264"/>
  <c r="BT91" i="264"/>
  <c r="BS91" i="264"/>
  <c r="BR91" i="264"/>
  <c r="BQ91" i="264"/>
  <c r="BP91" i="264"/>
  <c r="BN91" i="264"/>
  <c r="AT91" i="264"/>
  <c r="AS91" i="264"/>
  <c r="AK91" i="264"/>
  <c r="B91" i="264"/>
  <c r="CX90" i="264"/>
  <c r="CW90" i="264"/>
  <c r="CC90" i="264"/>
  <c r="CB90" i="264"/>
  <c r="CA90" i="264"/>
  <c r="BZ90" i="264"/>
  <c r="BY90" i="264"/>
  <c r="BX90" i="264"/>
  <c r="BW90" i="264"/>
  <c r="BV90" i="264"/>
  <c r="BT90" i="264"/>
  <c r="BS90" i="264"/>
  <c r="BR90" i="264"/>
  <c r="BQ90" i="264"/>
  <c r="BP90" i="264"/>
  <c r="BN90" i="264"/>
  <c r="AT90" i="264"/>
  <c r="AS90" i="264"/>
  <c r="AK90" i="264"/>
  <c r="B90" i="264"/>
  <c r="AQ3" i="264"/>
  <c r="AP3" i="264"/>
  <c r="AQ2" i="264"/>
  <c r="AP2" i="264"/>
  <c r="CX89" i="264"/>
  <c r="CW89" i="264"/>
  <c r="CC89" i="264"/>
  <c r="CB89" i="264"/>
  <c r="CA89" i="264"/>
  <c r="BZ89" i="264"/>
  <c r="BY89" i="264"/>
  <c r="BX89" i="264"/>
  <c r="BW89" i="264"/>
  <c r="BV89" i="264"/>
  <c r="BT89" i="264"/>
  <c r="BS89" i="264"/>
  <c r="BR89" i="264"/>
  <c r="BQ89" i="264"/>
  <c r="BP89" i="264"/>
  <c r="BN89" i="264"/>
  <c r="AT89" i="264"/>
  <c r="AS89" i="264"/>
  <c r="AK89" i="264"/>
  <c r="B89" i="264"/>
  <c r="CX88" i="264"/>
  <c r="CW88" i="264"/>
  <c r="CC88" i="264"/>
  <c r="CB88" i="264"/>
  <c r="CA88" i="264"/>
  <c r="BZ88" i="264"/>
  <c r="BY88" i="264"/>
  <c r="BX88" i="264"/>
  <c r="BW88" i="264"/>
  <c r="BV88" i="264"/>
  <c r="BT88" i="264"/>
  <c r="BS88" i="264"/>
  <c r="BR88" i="264"/>
  <c r="BQ88" i="264"/>
  <c r="BP88" i="264"/>
  <c r="BN88" i="264"/>
  <c r="AT88" i="264"/>
  <c r="AS88" i="264"/>
  <c r="AK88" i="264"/>
  <c r="B88" i="264"/>
  <c r="CX87" i="264"/>
  <c r="CW87" i="264"/>
  <c r="CC87" i="264"/>
  <c r="CB87" i="264"/>
  <c r="CA87" i="264"/>
  <c r="BZ87" i="264"/>
  <c r="BY87" i="264"/>
  <c r="BX87" i="264"/>
  <c r="BW87" i="264"/>
  <c r="BV87" i="264"/>
  <c r="BT87" i="264"/>
  <c r="BS87" i="264"/>
  <c r="BR87" i="264"/>
  <c r="BQ87" i="264"/>
  <c r="BP87" i="264"/>
  <c r="BN87" i="264"/>
  <c r="AT87" i="264"/>
  <c r="AS87" i="264"/>
  <c r="AK87" i="264"/>
  <c r="B87" i="264"/>
  <c r="CX86" i="264"/>
  <c r="CW86" i="264"/>
  <c r="CC86" i="264"/>
  <c r="CB86" i="264"/>
  <c r="CA86" i="264"/>
  <c r="BZ86" i="264"/>
  <c r="BY86" i="264"/>
  <c r="BX86" i="264"/>
  <c r="BW86" i="264"/>
  <c r="BV86" i="264"/>
  <c r="BT86" i="264"/>
  <c r="BS86" i="264"/>
  <c r="BR86" i="264"/>
  <c r="BQ86" i="264"/>
  <c r="BP86" i="264"/>
  <c r="BN86" i="264"/>
  <c r="AT86" i="264"/>
  <c r="AS86" i="264"/>
  <c r="AK86" i="264"/>
  <c r="B86" i="264"/>
  <c r="CX85" i="264"/>
  <c r="CW85" i="264"/>
  <c r="CC85" i="264"/>
  <c r="CB85" i="264"/>
  <c r="CA85" i="264"/>
  <c r="BZ85" i="264"/>
  <c r="BY85" i="264"/>
  <c r="BX85" i="264"/>
  <c r="BW85" i="264"/>
  <c r="BV85" i="264"/>
  <c r="BT85" i="264"/>
  <c r="BS85" i="264"/>
  <c r="BR85" i="264"/>
  <c r="BQ85" i="264"/>
  <c r="BP85" i="264"/>
  <c r="BN85" i="264"/>
  <c r="AT85" i="264"/>
  <c r="AS85" i="264"/>
  <c r="AK85" i="264"/>
  <c r="B85" i="264"/>
  <c r="CX84" i="264"/>
  <c r="CW84" i="264"/>
  <c r="CC84" i="264"/>
  <c r="CB84" i="264"/>
  <c r="CA84" i="264"/>
  <c r="BZ84" i="264"/>
  <c r="BY84" i="264"/>
  <c r="BX84" i="264"/>
  <c r="BW84" i="264"/>
  <c r="BV84" i="264"/>
  <c r="BT84" i="264"/>
  <c r="BS84" i="264"/>
  <c r="BR84" i="264"/>
  <c r="BQ84" i="264"/>
  <c r="BP84" i="264"/>
  <c r="BN84" i="264"/>
  <c r="AT84" i="264"/>
  <c r="AS84" i="264"/>
  <c r="AK84" i="264"/>
  <c r="B84" i="264"/>
  <c r="CX83" i="264"/>
  <c r="CW83" i="264"/>
  <c r="CC83" i="264"/>
  <c r="CB83" i="264"/>
  <c r="CA83" i="264"/>
  <c r="BZ83" i="264"/>
  <c r="BY83" i="264"/>
  <c r="BX83" i="264"/>
  <c r="BW83" i="264"/>
  <c r="BV83" i="264"/>
  <c r="BT83" i="264"/>
  <c r="BS83" i="264"/>
  <c r="BR83" i="264"/>
  <c r="BQ83" i="264"/>
  <c r="BP83" i="264"/>
  <c r="BN83" i="264"/>
  <c r="AT83" i="264"/>
  <c r="AS83" i="264"/>
  <c r="AK83" i="264"/>
  <c r="B83" i="264"/>
  <c r="CX82" i="264"/>
  <c r="CW82" i="264"/>
  <c r="CC82" i="264"/>
  <c r="CB82" i="264"/>
  <c r="CA82" i="264"/>
  <c r="BZ82" i="264"/>
  <c r="BY82" i="264"/>
  <c r="BX82" i="264"/>
  <c r="BW82" i="264"/>
  <c r="BV82" i="264"/>
  <c r="BT82" i="264"/>
  <c r="BS82" i="264"/>
  <c r="BR82" i="264"/>
  <c r="BQ82" i="264"/>
  <c r="BP82" i="264"/>
  <c r="BN82" i="264"/>
  <c r="AT82" i="264"/>
  <c r="AS82" i="264"/>
  <c r="AK82" i="264"/>
  <c r="B82" i="264"/>
  <c r="CX81" i="264"/>
  <c r="CW81" i="264"/>
  <c r="CC81" i="264"/>
  <c r="CB81" i="264"/>
  <c r="CA81" i="264"/>
  <c r="BZ81" i="264"/>
  <c r="BY81" i="264"/>
  <c r="BX81" i="264"/>
  <c r="BW81" i="264"/>
  <c r="BV81" i="264"/>
  <c r="BT81" i="264"/>
  <c r="BS81" i="264"/>
  <c r="BR81" i="264"/>
  <c r="BQ81" i="264"/>
  <c r="BP81" i="264"/>
  <c r="BN81" i="264"/>
  <c r="AT81" i="264"/>
  <c r="AS81" i="264"/>
  <c r="AK81" i="264"/>
  <c r="B81" i="264"/>
  <c r="CX80" i="264"/>
  <c r="CW80" i="264"/>
  <c r="CC80" i="264"/>
  <c r="CB80" i="264"/>
  <c r="CA80" i="264"/>
  <c r="BZ80" i="264"/>
  <c r="BY80" i="264"/>
  <c r="BX80" i="264"/>
  <c r="BW80" i="264"/>
  <c r="BV80" i="264"/>
  <c r="BT80" i="264"/>
  <c r="BS80" i="264"/>
  <c r="BR80" i="264"/>
  <c r="BQ80" i="264"/>
  <c r="BP80" i="264"/>
  <c r="BN80" i="264"/>
  <c r="AT80" i="264"/>
  <c r="AS80" i="264"/>
  <c r="AK80" i="264"/>
  <c r="B80" i="264"/>
  <c r="CX79" i="264"/>
  <c r="CW79" i="264"/>
  <c r="CC79" i="264"/>
  <c r="CB79" i="264"/>
  <c r="CA79" i="264"/>
  <c r="BZ79" i="264"/>
  <c r="BY79" i="264"/>
  <c r="BX79" i="264"/>
  <c r="BW79" i="264"/>
  <c r="BV79" i="264"/>
  <c r="BT79" i="264"/>
  <c r="BS79" i="264"/>
  <c r="BR79" i="264"/>
  <c r="BQ79" i="264"/>
  <c r="BP79" i="264"/>
  <c r="BN79" i="264"/>
  <c r="AT79" i="264"/>
  <c r="AS79" i="264"/>
  <c r="AK79" i="264"/>
  <c r="B79" i="264"/>
  <c r="CX78" i="264"/>
  <c r="CW78" i="264"/>
  <c r="CC78" i="264"/>
  <c r="CB78" i="264"/>
  <c r="CA78" i="264"/>
  <c r="BZ78" i="264"/>
  <c r="BY78" i="264"/>
  <c r="BX78" i="264"/>
  <c r="BW78" i="264"/>
  <c r="BV78" i="264"/>
  <c r="BT78" i="264"/>
  <c r="BS78" i="264"/>
  <c r="BR78" i="264"/>
  <c r="BQ78" i="264"/>
  <c r="BP78" i="264"/>
  <c r="BN78" i="264"/>
  <c r="AT78" i="264"/>
  <c r="AS78" i="264"/>
  <c r="AK78" i="264"/>
  <c r="B78" i="264"/>
  <c r="CX77" i="264"/>
  <c r="CW77" i="264"/>
  <c r="CC77" i="264"/>
  <c r="CB77" i="264"/>
  <c r="CA77" i="264"/>
  <c r="BZ77" i="264"/>
  <c r="BY77" i="264"/>
  <c r="BX77" i="264"/>
  <c r="BW77" i="264"/>
  <c r="BV77" i="264"/>
  <c r="BT77" i="264"/>
  <c r="BS77" i="264"/>
  <c r="BR77" i="264"/>
  <c r="BQ77" i="264"/>
  <c r="BP77" i="264"/>
  <c r="BN77" i="264"/>
  <c r="AT77" i="264"/>
  <c r="AS77" i="264"/>
  <c r="AK77" i="264"/>
  <c r="B77" i="264"/>
  <c r="CX76" i="264"/>
  <c r="CW76" i="264"/>
  <c r="CC76" i="264"/>
  <c r="CB76" i="264"/>
  <c r="CA76" i="264"/>
  <c r="BZ76" i="264"/>
  <c r="BY76" i="264"/>
  <c r="BX76" i="264"/>
  <c r="BW76" i="264"/>
  <c r="BV76" i="264"/>
  <c r="BT76" i="264"/>
  <c r="BS76" i="264"/>
  <c r="BR76" i="264"/>
  <c r="BQ76" i="264"/>
  <c r="BP76" i="264"/>
  <c r="BN76" i="264"/>
  <c r="AT76" i="264"/>
  <c r="AS76" i="264"/>
  <c r="AK76" i="264"/>
  <c r="B76" i="264"/>
  <c r="CX75" i="264"/>
  <c r="CW75" i="264"/>
  <c r="CC75" i="264"/>
  <c r="CB75" i="264"/>
  <c r="CA75" i="264"/>
  <c r="BZ75" i="264"/>
  <c r="BY75" i="264"/>
  <c r="BX75" i="264"/>
  <c r="BW75" i="264"/>
  <c r="BV75" i="264"/>
  <c r="BT75" i="264"/>
  <c r="BS75" i="264"/>
  <c r="BR75" i="264"/>
  <c r="BQ75" i="264"/>
  <c r="BP75" i="264"/>
  <c r="BN75" i="264"/>
  <c r="AT75" i="264"/>
  <c r="AS75" i="264"/>
  <c r="AK75" i="264"/>
  <c r="B75" i="264"/>
  <c r="CX74" i="264"/>
  <c r="CW74" i="264"/>
  <c r="CC74" i="264"/>
  <c r="CB74" i="264"/>
  <c r="CA74" i="264"/>
  <c r="BZ74" i="264"/>
  <c r="BY74" i="264"/>
  <c r="BX74" i="264"/>
  <c r="BW74" i="264"/>
  <c r="BV74" i="264"/>
  <c r="BT74" i="264"/>
  <c r="BS74" i="264"/>
  <c r="BR74" i="264"/>
  <c r="BQ74" i="264"/>
  <c r="BP74" i="264"/>
  <c r="BN74" i="264"/>
  <c r="AT74" i="264"/>
  <c r="AS74" i="264"/>
  <c r="AK74" i="264"/>
  <c r="B74" i="264"/>
  <c r="CX73" i="264"/>
  <c r="CW73" i="264"/>
  <c r="CC73" i="264"/>
  <c r="CB73" i="264"/>
  <c r="CA73" i="264"/>
  <c r="BZ73" i="264"/>
  <c r="BY73" i="264"/>
  <c r="BX73" i="264"/>
  <c r="BW73" i="264"/>
  <c r="BV73" i="264"/>
  <c r="BT73" i="264"/>
  <c r="BS73" i="264"/>
  <c r="BR73" i="264"/>
  <c r="BQ73" i="264"/>
  <c r="BP73" i="264"/>
  <c r="BN73" i="264"/>
  <c r="AT73" i="264"/>
  <c r="AS73" i="264"/>
  <c r="AK73" i="264"/>
  <c r="B73" i="264"/>
  <c r="CX72" i="264"/>
  <c r="CW72" i="264"/>
  <c r="CC72" i="264"/>
  <c r="CB72" i="264"/>
  <c r="CA72" i="264"/>
  <c r="BZ72" i="264"/>
  <c r="BY72" i="264"/>
  <c r="BX72" i="264"/>
  <c r="BW72" i="264"/>
  <c r="BV72" i="264"/>
  <c r="BT72" i="264"/>
  <c r="BS72" i="264"/>
  <c r="BR72" i="264"/>
  <c r="BQ72" i="264"/>
  <c r="BP72" i="264"/>
  <c r="BN72" i="264"/>
  <c r="AT72" i="264"/>
  <c r="AS72" i="264"/>
  <c r="AK72" i="264"/>
  <c r="B72" i="264"/>
  <c r="CX71" i="264"/>
  <c r="CW71" i="264"/>
  <c r="CC71" i="264"/>
  <c r="CB71" i="264"/>
  <c r="CA71" i="264"/>
  <c r="BZ71" i="264"/>
  <c r="BY71" i="264"/>
  <c r="BX71" i="264"/>
  <c r="BW71" i="264"/>
  <c r="BV71" i="264"/>
  <c r="BT71" i="264"/>
  <c r="BS71" i="264"/>
  <c r="BR71" i="264"/>
  <c r="BQ71" i="264"/>
  <c r="BP71" i="264"/>
  <c r="BN71" i="264"/>
  <c r="AT71" i="264"/>
  <c r="AS71" i="264"/>
  <c r="AK71" i="264"/>
  <c r="B71" i="264"/>
  <c r="CX70" i="264"/>
  <c r="CW70" i="264"/>
  <c r="CC70" i="264"/>
  <c r="CB70" i="264"/>
  <c r="CA70" i="264"/>
  <c r="BZ70" i="264"/>
  <c r="BY70" i="264"/>
  <c r="BX70" i="264"/>
  <c r="BW70" i="264"/>
  <c r="BV70" i="264"/>
  <c r="BT70" i="264"/>
  <c r="BS70" i="264"/>
  <c r="BR70" i="264"/>
  <c r="BQ70" i="264"/>
  <c r="BP70" i="264"/>
  <c r="BN70" i="264"/>
  <c r="AT70" i="264"/>
  <c r="AS70" i="264"/>
  <c r="AK70" i="264"/>
  <c r="B70" i="264"/>
  <c r="CX69" i="264"/>
  <c r="CW69" i="264"/>
  <c r="CC69" i="264"/>
  <c r="CB69" i="264"/>
  <c r="CA69" i="264"/>
  <c r="BZ69" i="264"/>
  <c r="BY69" i="264"/>
  <c r="BX69" i="264"/>
  <c r="BW69" i="264"/>
  <c r="BV69" i="264"/>
  <c r="BT69" i="264"/>
  <c r="BS69" i="264"/>
  <c r="BR69" i="264"/>
  <c r="BQ69" i="264"/>
  <c r="BP69" i="264"/>
  <c r="BN69" i="264"/>
  <c r="AT69" i="264"/>
  <c r="AS69" i="264"/>
  <c r="AK69" i="264"/>
  <c r="B69" i="264"/>
  <c r="CX68" i="264"/>
  <c r="CW68" i="264"/>
  <c r="CC68" i="264"/>
  <c r="CB68" i="264"/>
  <c r="CA68" i="264"/>
  <c r="BZ68" i="264"/>
  <c r="BY68" i="264"/>
  <c r="BX68" i="264"/>
  <c r="BW68" i="264"/>
  <c r="BV68" i="264"/>
  <c r="BT68" i="264"/>
  <c r="BS68" i="264"/>
  <c r="BR68" i="264"/>
  <c r="BQ68" i="264"/>
  <c r="BP68" i="264"/>
  <c r="BN68" i="264"/>
  <c r="AT68" i="264"/>
  <c r="AS68" i="264"/>
  <c r="AK68" i="264"/>
  <c r="B68" i="264"/>
  <c r="CX67" i="264"/>
  <c r="CW67" i="264"/>
  <c r="CC67" i="264"/>
  <c r="CB67" i="264"/>
  <c r="CA67" i="264"/>
  <c r="BZ67" i="264"/>
  <c r="BY67" i="264"/>
  <c r="BX67" i="264"/>
  <c r="BW67" i="264"/>
  <c r="BV67" i="264"/>
  <c r="BT67" i="264"/>
  <c r="BS67" i="264"/>
  <c r="BR67" i="264"/>
  <c r="BQ67" i="264"/>
  <c r="BP67" i="264"/>
  <c r="BN67" i="264"/>
  <c r="AT67" i="264"/>
  <c r="AS67" i="264"/>
  <c r="AK67" i="264"/>
  <c r="B67" i="264"/>
  <c r="CX66" i="264"/>
  <c r="CW66" i="264"/>
  <c r="CC66" i="264"/>
  <c r="CB66" i="264"/>
  <c r="CA66" i="264"/>
  <c r="BZ66" i="264"/>
  <c r="BY66" i="264"/>
  <c r="BX66" i="264"/>
  <c r="BW66" i="264"/>
  <c r="BV66" i="264"/>
  <c r="BT66" i="264"/>
  <c r="BS66" i="264"/>
  <c r="BR66" i="264"/>
  <c r="BQ66" i="264"/>
  <c r="BP66" i="264"/>
  <c r="BN66" i="264"/>
  <c r="AT66" i="264"/>
  <c r="AS66" i="264"/>
  <c r="AK66" i="264"/>
  <c r="B66" i="264"/>
  <c r="CX65" i="264"/>
  <c r="CW65" i="264"/>
  <c r="CC65" i="264"/>
  <c r="CB65" i="264"/>
  <c r="CA65" i="264"/>
  <c r="BZ65" i="264"/>
  <c r="BY65" i="264"/>
  <c r="BX65" i="264"/>
  <c r="BW65" i="264"/>
  <c r="BV65" i="264"/>
  <c r="BT65" i="264"/>
  <c r="BS65" i="264"/>
  <c r="BR65" i="264"/>
  <c r="BQ65" i="264"/>
  <c r="BP65" i="264"/>
  <c r="BN65" i="264"/>
  <c r="AT65" i="264"/>
  <c r="AS65" i="264"/>
  <c r="AK65" i="264"/>
  <c r="B65" i="264"/>
  <c r="CX64" i="264"/>
  <c r="CW64" i="264"/>
  <c r="CC64" i="264"/>
  <c r="CB64" i="264"/>
  <c r="CA64" i="264"/>
  <c r="BZ64" i="264"/>
  <c r="BY64" i="264"/>
  <c r="BX64" i="264"/>
  <c r="BW64" i="264"/>
  <c r="BV64" i="264"/>
  <c r="BT64" i="264"/>
  <c r="BS64" i="264"/>
  <c r="BR64" i="264"/>
  <c r="BQ64" i="264"/>
  <c r="BP64" i="264"/>
  <c r="BN64" i="264"/>
  <c r="AT64" i="264"/>
  <c r="AS64" i="264"/>
  <c r="AK64" i="264"/>
  <c r="B64" i="264"/>
  <c r="CX63" i="264"/>
  <c r="CW63" i="264"/>
  <c r="CC63" i="264"/>
  <c r="CB63" i="264"/>
  <c r="CA63" i="264"/>
  <c r="BZ63" i="264"/>
  <c r="BY63" i="264"/>
  <c r="BX63" i="264"/>
  <c r="BW63" i="264"/>
  <c r="BV63" i="264"/>
  <c r="BT63" i="264"/>
  <c r="BS63" i="264"/>
  <c r="BR63" i="264"/>
  <c r="BQ63" i="264"/>
  <c r="BP63" i="264"/>
  <c r="BN63" i="264"/>
  <c r="AT63" i="264"/>
  <c r="AS63" i="264"/>
  <c r="AK63" i="264"/>
  <c r="B63" i="264"/>
  <c r="CX62" i="264"/>
  <c r="CW62" i="264"/>
  <c r="CC62" i="264"/>
  <c r="CB62" i="264"/>
  <c r="CA62" i="264"/>
  <c r="BZ62" i="264"/>
  <c r="BY62" i="264"/>
  <c r="BX62" i="264"/>
  <c r="BW62" i="264"/>
  <c r="BV62" i="264"/>
  <c r="BT62" i="264"/>
  <c r="BS62" i="264"/>
  <c r="BR62" i="264"/>
  <c r="BQ62" i="264"/>
  <c r="BP62" i="264"/>
  <c r="BN62" i="264"/>
  <c r="AT62" i="264"/>
  <c r="AS62" i="264"/>
  <c r="AK62" i="264"/>
  <c r="B62" i="264"/>
  <c r="CX61" i="264"/>
  <c r="CW61" i="264"/>
  <c r="CC61" i="264"/>
  <c r="CB61" i="264"/>
  <c r="CA61" i="264"/>
  <c r="BZ61" i="264"/>
  <c r="BY61" i="264"/>
  <c r="BX61" i="264"/>
  <c r="BW61" i="264"/>
  <c r="BV61" i="264"/>
  <c r="BU61" i="264"/>
  <c r="BT61" i="264"/>
  <c r="BS61" i="264"/>
  <c r="BR61" i="264"/>
  <c r="BQ61" i="264"/>
  <c r="BP61" i="264"/>
  <c r="BN61" i="264"/>
  <c r="AT61" i="264"/>
  <c r="AS61" i="264"/>
  <c r="AK61" i="264"/>
  <c r="B61" i="264"/>
  <c r="CX60" i="264"/>
  <c r="CW60" i="264"/>
  <c r="CC60" i="264"/>
  <c r="CB60" i="264"/>
  <c r="CA60" i="264"/>
  <c r="BZ60" i="264"/>
  <c r="BY60" i="264"/>
  <c r="BX60" i="264"/>
  <c r="BW60" i="264"/>
  <c r="BV60" i="264"/>
  <c r="BT60" i="264"/>
  <c r="BS60" i="264"/>
  <c r="BR60" i="264"/>
  <c r="BQ60" i="264"/>
  <c r="BP60" i="264"/>
  <c r="BN60" i="264"/>
  <c r="AT60" i="264"/>
  <c r="AS60" i="264"/>
  <c r="AK60" i="264"/>
  <c r="B60" i="264"/>
  <c r="CX59" i="264"/>
  <c r="CW59" i="264"/>
  <c r="CC59" i="264"/>
  <c r="CB59" i="264"/>
  <c r="CA59" i="264"/>
  <c r="BZ59" i="264"/>
  <c r="BY59" i="264"/>
  <c r="BX59" i="264"/>
  <c r="BW59" i="264"/>
  <c r="BV59" i="264"/>
  <c r="BT59" i="264"/>
  <c r="BS59" i="264"/>
  <c r="BR59" i="264"/>
  <c r="BQ59" i="264"/>
  <c r="BP59" i="264"/>
  <c r="BN59" i="264"/>
  <c r="AT59" i="264"/>
  <c r="AS59" i="264"/>
  <c r="AK59" i="264"/>
  <c r="B59" i="264"/>
  <c r="CX58" i="264"/>
  <c r="CW58" i="264"/>
  <c r="CC58" i="264"/>
  <c r="CB58" i="264"/>
  <c r="CA58" i="264"/>
  <c r="BZ58" i="264"/>
  <c r="BY58" i="264"/>
  <c r="BX58" i="264"/>
  <c r="BW58" i="264"/>
  <c r="BV58" i="264"/>
  <c r="BT58" i="264"/>
  <c r="BS58" i="264"/>
  <c r="BR58" i="264"/>
  <c r="BQ58" i="264"/>
  <c r="BP58" i="264"/>
  <c r="BN58" i="264"/>
  <c r="AT58" i="264"/>
  <c r="AS58" i="264"/>
  <c r="AK58" i="264"/>
  <c r="B58" i="264"/>
  <c r="CX57" i="264"/>
  <c r="CW57" i="264"/>
  <c r="CC57" i="264"/>
  <c r="CB57" i="264"/>
  <c r="CA57" i="264"/>
  <c r="BZ57" i="264"/>
  <c r="BY57" i="264"/>
  <c r="BX57" i="264"/>
  <c r="BW57" i="264"/>
  <c r="BV57" i="264"/>
  <c r="BT57" i="264"/>
  <c r="BS57" i="264"/>
  <c r="BR57" i="264"/>
  <c r="BQ57" i="264"/>
  <c r="BP57" i="264"/>
  <c r="BN57" i="264"/>
  <c r="AT57" i="264"/>
  <c r="AS57" i="264"/>
  <c r="AK57" i="264"/>
  <c r="B57" i="264"/>
  <c r="CX56" i="264"/>
  <c r="CW56" i="264"/>
  <c r="CC56" i="264"/>
  <c r="CB56" i="264"/>
  <c r="CA56" i="264"/>
  <c r="BZ56" i="264"/>
  <c r="BY56" i="264"/>
  <c r="BX56" i="264"/>
  <c r="BW56" i="264"/>
  <c r="BV56" i="264"/>
  <c r="BT56" i="264"/>
  <c r="BS56" i="264"/>
  <c r="BR56" i="264"/>
  <c r="BQ56" i="264"/>
  <c r="BP56" i="264"/>
  <c r="BN56" i="264"/>
  <c r="AT56" i="264"/>
  <c r="AS56" i="264"/>
  <c r="AK56" i="264"/>
  <c r="B56" i="264"/>
  <c r="CX55" i="264"/>
  <c r="CW55" i="264"/>
  <c r="CC55" i="264"/>
  <c r="CB55" i="264"/>
  <c r="CA55" i="264"/>
  <c r="BZ55" i="264"/>
  <c r="BY55" i="264"/>
  <c r="BX55" i="264"/>
  <c r="BW55" i="264"/>
  <c r="BV55" i="264"/>
  <c r="BT55" i="264"/>
  <c r="BS55" i="264"/>
  <c r="BR55" i="264"/>
  <c r="BQ55" i="264"/>
  <c r="BP55" i="264"/>
  <c r="BN55" i="264"/>
  <c r="AT55" i="264"/>
  <c r="AS55" i="264"/>
  <c r="AK55" i="264"/>
  <c r="B55" i="264"/>
  <c r="CX54" i="264"/>
  <c r="CW54" i="264"/>
  <c r="CC54" i="264"/>
  <c r="CB54" i="264"/>
  <c r="CA54" i="264"/>
  <c r="BZ54" i="264"/>
  <c r="BY54" i="264"/>
  <c r="BX54" i="264"/>
  <c r="BW54" i="264"/>
  <c r="BV54" i="264"/>
  <c r="BT54" i="264"/>
  <c r="BS54" i="264"/>
  <c r="BR54" i="264"/>
  <c r="BQ54" i="264"/>
  <c r="BP54" i="264"/>
  <c r="BN54" i="264"/>
  <c r="AT54" i="264"/>
  <c r="AS54" i="264"/>
  <c r="AK54" i="264"/>
  <c r="B54" i="264"/>
  <c r="CX53" i="264"/>
  <c r="CW53" i="264"/>
  <c r="CC53" i="264"/>
  <c r="CB53" i="264"/>
  <c r="CA53" i="264"/>
  <c r="BZ53" i="264"/>
  <c r="BY53" i="264"/>
  <c r="BX53" i="264"/>
  <c r="BW53" i="264"/>
  <c r="BV53" i="264"/>
  <c r="BT53" i="264"/>
  <c r="BS53" i="264"/>
  <c r="BR53" i="264"/>
  <c r="BQ53" i="264"/>
  <c r="BP53" i="264"/>
  <c r="BN53" i="264"/>
  <c r="AT53" i="264"/>
  <c r="AS53" i="264"/>
  <c r="AK53" i="264"/>
  <c r="B53" i="264"/>
  <c r="CX52" i="264"/>
  <c r="CW52" i="264"/>
  <c r="CC52" i="264"/>
  <c r="CB52" i="264"/>
  <c r="CA52" i="264"/>
  <c r="BZ52" i="264"/>
  <c r="BY52" i="264"/>
  <c r="BX52" i="264"/>
  <c r="BW52" i="264"/>
  <c r="BV52" i="264"/>
  <c r="BT52" i="264"/>
  <c r="BS52" i="264"/>
  <c r="BR52" i="264"/>
  <c r="BQ52" i="264"/>
  <c r="BP52" i="264"/>
  <c r="BN52" i="264"/>
  <c r="AT52" i="264"/>
  <c r="AS52" i="264"/>
  <c r="AK52" i="264"/>
  <c r="B52" i="264"/>
  <c r="CX51" i="264"/>
  <c r="CW51" i="264"/>
  <c r="CC51" i="264"/>
  <c r="CB51" i="264"/>
  <c r="CA51" i="264"/>
  <c r="BZ51" i="264"/>
  <c r="BY51" i="264"/>
  <c r="BX51" i="264"/>
  <c r="BW51" i="264"/>
  <c r="BV51" i="264"/>
  <c r="BT51" i="264"/>
  <c r="BS51" i="264"/>
  <c r="BR51" i="264"/>
  <c r="BQ51" i="264"/>
  <c r="BP51" i="264"/>
  <c r="BN51" i="264"/>
  <c r="AT51" i="264"/>
  <c r="AS51" i="264"/>
  <c r="AK51" i="264"/>
  <c r="B51" i="264"/>
  <c r="CX50" i="264"/>
  <c r="CW50" i="264"/>
  <c r="CC50" i="264"/>
  <c r="CB50" i="264"/>
  <c r="CA50" i="264"/>
  <c r="BZ50" i="264"/>
  <c r="BY50" i="264"/>
  <c r="BX50" i="264"/>
  <c r="BW50" i="264"/>
  <c r="BV50" i="264"/>
  <c r="BT50" i="264"/>
  <c r="BS50" i="264"/>
  <c r="BR50" i="264"/>
  <c r="BQ50" i="264"/>
  <c r="BP50" i="264"/>
  <c r="BN50" i="264"/>
  <c r="AT50" i="264"/>
  <c r="AS50" i="264"/>
  <c r="AK50" i="264"/>
  <c r="B50" i="264"/>
  <c r="CX49" i="264"/>
  <c r="CW49" i="264"/>
  <c r="CC49" i="264"/>
  <c r="CB49" i="264"/>
  <c r="CA49" i="264"/>
  <c r="BZ49" i="264"/>
  <c r="BY49" i="264"/>
  <c r="BX49" i="264"/>
  <c r="BW49" i="264"/>
  <c r="BV49" i="264"/>
  <c r="BT49" i="264"/>
  <c r="BS49" i="264"/>
  <c r="BR49" i="264"/>
  <c r="BQ49" i="264"/>
  <c r="BP49" i="264"/>
  <c r="BN49" i="264"/>
  <c r="AT49" i="264"/>
  <c r="AS49" i="264"/>
  <c r="AK49" i="264"/>
  <c r="B49" i="264"/>
  <c r="CX48" i="264"/>
  <c r="CW48" i="264"/>
  <c r="CC48" i="264"/>
  <c r="CB48" i="264"/>
  <c r="CA48" i="264"/>
  <c r="BZ48" i="264"/>
  <c r="BY48" i="264"/>
  <c r="BX48" i="264"/>
  <c r="BW48" i="264"/>
  <c r="BV48" i="264"/>
  <c r="BT48" i="264"/>
  <c r="BS48" i="264"/>
  <c r="BR48" i="264"/>
  <c r="BQ48" i="264"/>
  <c r="BP48" i="264"/>
  <c r="BN48" i="264"/>
  <c r="AT48" i="264"/>
  <c r="AS48" i="264"/>
  <c r="AK48" i="264"/>
  <c r="B48" i="264"/>
  <c r="CX47" i="264"/>
  <c r="CW47" i="264"/>
  <c r="CC47" i="264"/>
  <c r="CB47" i="264"/>
  <c r="CA47" i="264"/>
  <c r="BZ47" i="264"/>
  <c r="BY47" i="264"/>
  <c r="BX47" i="264"/>
  <c r="BW47" i="264"/>
  <c r="BV47" i="264"/>
  <c r="BT47" i="264"/>
  <c r="BS47" i="264"/>
  <c r="BR47" i="264"/>
  <c r="BQ47" i="264"/>
  <c r="BP47" i="264"/>
  <c r="BN47" i="264"/>
  <c r="AT47" i="264"/>
  <c r="AS47" i="264"/>
  <c r="AK47" i="264"/>
  <c r="B47" i="264"/>
  <c r="CX46" i="264"/>
  <c r="CW46" i="264"/>
  <c r="CC46" i="264"/>
  <c r="CB46" i="264"/>
  <c r="CA46" i="264"/>
  <c r="BZ46" i="264"/>
  <c r="BY46" i="264"/>
  <c r="BX46" i="264"/>
  <c r="BW46" i="264"/>
  <c r="BV46" i="264"/>
  <c r="BT46" i="264"/>
  <c r="BS46" i="264"/>
  <c r="BR46" i="264"/>
  <c r="BQ46" i="264"/>
  <c r="BP46" i="264"/>
  <c r="BN46" i="264"/>
  <c r="AT46" i="264"/>
  <c r="AS46" i="264"/>
  <c r="AK46" i="264"/>
  <c r="B46" i="264"/>
  <c r="CX45" i="264"/>
  <c r="CW45" i="264"/>
  <c r="CC45" i="264"/>
  <c r="CB45" i="264"/>
  <c r="CA45" i="264"/>
  <c r="BZ45" i="264"/>
  <c r="BY45" i="264"/>
  <c r="BX45" i="264"/>
  <c r="BW45" i="264"/>
  <c r="BV45" i="264"/>
  <c r="BT45" i="264"/>
  <c r="BS45" i="264"/>
  <c r="BR45" i="264"/>
  <c r="BQ45" i="264"/>
  <c r="BP45" i="264"/>
  <c r="BN45" i="264"/>
  <c r="AT45" i="264"/>
  <c r="AS45" i="264"/>
  <c r="AK45" i="264"/>
  <c r="B45" i="264"/>
  <c r="CX44" i="264"/>
  <c r="CW44" i="264"/>
  <c r="CC44" i="264"/>
  <c r="CB44" i="264"/>
  <c r="CA44" i="264"/>
  <c r="BZ44" i="264"/>
  <c r="BY44" i="264"/>
  <c r="BX44" i="264"/>
  <c r="BW44" i="264"/>
  <c r="BV44" i="264"/>
  <c r="BT44" i="264"/>
  <c r="BS44" i="264"/>
  <c r="BR44" i="264"/>
  <c r="BQ44" i="264"/>
  <c r="BP44" i="264"/>
  <c r="BN44" i="264"/>
  <c r="AT44" i="264"/>
  <c r="AS44" i="264"/>
  <c r="AK44" i="264"/>
  <c r="B44" i="264"/>
  <c r="CX43" i="264"/>
  <c r="CW43" i="264"/>
  <c r="CC43" i="264"/>
  <c r="CB43" i="264"/>
  <c r="CA43" i="264"/>
  <c r="BZ43" i="264"/>
  <c r="BY43" i="264"/>
  <c r="BX43" i="264"/>
  <c r="BW43" i="264"/>
  <c r="BV43" i="264"/>
  <c r="BT43" i="264"/>
  <c r="BS43" i="264"/>
  <c r="BR43" i="264"/>
  <c r="BQ43" i="264"/>
  <c r="BP43" i="264"/>
  <c r="BN43" i="264"/>
  <c r="AT43" i="264"/>
  <c r="AS43" i="264"/>
  <c r="AK43" i="264"/>
  <c r="B43" i="264"/>
  <c r="CX42" i="264"/>
  <c r="CW42" i="264"/>
  <c r="CC42" i="264"/>
  <c r="CB42" i="264"/>
  <c r="CA42" i="264"/>
  <c r="BZ42" i="264"/>
  <c r="BY42" i="264"/>
  <c r="BX42" i="264"/>
  <c r="BW42" i="264"/>
  <c r="BV42" i="264"/>
  <c r="BT42" i="264"/>
  <c r="BS42" i="264"/>
  <c r="BR42" i="264"/>
  <c r="BQ42" i="264"/>
  <c r="BP42" i="264"/>
  <c r="BN42" i="264"/>
  <c r="AT42" i="264"/>
  <c r="AS42" i="264"/>
  <c r="AK42" i="264"/>
  <c r="B42" i="264"/>
  <c r="CX41" i="264"/>
  <c r="CW41" i="264"/>
  <c r="CC41" i="264"/>
  <c r="CB41" i="264"/>
  <c r="CA41" i="264"/>
  <c r="BZ41" i="264"/>
  <c r="BY41" i="264"/>
  <c r="BX41" i="264"/>
  <c r="BW41" i="264"/>
  <c r="BV41" i="264"/>
  <c r="BT41" i="264"/>
  <c r="BS41" i="264"/>
  <c r="BR41" i="264"/>
  <c r="BQ41" i="264"/>
  <c r="BP41" i="264"/>
  <c r="BN41" i="264"/>
  <c r="AT41" i="264"/>
  <c r="AS41" i="264"/>
  <c r="AK41" i="264"/>
  <c r="B41" i="264"/>
  <c r="A41" i="264"/>
  <c r="CX40" i="264"/>
  <c r="CW40" i="264"/>
  <c r="CC40" i="264"/>
  <c r="CB40" i="264"/>
  <c r="CA40" i="264"/>
  <c r="BZ40" i="264"/>
  <c r="BY40" i="264"/>
  <c r="BX40" i="264"/>
  <c r="BW40" i="264"/>
  <c r="BV40" i="264"/>
  <c r="BT40" i="264"/>
  <c r="BS40" i="264"/>
  <c r="BR40" i="264"/>
  <c r="BQ40" i="264"/>
  <c r="BP40" i="264"/>
  <c r="BN40" i="264"/>
  <c r="AT40" i="264"/>
  <c r="AS40" i="264"/>
  <c r="AK40" i="264"/>
  <c r="B40" i="264"/>
  <c r="CX39" i="264"/>
  <c r="CW39" i="264"/>
  <c r="CC39" i="264"/>
  <c r="CB39" i="264"/>
  <c r="CA39" i="264"/>
  <c r="BZ39" i="264"/>
  <c r="BY39" i="264"/>
  <c r="BX39" i="264"/>
  <c r="BW39" i="264"/>
  <c r="BV39" i="264"/>
  <c r="BT39" i="264"/>
  <c r="BS39" i="264"/>
  <c r="BR39" i="264"/>
  <c r="BQ39" i="264"/>
  <c r="BP39" i="264"/>
  <c r="BN39" i="264"/>
  <c r="AT39" i="264"/>
  <c r="AS39" i="264"/>
  <c r="AK39" i="264"/>
  <c r="B39" i="264"/>
  <c r="CX38" i="264"/>
  <c r="CW38" i="264"/>
  <c r="CC38" i="264"/>
  <c r="CB38" i="264"/>
  <c r="CA38" i="264"/>
  <c r="BZ38" i="264"/>
  <c r="BY38" i="264"/>
  <c r="BX38" i="264"/>
  <c r="BW38" i="264"/>
  <c r="BV38" i="264"/>
  <c r="BT38" i="264"/>
  <c r="BS38" i="264"/>
  <c r="BR38" i="264"/>
  <c r="BQ38" i="264"/>
  <c r="BP38" i="264"/>
  <c r="BN38" i="264"/>
  <c r="AT38" i="264"/>
  <c r="AS38" i="264"/>
  <c r="AK38" i="264"/>
  <c r="B38" i="264"/>
  <c r="CX37" i="264"/>
  <c r="CW37" i="264"/>
  <c r="CC37" i="264"/>
  <c r="CB37" i="264"/>
  <c r="CA37" i="264"/>
  <c r="BZ37" i="264"/>
  <c r="BY37" i="264"/>
  <c r="BX37" i="264"/>
  <c r="BW37" i="264"/>
  <c r="BV37" i="264"/>
  <c r="BT37" i="264"/>
  <c r="BS37" i="264"/>
  <c r="BR37" i="264"/>
  <c r="BQ37" i="264"/>
  <c r="BP37" i="264"/>
  <c r="BN37" i="264"/>
  <c r="AT37" i="264"/>
  <c r="AS37" i="264"/>
  <c r="AK37" i="264"/>
  <c r="B37" i="264"/>
  <c r="CX36" i="264"/>
  <c r="CW36" i="264"/>
  <c r="CC36" i="264"/>
  <c r="CB36" i="264"/>
  <c r="CA36" i="264"/>
  <c r="BZ36" i="264"/>
  <c r="BY36" i="264"/>
  <c r="BX36" i="264"/>
  <c r="BW36" i="264"/>
  <c r="BV36" i="264"/>
  <c r="BT36" i="264"/>
  <c r="BS36" i="264"/>
  <c r="BR36" i="264"/>
  <c r="BQ36" i="264"/>
  <c r="BP36" i="264"/>
  <c r="BN36" i="264"/>
  <c r="AT36" i="264"/>
  <c r="AS36" i="264"/>
  <c r="AK36" i="264"/>
  <c r="B36" i="264"/>
  <c r="CX35" i="264"/>
  <c r="CW35" i="264"/>
  <c r="CC35" i="264"/>
  <c r="CB35" i="264"/>
  <c r="CA35" i="264"/>
  <c r="BZ35" i="264"/>
  <c r="BY35" i="264"/>
  <c r="BX35" i="264"/>
  <c r="BW35" i="264"/>
  <c r="BV35" i="264"/>
  <c r="BT35" i="264"/>
  <c r="BS35" i="264"/>
  <c r="BR35" i="264"/>
  <c r="BQ35" i="264"/>
  <c r="BP35" i="264"/>
  <c r="BN35" i="264"/>
  <c r="AT35" i="264"/>
  <c r="AS35" i="264"/>
  <c r="AK35" i="264"/>
  <c r="B35" i="264"/>
  <c r="CX34" i="264"/>
  <c r="CW34" i="264"/>
  <c r="CC34" i="264"/>
  <c r="CB34" i="264"/>
  <c r="CA34" i="264"/>
  <c r="BZ34" i="264"/>
  <c r="BY34" i="264"/>
  <c r="BX34" i="264"/>
  <c r="BW34" i="264"/>
  <c r="BV34" i="264"/>
  <c r="BT34" i="264"/>
  <c r="BS34" i="264"/>
  <c r="BR34" i="264"/>
  <c r="BQ34" i="264"/>
  <c r="BP34" i="264"/>
  <c r="BN34" i="264"/>
  <c r="AT34" i="264"/>
  <c r="AS34" i="264"/>
  <c r="AK34" i="264"/>
  <c r="B34" i="264"/>
  <c r="CX33" i="264"/>
  <c r="CW33" i="264"/>
  <c r="CC33" i="264"/>
  <c r="CB33" i="264"/>
  <c r="CA33" i="264"/>
  <c r="BZ33" i="264"/>
  <c r="BY33" i="264"/>
  <c r="BX33" i="264"/>
  <c r="BW33" i="264"/>
  <c r="BV33" i="264"/>
  <c r="BT33" i="264"/>
  <c r="BS33" i="264"/>
  <c r="BR33" i="264"/>
  <c r="BQ33" i="264"/>
  <c r="BP33" i="264"/>
  <c r="BN33" i="264"/>
  <c r="AT33" i="264"/>
  <c r="AS33" i="264"/>
  <c r="AK33" i="264"/>
  <c r="B33" i="264"/>
  <c r="CX32" i="264"/>
  <c r="CW32" i="264"/>
  <c r="CC32" i="264"/>
  <c r="CB32" i="264"/>
  <c r="CA32" i="264"/>
  <c r="BZ32" i="264"/>
  <c r="BY32" i="264"/>
  <c r="BX32" i="264"/>
  <c r="BW32" i="264"/>
  <c r="BV32" i="264"/>
  <c r="BT32" i="264"/>
  <c r="BS32" i="264"/>
  <c r="BR32" i="264"/>
  <c r="BQ32" i="264"/>
  <c r="BP32" i="264"/>
  <c r="BN32" i="264"/>
  <c r="AT32" i="264"/>
  <c r="AS32" i="264"/>
  <c r="B32" i="264"/>
  <c r="CX31" i="264"/>
  <c r="CW31" i="264"/>
  <c r="CC31" i="264"/>
  <c r="CB31" i="264"/>
  <c r="CA31" i="264"/>
  <c r="BZ31" i="264"/>
  <c r="BY31" i="264"/>
  <c r="BX31" i="264"/>
  <c r="BW31" i="264"/>
  <c r="BV31" i="264"/>
  <c r="BT31" i="264"/>
  <c r="BS31" i="264"/>
  <c r="BR31" i="264"/>
  <c r="BQ31" i="264"/>
  <c r="BP31" i="264"/>
  <c r="BN31" i="264"/>
  <c r="AT31" i="264"/>
  <c r="AS31" i="264"/>
  <c r="AK31" i="264"/>
  <c r="B31" i="264"/>
  <c r="CQ30" i="264"/>
  <c r="CP30" i="264"/>
  <c r="CO30" i="264"/>
  <c r="CN30" i="264"/>
  <c r="CM30" i="264"/>
  <c r="CL30" i="264"/>
  <c r="CK30" i="264"/>
  <c r="CJ30" i="264"/>
  <c r="CI30" i="264"/>
  <c r="CH30" i="264"/>
  <c r="CC30" i="264"/>
  <c r="CB30" i="264"/>
  <c r="CA30" i="264"/>
  <c r="BZ30" i="264"/>
  <c r="BY30" i="264"/>
  <c r="BX30" i="264"/>
  <c r="BW30" i="264"/>
  <c r="BV30" i="264"/>
  <c r="BU30" i="264"/>
  <c r="BT30" i="264"/>
  <c r="BS30" i="264"/>
  <c r="BR30" i="264"/>
  <c r="BQ30" i="264"/>
  <c r="BP30" i="264"/>
  <c r="BO30" i="264"/>
  <c r="BN30" i="264"/>
  <c r="BM30" i="264"/>
  <c r="BL30" i="264"/>
  <c r="BK30" i="264"/>
  <c r="BJ30" i="264"/>
  <c r="BI30" i="264"/>
  <c r="BH30" i="264"/>
  <c r="BG30" i="264"/>
  <c r="BE30" i="264"/>
  <c r="BD30" i="264"/>
  <c r="BC30" i="264"/>
  <c r="BB30" i="264"/>
  <c r="BA30" i="264"/>
  <c r="AZ30" i="264"/>
  <c r="AY30" i="264"/>
  <c r="AX30" i="264"/>
  <c r="AW30" i="264"/>
  <c r="AV30" i="264"/>
  <c r="AU30" i="264"/>
  <c r="CC29" i="264"/>
  <c r="CB29" i="264"/>
  <c r="CA29" i="264"/>
  <c r="BZ29" i="264"/>
  <c r="BY29" i="264"/>
  <c r="BX29" i="264"/>
  <c r="BW29" i="264"/>
  <c r="BV29" i="264"/>
  <c r="BU29" i="264"/>
  <c r="BT29" i="264"/>
  <c r="BS29" i="264"/>
  <c r="BR29" i="264"/>
  <c r="BQ29" i="264"/>
  <c r="BP29" i="264"/>
  <c r="BO29" i="264"/>
  <c r="BN29" i="264"/>
  <c r="BM29" i="264"/>
  <c r="BL29" i="264"/>
  <c r="BK29" i="264"/>
  <c r="BJ29" i="264"/>
  <c r="BI29" i="264"/>
  <c r="BH29" i="264"/>
  <c r="BG29" i="264"/>
  <c r="BE29" i="264"/>
  <c r="BD29" i="264"/>
  <c r="BC29" i="264"/>
  <c r="BB29" i="264"/>
  <c r="BA29" i="264"/>
  <c r="AZ29" i="264"/>
  <c r="AY29" i="264"/>
  <c r="AX29" i="264"/>
  <c r="AW29" i="264"/>
  <c r="AV29" i="264"/>
  <c r="AU29" i="264"/>
  <c r="E29" i="264"/>
  <c r="D29" i="264"/>
  <c r="C29" i="264"/>
  <c r="CB28" i="264"/>
  <c r="CA28" i="264"/>
  <c r="BZ28" i="264"/>
  <c r="BY28" i="264"/>
  <c r="BX28" i="264"/>
  <c r="BW28" i="264"/>
  <c r="BV28" i="264"/>
  <c r="BU28" i="264"/>
  <c r="BT28" i="264"/>
  <c r="BU110" i="264" s="1"/>
  <c r="BS28" i="264"/>
  <c r="BR28" i="264"/>
  <c r="BQ28" i="264"/>
  <c r="BP28" i="264"/>
  <c r="BO28" i="264"/>
  <c r="BN28" i="264"/>
  <c r="BM28" i="264"/>
  <c r="BL28" i="264"/>
  <c r="BM109" i="264" s="1"/>
  <c r="BK28" i="264"/>
  <c r="BJ28" i="264"/>
  <c r="BI28" i="264"/>
  <c r="BH28" i="264"/>
  <c r="BI109" i="264" s="1"/>
  <c r="BG28" i="264"/>
  <c r="BF28" i="264"/>
  <c r="BE28" i="264"/>
  <c r="BD28" i="264"/>
  <c r="BC28" i="264"/>
  <c r="BB28" i="264"/>
  <c r="BA28" i="264"/>
  <c r="AZ28" i="264"/>
  <c r="AY28" i="264"/>
  <c r="AX28" i="264"/>
  <c r="AW28" i="264"/>
  <c r="AV28" i="264"/>
  <c r="AV108" i="264" s="1"/>
  <c r="AU28" i="264"/>
  <c r="DD5" i="264"/>
  <c r="DC5" i="264"/>
  <c r="CX5" i="264"/>
  <c r="BB2" i="264"/>
  <c r="BA2" i="264"/>
  <c r="AZ2" i="264"/>
  <c r="AY2" i="264"/>
  <c r="AX2" i="264"/>
  <c r="AW2" i="264"/>
  <c r="AV2" i="264"/>
  <c r="B1" i="264"/>
  <c r="AZ133" i="264" l="1"/>
  <c r="AZ131" i="264"/>
  <c r="BI107" i="264"/>
  <c r="AZ108" i="264"/>
  <c r="BM108" i="264"/>
  <c r="BD131" i="264"/>
  <c r="BD133" i="264"/>
  <c r="BM107" i="264"/>
  <c r="BD108" i="264"/>
  <c r="BI108" i="264"/>
  <c r="AW131" i="264"/>
  <c r="AW133" i="264"/>
  <c r="BA131" i="264"/>
  <c r="BA133" i="264"/>
  <c r="BE131" i="264"/>
  <c r="BE133" i="264"/>
  <c r="BJ131" i="264"/>
  <c r="BJ133" i="264"/>
  <c r="BJ107" i="264"/>
  <c r="AW108" i="264"/>
  <c r="BA108" i="264"/>
  <c r="BE108" i="264"/>
  <c r="BJ108" i="264"/>
  <c r="AV133" i="264"/>
  <c r="AV131" i="264"/>
  <c r="BM131" i="264"/>
  <c r="BM133" i="264"/>
  <c r="BF131" i="264"/>
  <c r="BF133" i="264"/>
  <c r="BG131" i="264"/>
  <c r="BG133" i="264"/>
  <c r="BF109" i="264"/>
  <c r="BF107" i="264"/>
  <c r="BF108" i="264"/>
  <c r="BI131" i="264"/>
  <c r="BI133" i="264"/>
  <c r="AX131" i="264"/>
  <c r="AX133" i="264"/>
  <c r="BB131" i="264"/>
  <c r="BB133" i="264"/>
  <c r="BK131" i="264"/>
  <c r="BK133" i="264"/>
  <c r="BO131" i="264"/>
  <c r="BO133" i="264"/>
  <c r="BK107" i="264"/>
  <c r="BO107" i="264"/>
  <c r="AX108" i="264"/>
  <c r="BB108" i="264"/>
  <c r="BG108" i="264"/>
  <c r="BK108" i="264"/>
  <c r="BO108" i="264"/>
  <c r="AU131" i="264"/>
  <c r="AU133" i="264"/>
  <c r="AY131" i="264"/>
  <c r="AY133" i="264"/>
  <c r="BC131" i="264"/>
  <c r="BC133" i="264"/>
  <c r="BH133" i="264"/>
  <c r="BH131" i="264"/>
  <c r="BL131" i="264"/>
  <c r="BL133" i="264"/>
  <c r="BL107" i="264"/>
  <c r="AU108" i="264"/>
  <c r="AY108" i="264"/>
  <c r="BC108" i="264"/>
  <c r="BH108" i="264"/>
  <c r="BL108" i="264"/>
  <c r="BK109" i="264"/>
  <c r="BO109" i="264"/>
  <c r="CL69" i="264"/>
  <c r="CL130" i="264"/>
  <c r="CL134" i="264"/>
  <c r="CL138" i="264"/>
  <c r="CL142" i="264"/>
  <c r="CL129" i="264"/>
  <c r="CL127" i="264"/>
  <c r="CL135" i="264"/>
  <c r="CL139" i="264"/>
  <c r="CL128" i="264"/>
  <c r="CL132" i="264"/>
  <c r="CL136" i="264"/>
  <c r="CL140" i="264"/>
  <c r="CL137" i="264"/>
  <c r="CL141" i="264"/>
  <c r="DD101" i="264"/>
  <c r="DD129" i="264"/>
  <c r="DD133" i="264"/>
  <c r="DD137" i="264"/>
  <c r="DD141" i="264"/>
  <c r="DD128" i="264"/>
  <c r="DD132" i="264"/>
  <c r="DD136" i="264"/>
  <c r="DD130" i="264"/>
  <c r="DD134" i="264"/>
  <c r="DD138" i="264"/>
  <c r="DD142" i="264"/>
  <c r="DD127" i="264"/>
  <c r="DD131" i="264"/>
  <c r="DD135" i="264"/>
  <c r="DD139" i="264"/>
  <c r="DD140" i="264"/>
  <c r="CI64" i="264"/>
  <c r="CI129" i="264"/>
  <c r="CI137" i="264"/>
  <c r="CI141" i="264"/>
  <c r="CI140" i="264"/>
  <c r="CI130" i="264"/>
  <c r="CI134" i="264"/>
  <c r="CI138" i="264"/>
  <c r="CI142" i="264"/>
  <c r="CI127" i="264"/>
  <c r="CI135" i="264"/>
  <c r="CI139" i="264"/>
  <c r="CI128" i="264"/>
  <c r="CI132" i="264"/>
  <c r="CI136" i="264"/>
  <c r="CQ62" i="264"/>
  <c r="CQ129" i="264"/>
  <c r="CQ137" i="264"/>
  <c r="CQ141" i="264"/>
  <c r="CQ140" i="264"/>
  <c r="CQ130" i="264"/>
  <c r="CQ134" i="264"/>
  <c r="CQ138" i="264"/>
  <c r="CQ142" i="264"/>
  <c r="CQ127" i="264"/>
  <c r="CQ135" i="264"/>
  <c r="CQ139" i="264"/>
  <c r="CQ128" i="264"/>
  <c r="CQ132" i="264"/>
  <c r="CQ136" i="264"/>
  <c r="DE128" i="264"/>
  <c r="DE132" i="264"/>
  <c r="DE136" i="264"/>
  <c r="DE140" i="264"/>
  <c r="DE127" i="264"/>
  <c r="DE135" i="264"/>
  <c r="DE129" i="264"/>
  <c r="DE133" i="264"/>
  <c r="DE137" i="264"/>
  <c r="DE141" i="264"/>
  <c r="DE130" i="264"/>
  <c r="DE134" i="264"/>
  <c r="DE138" i="264"/>
  <c r="DE142" i="264"/>
  <c r="DE131" i="264"/>
  <c r="DE139" i="264"/>
  <c r="CJ121" i="264"/>
  <c r="CJ128" i="264"/>
  <c r="CJ132" i="264"/>
  <c r="CJ136" i="264"/>
  <c r="CJ140" i="264"/>
  <c r="CJ129" i="264"/>
  <c r="CJ137" i="264"/>
  <c r="CJ141" i="264"/>
  <c r="CJ130" i="264"/>
  <c r="CJ134" i="264"/>
  <c r="CJ138" i="264"/>
  <c r="CJ142" i="264"/>
  <c r="CJ127" i="264"/>
  <c r="CJ135" i="264"/>
  <c r="CJ139" i="264"/>
  <c r="CN128" i="264"/>
  <c r="CN132" i="264"/>
  <c r="CN136" i="264"/>
  <c r="CN140" i="264"/>
  <c r="CN127" i="264"/>
  <c r="CN135" i="264"/>
  <c r="CN129" i="264"/>
  <c r="CN137" i="264"/>
  <c r="CN141" i="264"/>
  <c r="CN130" i="264"/>
  <c r="CN134" i="264"/>
  <c r="CN138" i="264"/>
  <c r="CN142" i="264"/>
  <c r="CN139" i="264"/>
  <c r="CY92" i="264"/>
  <c r="DC92" i="264" s="1"/>
  <c r="CY130" i="264"/>
  <c r="DC130" i="264" s="1"/>
  <c r="CY134" i="264"/>
  <c r="DC134" i="264" s="1"/>
  <c r="CY138" i="264"/>
  <c r="DC138" i="264" s="1"/>
  <c r="CY142" i="264"/>
  <c r="DC142" i="264" s="1"/>
  <c r="CY129" i="264"/>
  <c r="DC129" i="264" s="1"/>
  <c r="CY133" i="264"/>
  <c r="DC133" i="264" s="1"/>
  <c r="CY137" i="264"/>
  <c r="DC137" i="264" s="1"/>
  <c r="CY127" i="264"/>
  <c r="DC127" i="264" s="1"/>
  <c r="CY131" i="264"/>
  <c r="DC131" i="264" s="1"/>
  <c r="CY135" i="264"/>
  <c r="DC135" i="264" s="1"/>
  <c r="CY139" i="264"/>
  <c r="DC139" i="264" s="1"/>
  <c r="CY128" i="264"/>
  <c r="DC128" i="264" s="1"/>
  <c r="CY132" i="264"/>
  <c r="DC132" i="264" s="1"/>
  <c r="CY136" i="264"/>
  <c r="DC136" i="264" s="1"/>
  <c r="CY140" i="264"/>
  <c r="DC140" i="264" s="1"/>
  <c r="CY141" i="264"/>
  <c r="DC141" i="264" s="1"/>
  <c r="CH79" i="264"/>
  <c r="CH130" i="264"/>
  <c r="CH134" i="264"/>
  <c r="CH138" i="264"/>
  <c r="CH142" i="264"/>
  <c r="CH137" i="264"/>
  <c r="CH141" i="264"/>
  <c r="CH127" i="264"/>
  <c r="CH135" i="264"/>
  <c r="CH139" i="264"/>
  <c r="CH128" i="264"/>
  <c r="CH132" i="264"/>
  <c r="CH136" i="264"/>
  <c r="CH140" i="264"/>
  <c r="CH129" i="264"/>
  <c r="CP95" i="264"/>
  <c r="CP130" i="264"/>
  <c r="CP134" i="264"/>
  <c r="CP138" i="264"/>
  <c r="CP142" i="264"/>
  <c r="CP137" i="264"/>
  <c r="CP141" i="264"/>
  <c r="CP127" i="264"/>
  <c r="CP135" i="264"/>
  <c r="CP139" i="264"/>
  <c r="CP128" i="264"/>
  <c r="CP132" i="264"/>
  <c r="CP136" i="264"/>
  <c r="CP140" i="264"/>
  <c r="CP129" i="264"/>
  <c r="CM53" i="264"/>
  <c r="CM129" i="264"/>
  <c r="CM137" i="264"/>
  <c r="CM141" i="264"/>
  <c r="CM128" i="264"/>
  <c r="CM132" i="264"/>
  <c r="CM136" i="264"/>
  <c r="CM130" i="264"/>
  <c r="CM134" i="264"/>
  <c r="CM138" i="264"/>
  <c r="CM142" i="264"/>
  <c r="CM127" i="264"/>
  <c r="CM135" i="264"/>
  <c r="CM139" i="264"/>
  <c r="CM140" i="264"/>
  <c r="CK127" i="264"/>
  <c r="CK135" i="264"/>
  <c r="CK139" i="264"/>
  <c r="CK138" i="264"/>
  <c r="CK142" i="264"/>
  <c r="CK128" i="264"/>
  <c r="CK132" i="264"/>
  <c r="CK136" i="264"/>
  <c r="CK140" i="264"/>
  <c r="CK129" i="264"/>
  <c r="CK137" i="264"/>
  <c r="CK141" i="264"/>
  <c r="CK130" i="264"/>
  <c r="CK134" i="264"/>
  <c r="CO127" i="264"/>
  <c r="CO135" i="264"/>
  <c r="CO139" i="264"/>
  <c r="CO130" i="264"/>
  <c r="CO134" i="264"/>
  <c r="CO128" i="264"/>
  <c r="CO132" i="264"/>
  <c r="CO136" i="264"/>
  <c r="CO140" i="264"/>
  <c r="CO129" i="264"/>
  <c r="CO137" i="264"/>
  <c r="CO141" i="264"/>
  <c r="CO138" i="264"/>
  <c r="CO142" i="264"/>
  <c r="AU137" i="264"/>
  <c r="AU141" i="264"/>
  <c r="AU134" i="264"/>
  <c r="AU138" i="264"/>
  <c r="AU135" i="264"/>
  <c r="AU139" i="264"/>
  <c r="AU132" i="264"/>
  <c r="AU136" i="264"/>
  <c r="AU140" i="264"/>
  <c r="AY137" i="264"/>
  <c r="AY141" i="264"/>
  <c r="AY134" i="264"/>
  <c r="AY138" i="264"/>
  <c r="AY135" i="264"/>
  <c r="AY139" i="264"/>
  <c r="AY132" i="264"/>
  <c r="AY136" i="264"/>
  <c r="AY140" i="264"/>
  <c r="BC137" i="264"/>
  <c r="BC141" i="264"/>
  <c r="BC134" i="264"/>
  <c r="BC138" i="264"/>
  <c r="BC135" i="264"/>
  <c r="BC139" i="264"/>
  <c r="BC132" i="264"/>
  <c r="BC136" i="264"/>
  <c r="BC140" i="264"/>
  <c r="BH132" i="264"/>
  <c r="BH136" i="264"/>
  <c r="BH140" i="264"/>
  <c r="BH141" i="264"/>
  <c r="BH137" i="264"/>
  <c r="BH134" i="264"/>
  <c r="BH138" i="264"/>
  <c r="BH135" i="264"/>
  <c r="BH139" i="264"/>
  <c r="BL132" i="264"/>
  <c r="BL136" i="264"/>
  <c r="BL140" i="264"/>
  <c r="BL137" i="264"/>
  <c r="BL134" i="264"/>
  <c r="BL138" i="264"/>
  <c r="BL135" i="264"/>
  <c r="BL139" i="264"/>
  <c r="BL141" i="264"/>
  <c r="AV132" i="264"/>
  <c r="AV136" i="264"/>
  <c r="AV140" i="264"/>
  <c r="AV137" i="264"/>
  <c r="AV134" i="264"/>
  <c r="AV138" i="264"/>
  <c r="AV135" i="264"/>
  <c r="AV139" i="264"/>
  <c r="AV141" i="264"/>
  <c r="AZ132" i="264"/>
  <c r="AZ136" i="264"/>
  <c r="AZ140" i="264"/>
  <c r="AZ141" i="264"/>
  <c r="AZ137" i="264"/>
  <c r="AZ134" i="264"/>
  <c r="AZ138" i="264"/>
  <c r="AZ135" i="264"/>
  <c r="AZ139" i="264"/>
  <c r="BD132" i="264"/>
  <c r="BD136" i="264"/>
  <c r="BD140" i="264"/>
  <c r="BD137" i="264"/>
  <c r="BD134" i="264"/>
  <c r="BD138" i="264"/>
  <c r="BD141" i="264"/>
  <c r="BD135" i="264"/>
  <c r="BD139" i="264"/>
  <c r="BI135" i="264"/>
  <c r="BI139" i="264"/>
  <c r="BI132" i="264"/>
  <c r="BI136" i="264"/>
  <c r="BI137" i="264"/>
  <c r="BI141" i="264"/>
  <c r="BI140" i="264"/>
  <c r="BI134" i="264"/>
  <c r="BI138" i="264"/>
  <c r="BM135" i="264"/>
  <c r="BM139" i="264"/>
  <c r="BM132" i="264"/>
  <c r="BM136" i="264"/>
  <c r="BM137" i="264"/>
  <c r="BM141" i="264"/>
  <c r="BM134" i="264"/>
  <c r="BM138" i="264"/>
  <c r="BM140" i="264"/>
  <c r="AW135" i="264"/>
  <c r="AW139" i="264"/>
  <c r="AW132" i="264"/>
  <c r="AW136" i="264"/>
  <c r="AW137" i="264"/>
  <c r="AW141" i="264"/>
  <c r="AW140" i="264"/>
  <c r="AW134" i="264"/>
  <c r="AW138" i="264"/>
  <c r="BA135" i="264"/>
  <c r="BA139" i="264"/>
  <c r="BA132" i="264"/>
  <c r="BA136" i="264"/>
  <c r="BA137" i="264"/>
  <c r="BA141" i="264"/>
  <c r="BA134" i="264"/>
  <c r="BA138" i="264"/>
  <c r="BA140" i="264"/>
  <c r="BE135" i="264"/>
  <c r="BE139" i="264"/>
  <c r="BE140" i="264"/>
  <c r="BE132" i="264"/>
  <c r="BE136" i="264"/>
  <c r="BE137" i="264"/>
  <c r="BE141" i="264"/>
  <c r="BE134" i="264"/>
  <c r="BE138" i="264"/>
  <c r="BJ134" i="264"/>
  <c r="BJ138" i="264"/>
  <c r="BJ135" i="264"/>
  <c r="BJ139" i="264"/>
  <c r="BJ132" i="264"/>
  <c r="BJ136" i="264"/>
  <c r="BJ140" i="264"/>
  <c r="BJ137" i="264"/>
  <c r="BJ141" i="264"/>
  <c r="AX134" i="264"/>
  <c r="AX138" i="264"/>
  <c r="AX135" i="264"/>
  <c r="AX139" i="264"/>
  <c r="AX132" i="264"/>
  <c r="AX136" i="264"/>
  <c r="AX140" i="264"/>
  <c r="AX137" i="264"/>
  <c r="AX141" i="264"/>
  <c r="BB134" i="264"/>
  <c r="BB138" i="264"/>
  <c r="BB135" i="264"/>
  <c r="BB139" i="264"/>
  <c r="BB132" i="264"/>
  <c r="BB136" i="264"/>
  <c r="BB140" i="264"/>
  <c r="BB137" i="264"/>
  <c r="BB141" i="264"/>
  <c r="BF134" i="264"/>
  <c r="BG137" i="264"/>
  <c r="BF138" i="264"/>
  <c r="BG141" i="264"/>
  <c r="BG134" i="264"/>
  <c r="BF135" i="264"/>
  <c r="BG138" i="264"/>
  <c r="BF139" i="264"/>
  <c r="BF132" i="264"/>
  <c r="BG135" i="264"/>
  <c r="BF136" i="264"/>
  <c r="BG139" i="264"/>
  <c r="BF140" i="264"/>
  <c r="BG132" i="264"/>
  <c r="BG136" i="264"/>
  <c r="BF137" i="264"/>
  <c r="BG140" i="264"/>
  <c r="BF141" i="264"/>
  <c r="BK137" i="264"/>
  <c r="BK141" i="264"/>
  <c r="BK134" i="264"/>
  <c r="BK138" i="264"/>
  <c r="BK135" i="264"/>
  <c r="BK139" i="264"/>
  <c r="BK132" i="264"/>
  <c r="BK136" i="264"/>
  <c r="BK140" i="264"/>
  <c r="BO137" i="264"/>
  <c r="BO134" i="264"/>
  <c r="BO138" i="264"/>
  <c r="BO135" i="264"/>
  <c r="BO139" i="264"/>
  <c r="BO132" i="264"/>
  <c r="BO136" i="264"/>
  <c r="BO140" i="264"/>
  <c r="BO141" i="264"/>
  <c r="BO116" i="264"/>
  <c r="BO130" i="264"/>
  <c r="BO127" i="264"/>
  <c r="BO129" i="264"/>
  <c r="BO128" i="264"/>
  <c r="BO142" i="264"/>
  <c r="AX127" i="264"/>
  <c r="AX128" i="264"/>
  <c r="AX142" i="264"/>
  <c r="AX129" i="264"/>
  <c r="AX130" i="264"/>
  <c r="BK72" i="264"/>
  <c r="BK130" i="264"/>
  <c r="BK127" i="264"/>
  <c r="BK128" i="264"/>
  <c r="BK142" i="264"/>
  <c r="BK129" i="264"/>
  <c r="AU123" i="264"/>
  <c r="AU130" i="264"/>
  <c r="AU127" i="264"/>
  <c r="AU128" i="264"/>
  <c r="AU142" i="264"/>
  <c r="AU129" i="264"/>
  <c r="AY121" i="264"/>
  <c r="AY130" i="264"/>
  <c r="AY127" i="264"/>
  <c r="AY129" i="264"/>
  <c r="AY128" i="264"/>
  <c r="AY142" i="264"/>
  <c r="BC130" i="264"/>
  <c r="BC127" i="264"/>
  <c r="BC128" i="264"/>
  <c r="BC142" i="264"/>
  <c r="BC129" i="264"/>
  <c r="BH121" i="264"/>
  <c r="BH129" i="264"/>
  <c r="BH130" i="264"/>
  <c r="BH128" i="264"/>
  <c r="BH142" i="264"/>
  <c r="BH127" i="264"/>
  <c r="BL105" i="264"/>
  <c r="BL129" i="264"/>
  <c r="BL130" i="264"/>
  <c r="BL127" i="264"/>
  <c r="BL128" i="264"/>
  <c r="BL142" i="264"/>
  <c r="BB127" i="264"/>
  <c r="BB128" i="264"/>
  <c r="BB142" i="264"/>
  <c r="BB130" i="264"/>
  <c r="BB129" i="264"/>
  <c r="AV82" i="264"/>
  <c r="AV129" i="264"/>
  <c r="AV130" i="264"/>
  <c r="AV127" i="264"/>
  <c r="AV128" i="264"/>
  <c r="AV142" i="264"/>
  <c r="AZ56" i="264"/>
  <c r="AZ129" i="264"/>
  <c r="AZ130" i="264"/>
  <c r="AZ128" i="264"/>
  <c r="AZ142" i="264"/>
  <c r="AZ127" i="264"/>
  <c r="BD39" i="264"/>
  <c r="BD129" i="264"/>
  <c r="BD130" i="264"/>
  <c r="BD127" i="264"/>
  <c r="BD128" i="264"/>
  <c r="BD142" i="264"/>
  <c r="BI122" i="264"/>
  <c r="BI128" i="264"/>
  <c r="BI142" i="264"/>
  <c r="BI129" i="264"/>
  <c r="BI127" i="264"/>
  <c r="BI130" i="264"/>
  <c r="BM122" i="264"/>
  <c r="BM128" i="264"/>
  <c r="BM142" i="264"/>
  <c r="BM129" i="264"/>
  <c r="BM130" i="264"/>
  <c r="BM127" i="264"/>
  <c r="BF127" i="264"/>
  <c r="BG130" i="264"/>
  <c r="BG127" i="264"/>
  <c r="BF128" i="264"/>
  <c r="BF142" i="264"/>
  <c r="BG129" i="264"/>
  <c r="BG128" i="264"/>
  <c r="BF129" i="264"/>
  <c r="BG142" i="264"/>
  <c r="BF130" i="264"/>
  <c r="AW66" i="264"/>
  <c r="AW128" i="264"/>
  <c r="AW142" i="264"/>
  <c r="AW129" i="264"/>
  <c r="AW130" i="264"/>
  <c r="AW127" i="264"/>
  <c r="BA31" i="264"/>
  <c r="BA128" i="264"/>
  <c r="BA142" i="264"/>
  <c r="BA129" i="264"/>
  <c r="BA127" i="264"/>
  <c r="BA130" i="264"/>
  <c r="BE81" i="264"/>
  <c r="BE128" i="264"/>
  <c r="BE142" i="264"/>
  <c r="BE129" i="264"/>
  <c r="BE130" i="264"/>
  <c r="BE127" i="264"/>
  <c r="BJ120" i="264"/>
  <c r="BJ127" i="264"/>
  <c r="BJ128" i="264"/>
  <c r="BJ142" i="264"/>
  <c r="BJ130" i="264"/>
  <c r="BJ129" i="264"/>
  <c r="BE123" i="264"/>
  <c r="BE121" i="264"/>
  <c r="BE125" i="264"/>
  <c r="BE122" i="264"/>
  <c r="BE124" i="264"/>
  <c r="BE126" i="264"/>
  <c r="AX123" i="264"/>
  <c r="BJ60" i="264"/>
  <c r="BO61" i="264"/>
  <c r="CH123" i="264"/>
  <c r="BI60" i="264"/>
  <c r="BO123" i="264"/>
  <c r="CI123" i="264"/>
  <c r="AW123" i="264"/>
  <c r="AU124" i="264"/>
  <c r="BL124" i="264"/>
  <c r="BJ125" i="264"/>
  <c r="BH126" i="264"/>
  <c r="AV124" i="264"/>
  <c r="BM124" i="264"/>
  <c r="BK125" i="264"/>
  <c r="BI126" i="264"/>
  <c r="BK60" i="264"/>
  <c r="AY123" i="264"/>
  <c r="CJ123" i="264"/>
  <c r="AW124" i="264"/>
  <c r="CH124" i="264"/>
  <c r="AU125" i="264"/>
  <c r="BL125" i="264"/>
  <c r="BJ126" i="264"/>
  <c r="BL60" i="264"/>
  <c r="AZ123" i="264"/>
  <c r="CK123" i="264"/>
  <c r="AX124" i="264"/>
  <c r="BO124" i="264"/>
  <c r="CI124" i="264"/>
  <c r="AV125" i="264"/>
  <c r="BM125" i="264"/>
  <c r="BK126" i="264"/>
  <c r="BM60" i="264"/>
  <c r="BA123" i="264"/>
  <c r="CL123" i="264"/>
  <c r="AY124" i="264"/>
  <c r="CJ124" i="264"/>
  <c r="AW125" i="264"/>
  <c r="CH125" i="264"/>
  <c r="AU126" i="264"/>
  <c r="BL126" i="264"/>
  <c r="BB123" i="264"/>
  <c r="CM123" i="264"/>
  <c r="AZ124" i="264"/>
  <c r="CK124" i="264"/>
  <c r="AX125" i="264"/>
  <c r="BO125" i="264"/>
  <c r="CI125" i="264"/>
  <c r="AV126" i="264"/>
  <c r="BM126" i="264"/>
  <c r="BO60" i="264"/>
  <c r="BC123" i="264"/>
  <c r="CN123" i="264"/>
  <c r="BA124" i="264"/>
  <c r="CL124" i="264"/>
  <c r="AY125" i="264"/>
  <c r="CJ125" i="264"/>
  <c r="AW126" i="264"/>
  <c r="CH126" i="264"/>
  <c r="BD123" i="264"/>
  <c r="CO123" i="264"/>
  <c r="BB124" i="264"/>
  <c r="CM124" i="264"/>
  <c r="AZ125" i="264"/>
  <c r="CK125" i="264"/>
  <c r="AX126" i="264"/>
  <c r="BO126" i="264"/>
  <c r="CI126" i="264"/>
  <c r="BF124" i="264"/>
  <c r="BF60" i="264"/>
  <c r="BF61" i="264"/>
  <c r="BF123" i="264"/>
  <c r="BF126" i="264"/>
  <c r="BF125" i="264"/>
  <c r="CP123" i="264"/>
  <c r="BC124" i="264"/>
  <c r="CN124" i="264"/>
  <c r="BA125" i="264"/>
  <c r="CL125" i="264"/>
  <c r="AY126" i="264"/>
  <c r="CJ126" i="264"/>
  <c r="BG123" i="264"/>
  <c r="CQ123" i="264"/>
  <c r="BD124" i="264"/>
  <c r="CO124" i="264"/>
  <c r="BB125" i="264"/>
  <c r="CM125" i="264"/>
  <c r="AZ126" i="264"/>
  <c r="CK126" i="264"/>
  <c r="BI61" i="264"/>
  <c r="BH123" i="264"/>
  <c r="CP124" i="264"/>
  <c r="BC125" i="264"/>
  <c r="CN125" i="264"/>
  <c r="BA126" i="264"/>
  <c r="CL126" i="264"/>
  <c r="BJ61" i="264"/>
  <c r="BI123" i="264"/>
  <c r="BG124" i="264"/>
  <c r="CQ124" i="264"/>
  <c r="BD125" i="264"/>
  <c r="CO125" i="264"/>
  <c r="BB126" i="264"/>
  <c r="CM126" i="264"/>
  <c r="BK61" i="264"/>
  <c r="BJ123" i="264"/>
  <c r="BH124" i="264"/>
  <c r="CP125" i="264"/>
  <c r="BC126" i="264"/>
  <c r="CN126" i="264"/>
  <c r="BL61" i="264"/>
  <c r="BK123" i="264"/>
  <c r="BI124" i="264"/>
  <c r="BG125" i="264"/>
  <c r="CQ125" i="264"/>
  <c r="BD126" i="264"/>
  <c r="CO126" i="264"/>
  <c r="BM61" i="264"/>
  <c r="BL123" i="264"/>
  <c r="BJ124" i="264"/>
  <c r="BH125" i="264"/>
  <c r="CP126" i="264"/>
  <c r="AV123" i="264"/>
  <c r="BM123" i="264"/>
  <c r="BK124" i="264"/>
  <c r="BI125" i="264"/>
  <c r="BG126" i="264"/>
  <c r="CQ126" i="264"/>
  <c r="BI31" i="264"/>
  <c r="BM32" i="264"/>
  <c r="BM34" i="264"/>
  <c r="BL36" i="264"/>
  <c r="BI38" i="264"/>
  <c r="BO39" i="264"/>
  <c r="BI40" i="264"/>
  <c r="BI41" i="264"/>
  <c r="BI43" i="264"/>
  <c r="BL46" i="264"/>
  <c r="BK48" i="264"/>
  <c r="BM49" i="264"/>
  <c r="BM51" i="264"/>
  <c r="BJ53" i="264"/>
  <c r="BJ55" i="264"/>
  <c r="BO56" i="264"/>
  <c r="BI57" i="264"/>
  <c r="BI59" i="264"/>
  <c r="BJ62" i="264"/>
  <c r="BJ64" i="264"/>
  <c r="BM65" i="264"/>
  <c r="BM67" i="264"/>
  <c r="BL69" i="264"/>
  <c r="BO70" i="264"/>
  <c r="BI71" i="264"/>
  <c r="BI73" i="264"/>
  <c r="BK76" i="264"/>
  <c r="BJ78" i="264"/>
  <c r="BJ80" i="264"/>
  <c r="BM81" i="264"/>
  <c r="BM83" i="264"/>
  <c r="BJ86" i="264"/>
  <c r="BI89" i="264"/>
  <c r="BM91" i="264"/>
  <c r="BJ94" i="264"/>
  <c r="BI97" i="264"/>
  <c r="BM99" i="264"/>
  <c r="BJ102" i="264"/>
  <c r="BI105" i="264"/>
  <c r="BJ106" i="264"/>
  <c r="BJ111" i="264"/>
  <c r="BJ113" i="264"/>
  <c r="BJ115" i="264"/>
  <c r="BJ117" i="264"/>
  <c r="BJ119" i="264"/>
  <c r="BI121" i="264"/>
  <c r="BJ122" i="264"/>
  <c r="CH122" i="264"/>
  <c r="CP122" i="264"/>
  <c r="BJ31" i="264"/>
  <c r="BJ33" i="264"/>
  <c r="BJ35" i="264"/>
  <c r="BM36" i="264"/>
  <c r="BM38" i="264"/>
  <c r="BL40" i="264"/>
  <c r="BJ41" i="264"/>
  <c r="BJ43" i="264"/>
  <c r="BO44" i="264"/>
  <c r="BI45" i="264"/>
  <c r="BI47" i="264"/>
  <c r="BL50" i="264"/>
  <c r="BK52" i="264"/>
  <c r="BM53" i="264"/>
  <c r="BM55" i="264"/>
  <c r="BJ57" i="264"/>
  <c r="BJ59" i="264"/>
  <c r="BK64" i="264"/>
  <c r="BJ66" i="264"/>
  <c r="BJ68" i="264"/>
  <c r="BM69" i="264"/>
  <c r="BM71" i="264"/>
  <c r="BL73" i="264"/>
  <c r="BO74" i="264"/>
  <c r="BI75" i="264"/>
  <c r="BI77" i="264"/>
  <c r="BK80" i="264"/>
  <c r="BJ82" i="264"/>
  <c r="BJ84" i="264"/>
  <c r="BI87" i="264"/>
  <c r="BM89" i="264"/>
  <c r="BJ92" i="264"/>
  <c r="BI95" i="264"/>
  <c r="BM97" i="264"/>
  <c r="BJ100" i="264"/>
  <c r="BI103" i="264"/>
  <c r="BM105" i="264"/>
  <c r="BM106" i="264"/>
  <c r="BM111" i="264"/>
  <c r="BM113" i="264"/>
  <c r="BM115" i="264"/>
  <c r="BM117" i="264"/>
  <c r="BM119" i="264"/>
  <c r="AZ121" i="264"/>
  <c r="BL121" i="264"/>
  <c r="AW122" i="264"/>
  <c r="CI122" i="264"/>
  <c r="CQ122" i="264"/>
  <c r="BM31" i="264"/>
  <c r="BI32" i="264"/>
  <c r="BK33" i="264"/>
  <c r="BJ37" i="264"/>
  <c r="BJ39" i="264"/>
  <c r="BM40" i="264"/>
  <c r="BM41" i="264"/>
  <c r="BM43" i="264"/>
  <c r="BJ45" i="264"/>
  <c r="BJ47" i="264"/>
  <c r="BO48" i="264"/>
  <c r="BI49" i="264"/>
  <c r="BI51" i="264"/>
  <c r="BL54" i="264"/>
  <c r="BK56" i="264"/>
  <c r="BM57" i="264"/>
  <c r="BM59" i="264"/>
  <c r="BO62" i="264"/>
  <c r="BI63" i="264"/>
  <c r="BI65" i="264"/>
  <c r="BK68" i="264"/>
  <c r="BJ70" i="264"/>
  <c r="BJ72" i="264"/>
  <c r="BM73" i="264"/>
  <c r="BM75" i="264"/>
  <c r="BL77" i="264"/>
  <c r="BO78" i="264"/>
  <c r="BI79" i="264"/>
  <c r="BI81" i="264"/>
  <c r="BI85" i="264"/>
  <c r="BM87" i="264"/>
  <c r="BJ90" i="264"/>
  <c r="BI93" i="264"/>
  <c r="BM95" i="264"/>
  <c r="BJ98" i="264"/>
  <c r="BI101" i="264"/>
  <c r="BM103" i="264"/>
  <c r="BK110" i="264"/>
  <c r="BK112" i="264"/>
  <c r="BK118" i="264"/>
  <c r="BK120" i="264"/>
  <c r="BD121" i="264"/>
  <c r="BM121" i="264"/>
  <c r="BA122" i="264"/>
  <c r="CL122" i="264"/>
  <c r="BL32" i="264"/>
  <c r="BI34" i="264"/>
  <c r="BO35" i="264"/>
  <c r="BI36" i="264"/>
  <c r="BK37" i="264"/>
  <c r="BL42" i="264"/>
  <c r="BK44" i="264"/>
  <c r="BM45" i="264"/>
  <c r="BM47" i="264"/>
  <c r="BJ49" i="264"/>
  <c r="BJ51" i="264"/>
  <c r="BO52" i="264"/>
  <c r="BI53" i="264"/>
  <c r="BI55" i="264"/>
  <c r="BL58" i="264"/>
  <c r="BM63" i="264"/>
  <c r="BL65" i="264"/>
  <c r="BO66" i="264"/>
  <c r="BI67" i="264"/>
  <c r="BI69" i="264"/>
  <c r="BJ74" i="264"/>
  <c r="BJ76" i="264"/>
  <c r="BM77" i="264"/>
  <c r="BM79" i="264"/>
  <c r="BL81" i="264"/>
  <c r="BO82" i="264"/>
  <c r="BI83" i="264"/>
  <c r="BM85" i="264"/>
  <c r="BJ88" i="264"/>
  <c r="BI91" i="264"/>
  <c r="BM93" i="264"/>
  <c r="BJ96" i="264"/>
  <c r="BI99" i="264"/>
  <c r="BM101" i="264"/>
  <c r="BJ104" i="264"/>
  <c r="BI106" i="264"/>
  <c r="BI111" i="264"/>
  <c r="BI113" i="264"/>
  <c r="BO114" i="264"/>
  <c r="BI115" i="264"/>
  <c r="BI117" i="264"/>
  <c r="BI119" i="264"/>
  <c r="AV121" i="264"/>
  <c r="CM122" i="264"/>
  <c r="AX65" i="264"/>
  <c r="AX121" i="264"/>
  <c r="AX122" i="264"/>
  <c r="BB54" i="264"/>
  <c r="BB121" i="264"/>
  <c r="BB122" i="264"/>
  <c r="BG55" i="264"/>
  <c r="BF33" i="264"/>
  <c r="BF37" i="264"/>
  <c r="BF41" i="264"/>
  <c r="BF45" i="264"/>
  <c r="BF49" i="264"/>
  <c r="BF53" i="264"/>
  <c r="BF57" i="264"/>
  <c r="BF65" i="264"/>
  <c r="BF69" i="264"/>
  <c r="BF73" i="264"/>
  <c r="BF77" i="264"/>
  <c r="BF81" i="264"/>
  <c r="BF85" i="264"/>
  <c r="BF89" i="264"/>
  <c r="BF93" i="264"/>
  <c r="BF97" i="264"/>
  <c r="BF101" i="264"/>
  <c r="BF105" i="264"/>
  <c r="BF113" i="264"/>
  <c r="BF117" i="264"/>
  <c r="BF121" i="264"/>
  <c r="BF35" i="264"/>
  <c r="BF39" i="264"/>
  <c r="BF47" i="264"/>
  <c r="BF55" i="264"/>
  <c r="BF63" i="264"/>
  <c r="BF71" i="264"/>
  <c r="BF79" i="264"/>
  <c r="BF87" i="264"/>
  <c r="BF95" i="264"/>
  <c r="BF103" i="264"/>
  <c r="BF111" i="264"/>
  <c r="BF119" i="264"/>
  <c r="BF36" i="264"/>
  <c r="BF44" i="264"/>
  <c r="BF52" i="264"/>
  <c r="BF68" i="264"/>
  <c r="BF76" i="264"/>
  <c r="BF88" i="264"/>
  <c r="BF96" i="264"/>
  <c r="BF104" i="264"/>
  <c r="BF112" i="264"/>
  <c r="BF120" i="264"/>
  <c r="BF34" i="264"/>
  <c r="BF38" i="264"/>
  <c r="BF42" i="264"/>
  <c r="BF46" i="264"/>
  <c r="BF50" i="264"/>
  <c r="BF54" i="264"/>
  <c r="BF58" i="264"/>
  <c r="BF62" i="264"/>
  <c r="BF66" i="264"/>
  <c r="BF70" i="264"/>
  <c r="BF74" i="264"/>
  <c r="BF78" i="264"/>
  <c r="BF82" i="264"/>
  <c r="BF86" i="264"/>
  <c r="BF90" i="264"/>
  <c r="BF94" i="264"/>
  <c r="BF98" i="264"/>
  <c r="BF102" i="264"/>
  <c r="BF106" i="264"/>
  <c r="BF110" i="264"/>
  <c r="BF114" i="264"/>
  <c r="BF118" i="264"/>
  <c r="BF122" i="264"/>
  <c r="BF31" i="264"/>
  <c r="BF43" i="264"/>
  <c r="BF51" i="264"/>
  <c r="BF59" i="264"/>
  <c r="BF67" i="264"/>
  <c r="BF75" i="264"/>
  <c r="BF83" i="264"/>
  <c r="BF91" i="264"/>
  <c r="BF99" i="264"/>
  <c r="BF115" i="264"/>
  <c r="BF32" i="264"/>
  <c r="BF40" i="264"/>
  <c r="BF48" i="264"/>
  <c r="BF56" i="264"/>
  <c r="BF64" i="264"/>
  <c r="BF72" i="264"/>
  <c r="BF84" i="264"/>
  <c r="BF92" i="264"/>
  <c r="BF100" i="264"/>
  <c r="BF116" i="264"/>
  <c r="BF80" i="264"/>
  <c r="BG121" i="264"/>
  <c r="BG122" i="264"/>
  <c r="BK121" i="264"/>
  <c r="BK105" i="264"/>
  <c r="BK103" i="264"/>
  <c r="BK101" i="264"/>
  <c r="BK99" i="264"/>
  <c r="BK97" i="264"/>
  <c r="BK95" i="264"/>
  <c r="BK93" i="264"/>
  <c r="BK91" i="264"/>
  <c r="BK89" i="264"/>
  <c r="BK87" i="264"/>
  <c r="BK85" i="264"/>
  <c r="BK83" i="264"/>
  <c r="BK81" i="264"/>
  <c r="BK79" i="264"/>
  <c r="BK77" i="264"/>
  <c r="BK75" i="264"/>
  <c r="BK73" i="264"/>
  <c r="BK71" i="264"/>
  <c r="BK69" i="264"/>
  <c r="BK67" i="264"/>
  <c r="BK65" i="264"/>
  <c r="BK63" i="264"/>
  <c r="BK40" i="264"/>
  <c r="BK38" i="264"/>
  <c r="BK36" i="264"/>
  <c r="BK34" i="264"/>
  <c r="BK32" i="264"/>
  <c r="BK100" i="264"/>
  <c r="BK92" i="264"/>
  <c r="BK90" i="264"/>
  <c r="BK86" i="264"/>
  <c r="BK84" i="264"/>
  <c r="BK119" i="264"/>
  <c r="BK117" i="264"/>
  <c r="BK115" i="264"/>
  <c r="BK113" i="264"/>
  <c r="BK111" i="264"/>
  <c r="BK106" i="264"/>
  <c r="BK59" i="264"/>
  <c r="BK57" i="264"/>
  <c r="BK55" i="264"/>
  <c r="BK53" i="264"/>
  <c r="BK51" i="264"/>
  <c r="BK49" i="264"/>
  <c r="BK47" i="264"/>
  <c r="BK45" i="264"/>
  <c r="BK43" i="264"/>
  <c r="BK41" i="264"/>
  <c r="BK31" i="264"/>
  <c r="BK122" i="264"/>
  <c r="BK104" i="264"/>
  <c r="BK102" i="264"/>
  <c r="BK98" i="264"/>
  <c r="BK96" i="264"/>
  <c r="BK94" i="264"/>
  <c r="BK88" i="264"/>
  <c r="BO121" i="264"/>
  <c r="BO105" i="264"/>
  <c r="BO103" i="264"/>
  <c r="BO101" i="264"/>
  <c r="BO99" i="264"/>
  <c r="BO97" i="264"/>
  <c r="BO95" i="264"/>
  <c r="BO93" i="264"/>
  <c r="BO91" i="264"/>
  <c r="BO89" i="264"/>
  <c r="BO87" i="264"/>
  <c r="BO85" i="264"/>
  <c r="BO83" i="264"/>
  <c r="BO81" i="264"/>
  <c r="BO79" i="264"/>
  <c r="BO77" i="264"/>
  <c r="BO75" i="264"/>
  <c r="BO73" i="264"/>
  <c r="BO71" i="264"/>
  <c r="BO69" i="264"/>
  <c r="BO67" i="264"/>
  <c r="BO65" i="264"/>
  <c r="BO63" i="264"/>
  <c r="BO40" i="264"/>
  <c r="BO38" i="264"/>
  <c r="BO36" i="264"/>
  <c r="BO34" i="264"/>
  <c r="BO32" i="264"/>
  <c r="BO122" i="264"/>
  <c r="BO104" i="264"/>
  <c r="BO102" i="264"/>
  <c r="BO98" i="264"/>
  <c r="BO96" i="264"/>
  <c r="BO94" i="264"/>
  <c r="BO88" i="264"/>
  <c r="BO119" i="264"/>
  <c r="BO117" i="264"/>
  <c r="BO115" i="264"/>
  <c r="BO113" i="264"/>
  <c r="BO111" i="264"/>
  <c r="BO106" i="264"/>
  <c r="BO59" i="264"/>
  <c r="BO57" i="264"/>
  <c r="BO55" i="264"/>
  <c r="BO53" i="264"/>
  <c r="BO51" i="264"/>
  <c r="BO49" i="264"/>
  <c r="BO47" i="264"/>
  <c r="BO45" i="264"/>
  <c r="BO43" i="264"/>
  <c r="BO41" i="264"/>
  <c r="BO31" i="264"/>
  <c r="BO100" i="264"/>
  <c r="BO92" i="264"/>
  <c r="BO90" i="264"/>
  <c r="BO86" i="264"/>
  <c r="BO84" i="264"/>
  <c r="CJ70" i="264"/>
  <c r="CJ122" i="264"/>
  <c r="CN82" i="264"/>
  <c r="CN122" i="264"/>
  <c r="BO33" i="264"/>
  <c r="BK35" i="264"/>
  <c r="BO37" i="264"/>
  <c r="BK39" i="264"/>
  <c r="BO42" i="264"/>
  <c r="BL44" i="264"/>
  <c r="BO46" i="264"/>
  <c r="BL48" i="264"/>
  <c r="BO50" i="264"/>
  <c r="BL52" i="264"/>
  <c r="BO54" i="264"/>
  <c r="BL56" i="264"/>
  <c r="BO58" i="264"/>
  <c r="BL63" i="264"/>
  <c r="BL67" i="264"/>
  <c r="BL71" i="264"/>
  <c r="BL75" i="264"/>
  <c r="BL79" i="264"/>
  <c r="BL83" i="264"/>
  <c r="BL85" i="264"/>
  <c r="BL87" i="264"/>
  <c r="BL89" i="264"/>
  <c r="BL91" i="264"/>
  <c r="BL93" i="264"/>
  <c r="BL95" i="264"/>
  <c r="BL97" i="264"/>
  <c r="BL99" i="264"/>
  <c r="BL101" i="264"/>
  <c r="BL103" i="264"/>
  <c r="BO110" i="264"/>
  <c r="BK114" i="264"/>
  <c r="BO118" i="264"/>
  <c r="CN121" i="264"/>
  <c r="AU63" i="264"/>
  <c r="AU122" i="264"/>
  <c r="AY60" i="264"/>
  <c r="AY122" i="264"/>
  <c r="BC65" i="264"/>
  <c r="BC122" i="264"/>
  <c r="BH62" i="264"/>
  <c r="BH122" i="264"/>
  <c r="BL119" i="264"/>
  <c r="BL117" i="264"/>
  <c r="BL115" i="264"/>
  <c r="BL113" i="264"/>
  <c r="BL111" i="264"/>
  <c r="BL106" i="264"/>
  <c r="BL59" i="264"/>
  <c r="BL57" i="264"/>
  <c r="BL55" i="264"/>
  <c r="BL53" i="264"/>
  <c r="BL51" i="264"/>
  <c r="BL49" i="264"/>
  <c r="BL47" i="264"/>
  <c r="BL45" i="264"/>
  <c r="BL43" i="264"/>
  <c r="BL41" i="264"/>
  <c r="BL31" i="264"/>
  <c r="BL120" i="264"/>
  <c r="BL114" i="264"/>
  <c r="BL110" i="264"/>
  <c r="BL122" i="264"/>
  <c r="BL104" i="264"/>
  <c r="BL102" i="264"/>
  <c r="BL100" i="264"/>
  <c r="BL98" i="264"/>
  <c r="BL96" i="264"/>
  <c r="BL94" i="264"/>
  <c r="BL92" i="264"/>
  <c r="BL90" i="264"/>
  <c r="BL88" i="264"/>
  <c r="BL86" i="264"/>
  <c r="BL84" i="264"/>
  <c r="BL82" i="264"/>
  <c r="BL80" i="264"/>
  <c r="BL78" i="264"/>
  <c r="BL76" i="264"/>
  <c r="BL74" i="264"/>
  <c r="BL72" i="264"/>
  <c r="BL70" i="264"/>
  <c r="BL68" i="264"/>
  <c r="BL66" i="264"/>
  <c r="BL64" i="264"/>
  <c r="BL62" i="264"/>
  <c r="BL39" i="264"/>
  <c r="BL37" i="264"/>
  <c r="BL35" i="264"/>
  <c r="BL33" i="264"/>
  <c r="BL118" i="264"/>
  <c r="BL116" i="264"/>
  <c r="BL112" i="264"/>
  <c r="CK71" i="264"/>
  <c r="CK122" i="264"/>
  <c r="CK121" i="264"/>
  <c r="CO67" i="264"/>
  <c r="CO122" i="264"/>
  <c r="CO121" i="264"/>
  <c r="BL34" i="264"/>
  <c r="BL38" i="264"/>
  <c r="BK42" i="264"/>
  <c r="BK46" i="264"/>
  <c r="BK50" i="264"/>
  <c r="BK54" i="264"/>
  <c r="BK58" i="264"/>
  <c r="BK62" i="264"/>
  <c r="BO64" i="264"/>
  <c r="BK66" i="264"/>
  <c r="BO68" i="264"/>
  <c r="BK70" i="264"/>
  <c r="BO72" i="264"/>
  <c r="BK74" i="264"/>
  <c r="BO76" i="264"/>
  <c r="BK78" i="264"/>
  <c r="BO80" i="264"/>
  <c r="BK82" i="264"/>
  <c r="BO112" i="264"/>
  <c r="BK116" i="264"/>
  <c r="BO120" i="264"/>
  <c r="AU121" i="264"/>
  <c r="BC121" i="264"/>
  <c r="BJ32" i="264"/>
  <c r="BJ34" i="264"/>
  <c r="BJ36" i="264"/>
  <c r="BJ38" i="264"/>
  <c r="BJ40" i="264"/>
  <c r="BI42" i="264"/>
  <c r="BM42" i="264"/>
  <c r="BI44" i="264"/>
  <c r="BM44" i="264"/>
  <c r="BI46" i="264"/>
  <c r="BM46" i="264"/>
  <c r="BI48" i="264"/>
  <c r="BM48" i="264"/>
  <c r="BI50" i="264"/>
  <c r="BM50" i="264"/>
  <c r="BI52" i="264"/>
  <c r="BM52" i="264"/>
  <c r="BI54" i="264"/>
  <c r="BM54" i="264"/>
  <c r="BI56" i="264"/>
  <c r="BM56" i="264"/>
  <c r="BI58" i="264"/>
  <c r="BM58" i="264"/>
  <c r="BJ63" i="264"/>
  <c r="BJ65" i="264"/>
  <c r="BJ67" i="264"/>
  <c r="BJ69" i="264"/>
  <c r="BJ71" i="264"/>
  <c r="BJ73" i="264"/>
  <c r="BJ75" i="264"/>
  <c r="BJ77" i="264"/>
  <c r="BJ79" i="264"/>
  <c r="BJ81" i="264"/>
  <c r="BJ83" i="264"/>
  <c r="BJ85" i="264"/>
  <c r="BJ87" i="264"/>
  <c r="BJ89" i="264"/>
  <c r="BJ91" i="264"/>
  <c r="BJ93" i="264"/>
  <c r="BJ95" i="264"/>
  <c r="BJ97" i="264"/>
  <c r="BJ99" i="264"/>
  <c r="BJ101" i="264"/>
  <c r="BJ103" i="264"/>
  <c r="BJ105" i="264"/>
  <c r="BI110" i="264"/>
  <c r="BM110" i="264"/>
  <c r="BI112" i="264"/>
  <c r="BM112" i="264"/>
  <c r="BI114" i="264"/>
  <c r="BM114" i="264"/>
  <c r="BI116" i="264"/>
  <c r="BM116" i="264"/>
  <c r="BI118" i="264"/>
  <c r="BM118" i="264"/>
  <c r="BI120" i="264"/>
  <c r="BM120" i="264"/>
  <c r="AW121" i="264"/>
  <c r="BA121" i="264"/>
  <c r="BJ121" i="264"/>
  <c r="CH121" i="264"/>
  <c r="CL121" i="264"/>
  <c r="CP121" i="264"/>
  <c r="BI33" i="264"/>
  <c r="BM33" i="264"/>
  <c r="BI35" i="264"/>
  <c r="BM35" i="264"/>
  <c r="BI37" i="264"/>
  <c r="BM37" i="264"/>
  <c r="BI39" i="264"/>
  <c r="BM39" i="264"/>
  <c r="BJ42" i="264"/>
  <c r="BJ44" i="264"/>
  <c r="BJ46" i="264"/>
  <c r="BJ48" i="264"/>
  <c r="BJ50" i="264"/>
  <c r="BJ52" i="264"/>
  <c r="BJ54" i="264"/>
  <c r="BJ56" i="264"/>
  <c r="BJ58" i="264"/>
  <c r="BI62" i="264"/>
  <c r="BM62" i="264"/>
  <c r="BI64" i="264"/>
  <c r="BM64" i="264"/>
  <c r="BI66" i="264"/>
  <c r="BM66" i="264"/>
  <c r="BI68" i="264"/>
  <c r="BM68" i="264"/>
  <c r="BI70" i="264"/>
  <c r="BM70" i="264"/>
  <c r="BI72" i="264"/>
  <c r="BM72" i="264"/>
  <c r="BI74" i="264"/>
  <c r="BM74" i="264"/>
  <c r="BI76" i="264"/>
  <c r="BM76" i="264"/>
  <c r="BI78" i="264"/>
  <c r="BM78" i="264"/>
  <c r="BI80" i="264"/>
  <c r="BM80" i="264"/>
  <c r="BI82" i="264"/>
  <c r="BM82" i="264"/>
  <c r="BI84" i="264"/>
  <c r="BM84" i="264"/>
  <c r="BI86" i="264"/>
  <c r="BM86" i="264"/>
  <c r="BI88" i="264"/>
  <c r="BM88" i="264"/>
  <c r="BI90" i="264"/>
  <c r="BM90" i="264"/>
  <c r="BI92" i="264"/>
  <c r="BM92" i="264"/>
  <c r="BI94" i="264"/>
  <c r="BM94" i="264"/>
  <c r="BI96" i="264"/>
  <c r="BM96" i="264"/>
  <c r="BI98" i="264"/>
  <c r="BM98" i="264"/>
  <c r="BI100" i="264"/>
  <c r="BM100" i="264"/>
  <c r="BI102" i="264"/>
  <c r="BM102" i="264"/>
  <c r="BI104" i="264"/>
  <c r="BM104" i="264"/>
  <c r="BJ110" i="264"/>
  <c r="BJ112" i="264"/>
  <c r="BJ114" i="264"/>
  <c r="BJ116" i="264"/>
  <c r="BJ118" i="264"/>
  <c r="CI121" i="264"/>
  <c r="CM121" i="264"/>
  <c r="CQ121" i="264"/>
  <c r="AV122" i="264"/>
  <c r="AZ122" i="264"/>
  <c r="BD122" i="264"/>
  <c r="BU56" i="264"/>
  <c r="BU72" i="264"/>
  <c r="BU88" i="264"/>
  <c r="BU116" i="264"/>
  <c r="BU43" i="264"/>
  <c r="BU59" i="264"/>
  <c r="BU75" i="264"/>
  <c r="BU92" i="264"/>
  <c r="BU119" i="264"/>
  <c r="BU40" i="264"/>
  <c r="BU33" i="264"/>
  <c r="BU46" i="264"/>
  <c r="BU62" i="264"/>
  <c r="BU78" i="264"/>
  <c r="BU95" i="264"/>
  <c r="BU36" i="264"/>
  <c r="BU49" i="264"/>
  <c r="BU65" i="264"/>
  <c r="BU81" i="264"/>
  <c r="BU98" i="264"/>
  <c r="BU39" i="264"/>
  <c r="BU52" i="264"/>
  <c r="BU68" i="264"/>
  <c r="BU84" i="264"/>
  <c r="BU101" i="264"/>
  <c r="BU112" i="264"/>
  <c r="BU55" i="264"/>
  <c r="BU71" i="264"/>
  <c r="BU87" i="264"/>
  <c r="BU104" i="264"/>
  <c r="BU115" i="264"/>
  <c r="BU69" i="264"/>
  <c r="BU42" i="264"/>
  <c r="BU58" i="264"/>
  <c r="BU74" i="264"/>
  <c r="BU91" i="264"/>
  <c r="BU118" i="264"/>
  <c r="BU102" i="264"/>
  <c r="BU113" i="264"/>
  <c r="BU32" i="264"/>
  <c r="BU45" i="264"/>
  <c r="BU77" i="264"/>
  <c r="BU94" i="264"/>
  <c r="BU35" i="264"/>
  <c r="BU48" i="264"/>
  <c r="BU64" i="264"/>
  <c r="BU80" i="264"/>
  <c r="BU97" i="264"/>
  <c r="BU38" i="264"/>
  <c r="BU51" i="264"/>
  <c r="BU67" i="264"/>
  <c r="BU83" i="264"/>
  <c r="BU100" i="264"/>
  <c r="BU111" i="264"/>
  <c r="BU54" i="264"/>
  <c r="BU70" i="264"/>
  <c r="BU86" i="264"/>
  <c r="BU103" i="264"/>
  <c r="BU114" i="264"/>
  <c r="BU41" i="264"/>
  <c r="BU57" i="264"/>
  <c r="BU73" i="264"/>
  <c r="BU89" i="264"/>
  <c r="BU90" i="264"/>
  <c r="BU106" i="264"/>
  <c r="BU117" i="264"/>
  <c r="BU44" i="264"/>
  <c r="BU60" i="264"/>
  <c r="BU76" i="264"/>
  <c r="BU93" i="264"/>
  <c r="BU120" i="264"/>
  <c r="BU85" i="264"/>
  <c r="BU31" i="264"/>
  <c r="BU34" i="264"/>
  <c r="BU47" i="264"/>
  <c r="BU63" i="264"/>
  <c r="BU79" i="264"/>
  <c r="BU96" i="264"/>
  <c r="BU53" i="264"/>
  <c r="BU37" i="264"/>
  <c r="BU50" i="264"/>
  <c r="BU66" i="264"/>
  <c r="BU82" i="264"/>
  <c r="BU99" i="264"/>
  <c r="CL120" i="264"/>
  <c r="AU119" i="264"/>
  <c r="BA120" i="264"/>
  <c r="AY119" i="264"/>
  <c r="BE120" i="264"/>
  <c r="CP120" i="264"/>
  <c r="BC119" i="264"/>
  <c r="BH119" i="264"/>
  <c r="AW120" i="264"/>
  <c r="CH120" i="264"/>
  <c r="AV119" i="264"/>
  <c r="AZ119" i="264"/>
  <c r="BD119" i="264"/>
  <c r="CK119" i="264"/>
  <c r="CO119" i="264"/>
  <c r="AX120" i="264"/>
  <c r="BB120" i="264"/>
  <c r="BG120" i="264"/>
  <c r="CI120" i="264"/>
  <c r="CM120" i="264"/>
  <c r="CQ120" i="264"/>
  <c r="CN119" i="264"/>
  <c r="AW119" i="264"/>
  <c r="BA119" i="264"/>
  <c r="BE119" i="264"/>
  <c r="CH119" i="264"/>
  <c r="CL119" i="264"/>
  <c r="CP119" i="264"/>
  <c r="AU120" i="264"/>
  <c r="AY120" i="264"/>
  <c r="BC120" i="264"/>
  <c r="BH120" i="264"/>
  <c r="CJ120" i="264"/>
  <c r="CN120" i="264"/>
  <c r="CJ119" i="264"/>
  <c r="AX119" i="264"/>
  <c r="BB119" i="264"/>
  <c r="BG119" i="264"/>
  <c r="CI119" i="264"/>
  <c r="CM119" i="264"/>
  <c r="CQ119" i="264"/>
  <c r="AV120" i="264"/>
  <c r="AZ120" i="264"/>
  <c r="BD120" i="264"/>
  <c r="CK120" i="264"/>
  <c r="CO120" i="264"/>
  <c r="CH56" i="264"/>
  <c r="CP56" i="264"/>
  <c r="CO56" i="264"/>
  <c r="CK70" i="264"/>
  <c r="AX107" i="264"/>
  <c r="BB107" i="264"/>
  <c r="BG107" i="264"/>
  <c r="CI107" i="264"/>
  <c r="CM107" i="264"/>
  <c r="CQ107" i="264"/>
  <c r="AU110" i="264"/>
  <c r="AY110" i="264"/>
  <c r="BC110" i="264"/>
  <c r="BH110" i="264"/>
  <c r="CJ110" i="264"/>
  <c r="CN110" i="264"/>
  <c r="AW111" i="264"/>
  <c r="BA111" i="264"/>
  <c r="BE111" i="264"/>
  <c r="CH111" i="264"/>
  <c r="CL111" i="264"/>
  <c r="CP111" i="264"/>
  <c r="AU112" i="264"/>
  <c r="AY112" i="264"/>
  <c r="BC112" i="264"/>
  <c r="BH112" i="264"/>
  <c r="CJ112" i="264"/>
  <c r="CN112" i="264"/>
  <c r="AW113" i="264"/>
  <c r="BA113" i="264"/>
  <c r="BE113" i="264"/>
  <c r="CH113" i="264"/>
  <c r="CL113" i="264"/>
  <c r="CP113" i="264"/>
  <c r="AU114" i="264"/>
  <c r="AY114" i="264"/>
  <c r="BC114" i="264"/>
  <c r="BH114" i="264"/>
  <c r="CJ114" i="264"/>
  <c r="CN114" i="264"/>
  <c r="AW115" i="264"/>
  <c r="BA115" i="264"/>
  <c r="BE115" i="264"/>
  <c r="CH115" i="264"/>
  <c r="CL115" i="264"/>
  <c r="CP115" i="264"/>
  <c r="AU116" i="264"/>
  <c r="AY116" i="264"/>
  <c r="BC116" i="264"/>
  <c r="BH116" i="264"/>
  <c r="CJ116" i="264"/>
  <c r="CN116" i="264"/>
  <c r="AW117" i="264"/>
  <c r="BA117" i="264"/>
  <c r="BE117" i="264"/>
  <c r="CH117" i="264"/>
  <c r="CL117" i="264"/>
  <c r="CP117" i="264"/>
  <c r="AU118" i="264"/>
  <c r="AY118" i="264"/>
  <c r="BC118" i="264"/>
  <c r="BH118" i="264"/>
  <c r="CJ118" i="264"/>
  <c r="CN118" i="264"/>
  <c r="CO70" i="264"/>
  <c r="AU107" i="264"/>
  <c r="AY107" i="264"/>
  <c r="BC107" i="264"/>
  <c r="BH107" i="264"/>
  <c r="CJ107" i="264"/>
  <c r="CN107" i="264"/>
  <c r="AV110" i="264"/>
  <c r="AZ110" i="264"/>
  <c r="BD110" i="264"/>
  <c r="CK110" i="264"/>
  <c r="CO110" i="264"/>
  <c r="AX111" i="264"/>
  <c r="BB111" i="264"/>
  <c r="BG111" i="264"/>
  <c r="CI111" i="264"/>
  <c r="CM111" i="264"/>
  <c r="CQ111" i="264"/>
  <c r="AV112" i="264"/>
  <c r="AZ112" i="264"/>
  <c r="BD112" i="264"/>
  <c r="CK112" i="264"/>
  <c r="CO112" i="264"/>
  <c r="AX113" i="264"/>
  <c r="BB113" i="264"/>
  <c r="BG113" i="264"/>
  <c r="CI113" i="264"/>
  <c r="CM113" i="264"/>
  <c r="CQ113" i="264"/>
  <c r="AV114" i="264"/>
  <c r="AZ114" i="264"/>
  <c r="BD114" i="264"/>
  <c r="CK114" i="264"/>
  <c r="CO114" i="264"/>
  <c r="AX115" i="264"/>
  <c r="BB115" i="264"/>
  <c r="BG115" i="264"/>
  <c r="CI115" i="264"/>
  <c r="CM115" i="264"/>
  <c r="CQ115" i="264"/>
  <c r="AV116" i="264"/>
  <c r="AZ116" i="264"/>
  <c r="BD116" i="264"/>
  <c r="CK116" i="264"/>
  <c r="CO116" i="264"/>
  <c r="AX117" i="264"/>
  <c r="BB117" i="264"/>
  <c r="BG117" i="264"/>
  <c r="CI117" i="264"/>
  <c r="CM117" i="264"/>
  <c r="CQ117" i="264"/>
  <c r="AV118" i="264"/>
  <c r="AZ118" i="264"/>
  <c r="BD118" i="264"/>
  <c r="CK118" i="264"/>
  <c r="CO118" i="264"/>
  <c r="BC49" i="264"/>
  <c r="CK56" i="264"/>
  <c r="AV107" i="264"/>
  <c r="AZ107" i="264"/>
  <c r="BD107" i="264"/>
  <c r="CK107" i="264"/>
  <c r="CO107" i="264"/>
  <c r="AW110" i="264"/>
  <c r="BA110" i="264"/>
  <c r="BE110" i="264"/>
  <c r="CH110" i="264"/>
  <c r="CL110" i="264"/>
  <c r="CP110" i="264"/>
  <c r="AU111" i="264"/>
  <c r="AY111" i="264"/>
  <c r="BC111" i="264"/>
  <c r="BH111" i="264"/>
  <c r="CJ111" i="264"/>
  <c r="CN111" i="264"/>
  <c r="AW112" i="264"/>
  <c r="BA112" i="264"/>
  <c r="BE112" i="264"/>
  <c r="CH112" i="264"/>
  <c r="CL112" i="264"/>
  <c r="CP112" i="264"/>
  <c r="AU113" i="264"/>
  <c r="AY113" i="264"/>
  <c r="BC113" i="264"/>
  <c r="BH113" i="264"/>
  <c r="CJ113" i="264"/>
  <c r="CN113" i="264"/>
  <c r="AW114" i="264"/>
  <c r="BA114" i="264"/>
  <c r="BE114" i="264"/>
  <c r="CH114" i="264"/>
  <c r="CL114" i="264"/>
  <c r="CP114" i="264"/>
  <c r="AU115" i="264"/>
  <c r="AY115" i="264"/>
  <c r="BC115" i="264"/>
  <c r="BH115" i="264"/>
  <c r="CJ115" i="264"/>
  <c r="CN115" i="264"/>
  <c r="AW116" i="264"/>
  <c r="BA116" i="264"/>
  <c r="BE116" i="264"/>
  <c r="CH116" i="264"/>
  <c r="CL116" i="264"/>
  <c r="CP116" i="264"/>
  <c r="AU117" i="264"/>
  <c r="AY117" i="264"/>
  <c r="BC117" i="264"/>
  <c r="BH117" i="264"/>
  <c r="CJ117" i="264"/>
  <c r="CN117" i="264"/>
  <c r="AW118" i="264"/>
  <c r="BA118" i="264"/>
  <c r="BE118" i="264"/>
  <c r="CH118" i="264"/>
  <c r="CL118" i="264"/>
  <c r="CP118" i="264"/>
  <c r="CL56" i="264"/>
  <c r="AW107" i="264"/>
  <c r="BA107" i="264"/>
  <c r="BE107" i="264"/>
  <c r="CH107" i="264"/>
  <c r="CL107" i="264"/>
  <c r="CP107" i="264"/>
  <c r="AX110" i="264"/>
  <c r="BB110" i="264"/>
  <c r="BG110" i="264"/>
  <c r="CI110" i="264"/>
  <c r="CM110" i="264"/>
  <c r="CQ110" i="264"/>
  <c r="AV111" i="264"/>
  <c r="AZ111" i="264"/>
  <c r="BD111" i="264"/>
  <c r="CK111" i="264"/>
  <c r="CO111" i="264"/>
  <c r="AX112" i="264"/>
  <c r="BB112" i="264"/>
  <c r="BG112" i="264"/>
  <c r="CI112" i="264"/>
  <c r="CM112" i="264"/>
  <c r="CQ112" i="264"/>
  <c r="AV113" i="264"/>
  <c r="AZ113" i="264"/>
  <c r="BD113" i="264"/>
  <c r="CK113" i="264"/>
  <c r="CO113" i="264"/>
  <c r="AX114" i="264"/>
  <c r="BB114" i="264"/>
  <c r="BG114" i="264"/>
  <c r="CI114" i="264"/>
  <c r="CM114" i="264"/>
  <c r="CQ114" i="264"/>
  <c r="AV115" i="264"/>
  <c r="AZ115" i="264"/>
  <c r="BD115" i="264"/>
  <c r="CK115" i="264"/>
  <c r="CO115" i="264"/>
  <c r="AX116" i="264"/>
  <c r="BB116" i="264"/>
  <c r="BG116" i="264"/>
  <c r="CI116" i="264"/>
  <c r="CM116" i="264"/>
  <c r="CQ116" i="264"/>
  <c r="AV117" i="264"/>
  <c r="AZ117" i="264"/>
  <c r="BD117" i="264"/>
  <c r="CK117" i="264"/>
  <c r="CO117" i="264"/>
  <c r="AX118" i="264"/>
  <c r="BB118" i="264"/>
  <c r="BG118" i="264"/>
  <c r="CI118" i="264"/>
  <c r="CM118" i="264"/>
  <c r="CQ118" i="264"/>
  <c r="BE56" i="264"/>
  <c r="AV70" i="264"/>
  <c r="AW42" i="264"/>
  <c r="AW56" i="264"/>
  <c r="BD70" i="264"/>
  <c r="AX42" i="264"/>
  <c r="BB42" i="264"/>
  <c r="BG42" i="264"/>
  <c r="AX56" i="264"/>
  <c r="BB56" i="264"/>
  <c r="BG56" i="264"/>
  <c r="CI56" i="264"/>
  <c r="CM56" i="264"/>
  <c r="CQ56" i="264"/>
  <c r="AW70" i="264"/>
  <c r="BA70" i="264"/>
  <c r="BE70" i="264"/>
  <c r="CH70" i="264"/>
  <c r="CL70" i="264"/>
  <c r="CP70" i="264"/>
  <c r="BA42" i="264"/>
  <c r="BA56" i="264"/>
  <c r="AZ70" i="264"/>
  <c r="AU42" i="264"/>
  <c r="AY42" i="264"/>
  <c r="BC42" i="264"/>
  <c r="BH42" i="264"/>
  <c r="AU56" i="264"/>
  <c r="AY56" i="264"/>
  <c r="BC56" i="264"/>
  <c r="BH56" i="264"/>
  <c r="CJ56" i="264"/>
  <c r="CN56" i="264"/>
  <c r="AX70" i="264"/>
  <c r="BB70" i="264"/>
  <c r="BG70" i="264"/>
  <c r="CI70" i="264"/>
  <c r="CM70" i="264"/>
  <c r="CQ70" i="264"/>
  <c r="BE42" i="264"/>
  <c r="AV42" i="264"/>
  <c r="AZ42" i="264"/>
  <c r="BD42" i="264"/>
  <c r="AV56" i="264"/>
  <c r="BD56" i="264"/>
  <c r="AU70" i="264"/>
  <c r="AY70" i="264"/>
  <c r="BC70" i="264"/>
  <c r="BH70" i="264"/>
  <c r="CN70" i="264"/>
  <c r="BC47" i="264"/>
  <c r="BE77" i="264"/>
  <c r="AW31" i="264"/>
  <c r="AY32" i="264"/>
  <c r="BC33" i="264"/>
  <c r="BH34" i="264"/>
  <c r="AU35" i="264"/>
  <c r="BA44" i="264"/>
  <c r="BC45" i="264"/>
  <c r="BE31" i="264"/>
  <c r="BC39" i="264"/>
  <c r="BH40" i="264"/>
  <c r="BC51" i="264"/>
  <c r="BH58" i="264"/>
  <c r="AU59" i="264"/>
  <c r="AY64" i="264"/>
  <c r="AX31" i="264"/>
  <c r="BG31" i="264"/>
  <c r="BC32" i="264"/>
  <c r="BH33" i="264"/>
  <c r="AU34" i="264"/>
  <c r="AY35" i="264"/>
  <c r="BH39" i="264"/>
  <c r="AU40" i="264"/>
  <c r="AX41" i="264"/>
  <c r="BB43" i="264"/>
  <c r="BB44" i="264"/>
  <c r="BG69" i="264"/>
  <c r="BB46" i="264"/>
  <c r="AX57" i="264"/>
  <c r="BB62" i="264"/>
  <c r="BG63" i="264"/>
  <c r="BH32" i="264"/>
  <c r="AU33" i="264"/>
  <c r="AY34" i="264"/>
  <c r="AX39" i="264"/>
  <c r="BB40" i="264"/>
  <c r="AY41" i="264"/>
  <c r="BC43" i="264"/>
  <c r="BG44" i="264"/>
  <c r="AX43" i="264"/>
  <c r="BB48" i="264"/>
  <c r="BB50" i="264"/>
  <c r="BB31" i="264"/>
  <c r="AY33" i="264"/>
  <c r="BC34" i="264"/>
  <c r="BB39" i="264"/>
  <c r="BG40" i="264"/>
  <c r="BC41" i="264"/>
  <c r="AW43" i="264"/>
  <c r="BH43" i="264"/>
  <c r="AU44" i="264"/>
  <c r="BH44" i="264"/>
  <c r="AU45" i="264"/>
  <c r="BC53" i="264"/>
  <c r="BC61" i="264"/>
  <c r="AW62" i="264"/>
  <c r="AZ89" i="264"/>
  <c r="AZ88" i="264"/>
  <c r="AZ87" i="264"/>
  <c r="AZ86" i="264"/>
  <c r="AZ85" i="264"/>
  <c r="AZ109" i="264"/>
  <c r="AZ106" i="264"/>
  <c r="AZ105" i="264"/>
  <c r="AZ104" i="264"/>
  <c r="AZ103" i="264"/>
  <c r="AZ102" i="264"/>
  <c r="AZ101" i="264"/>
  <c r="AZ100" i="264"/>
  <c r="AZ99" i="264"/>
  <c r="AZ98" i="264"/>
  <c r="AZ97" i="264"/>
  <c r="AZ96" i="264"/>
  <c r="AZ95" i="264"/>
  <c r="AZ94" i="264"/>
  <c r="AZ93" i="264"/>
  <c r="AZ92" i="264"/>
  <c r="AZ91" i="264"/>
  <c r="AZ90" i="264"/>
  <c r="AZ83" i="264"/>
  <c r="AZ69" i="264"/>
  <c r="AZ68" i="264"/>
  <c r="AZ67" i="264"/>
  <c r="AZ66" i="264"/>
  <c r="AZ65" i="264"/>
  <c r="AZ64" i="264"/>
  <c r="AZ63" i="264"/>
  <c r="AZ62" i="264"/>
  <c r="AZ61" i="264"/>
  <c r="AZ60" i="264"/>
  <c r="AZ59" i="264"/>
  <c r="AZ58" i="264"/>
  <c r="AZ57" i="264"/>
  <c r="AZ84" i="264"/>
  <c r="AZ79" i="264"/>
  <c r="AZ75" i="264"/>
  <c r="AZ71" i="264"/>
  <c r="AZ54" i="264"/>
  <c r="AZ50" i="264"/>
  <c r="AZ46" i="264"/>
  <c r="AZ44" i="264"/>
  <c r="AZ43" i="264"/>
  <c r="AZ41" i="264"/>
  <c r="AZ82" i="264"/>
  <c r="AZ78" i="264"/>
  <c r="AZ74" i="264"/>
  <c r="AZ53" i="264"/>
  <c r="AZ81" i="264"/>
  <c r="AZ77" i="264"/>
  <c r="AZ73" i="264"/>
  <c r="AZ52" i="264"/>
  <c r="AZ48" i="264"/>
  <c r="BD35" i="264"/>
  <c r="AZ36" i="264"/>
  <c r="AZ37" i="264"/>
  <c r="AV38" i="264"/>
  <c r="BD38" i="264"/>
  <c r="AZ40" i="264"/>
  <c r="AZ47" i="264"/>
  <c r="BA109" i="264"/>
  <c r="BA89" i="264"/>
  <c r="BA88" i="264"/>
  <c r="BA87" i="264"/>
  <c r="BA86" i="264"/>
  <c r="BA85" i="264"/>
  <c r="BA84" i="264"/>
  <c r="BA83" i="264"/>
  <c r="BA106" i="264"/>
  <c r="BA104" i="264"/>
  <c r="BA102" i="264"/>
  <c r="BA100" i="264"/>
  <c r="BA98" i="264"/>
  <c r="BA96" i="264"/>
  <c r="BA94" i="264"/>
  <c r="BA90" i="264"/>
  <c r="BA55" i="264"/>
  <c r="BA54" i="264"/>
  <c r="BA53" i="264"/>
  <c r="BA52" i="264"/>
  <c r="BA51" i="264"/>
  <c r="BA50" i="264"/>
  <c r="BA49" i="264"/>
  <c r="BA48" i="264"/>
  <c r="BA47" i="264"/>
  <c r="BA46" i="264"/>
  <c r="BA45" i="264"/>
  <c r="BA105" i="264"/>
  <c r="BA103" i="264"/>
  <c r="BA101" i="264"/>
  <c r="BA99" i="264"/>
  <c r="BA97" i="264"/>
  <c r="BA95" i="264"/>
  <c r="BA82" i="264"/>
  <c r="BA78" i="264"/>
  <c r="BA74" i="264"/>
  <c r="BA67" i="264"/>
  <c r="BA62" i="264"/>
  <c r="BA58" i="264"/>
  <c r="BA40" i="264"/>
  <c r="BA39" i="264"/>
  <c r="BA93" i="264"/>
  <c r="BA91" i="264"/>
  <c r="BA81" i="264"/>
  <c r="BA77" i="264"/>
  <c r="BA73" i="264"/>
  <c r="BA66" i="264"/>
  <c r="BA65" i="264"/>
  <c r="BA61" i="264"/>
  <c r="BA57" i="264"/>
  <c r="BA80" i="264"/>
  <c r="BA76" i="264"/>
  <c r="BA72" i="264"/>
  <c r="BA69" i="264"/>
  <c r="BA64" i="264"/>
  <c r="BA60" i="264"/>
  <c r="AV32" i="264"/>
  <c r="BD32" i="264"/>
  <c r="AV33" i="264"/>
  <c r="BD33" i="264"/>
  <c r="AZ34" i="264"/>
  <c r="AZ35" i="264"/>
  <c r="AW36" i="264"/>
  <c r="BE36" i="264"/>
  <c r="AW37" i="264"/>
  <c r="BE37" i="264"/>
  <c r="BA38" i="264"/>
  <c r="BE41" i="264"/>
  <c r="BD48" i="264"/>
  <c r="BA59" i="264"/>
  <c r="BE64" i="264"/>
  <c r="AW73" i="264"/>
  <c r="BA79" i="264"/>
  <c r="AZ80" i="264"/>
  <c r="AX106" i="264"/>
  <c r="AX105" i="264"/>
  <c r="AX104" i="264"/>
  <c r="AX103" i="264"/>
  <c r="AX102" i="264"/>
  <c r="AX101" i="264"/>
  <c r="AX100" i="264"/>
  <c r="AX99" i="264"/>
  <c r="AX98" i="264"/>
  <c r="AX97" i="264"/>
  <c r="AX96" i="264"/>
  <c r="AX95" i="264"/>
  <c r="AX94" i="264"/>
  <c r="AX93" i="264"/>
  <c r="AX109" i="264"/>
  <c r="AX91" i="264"/>
  <c r="AX89" i="264"/>
  <c r="AX87" i="264"/>
  <c r="AX85" i="264"/>
  <c r="AX90" i="264"/>
  <c r="AX84" i="264"/>
  <c r="AX82" i="264"/>
  <c r="AX81" i="264"/>
  <c r="AX80" i="264"/>
  <c r="AX79" i="264"/>
  <c r="AX78" i="264"/>
  <c r="AX77" i="264"/>
  <c r="AX76" i="264"/>
  <c r="AX75" i="264"/>
  <c r="AX74" i="264"/>
  <c r="AX73" i="264"/>
  <c r="AX72" i="264"/>
  <c r="AX71" i="264"/>
  <c r="AX92" i="264"/>
  <c r="AX88" i="264"/>
  <c r="AX68" i="264"/>
  <c r="AX64" i="264"/>
  <c r="AX60" i="264"/>
  <c r="AX52" i="264"/>
  <c r="AX48" i="264"/>
  <c r="AX86" i="264"/>
  <c r="AX83" i="264"/>
  <c r="AX67" i="264"/>
  <c r="AX63" i="264"/>
  <c r="AX59" i="264"/>
  <c r="AX55" i="264"/>
  <c r="AX66" i="264"/>
  <c r="AX62" i="264"/>
  <c r="AX58" i="264"/>
  <c r="AX54" i="264"/>
  <c r="AX50" i="264"/>
  <c r="AX46" i="264"/>
  <c r="BB35" i="264"/>
  <c r="BB106" i="264"/>
  <c r="BB105" i="264"/>
  <c r="BB104" i="264"/>
  <c r="BB103" i="264"/>
  <c r="BB102" i="264"/>
  <c r="BB101" i="264"/>
  <c r="BB100" i="264"/>
  <c r="BB99" i="264"/>
  <c r="BB98" i="264"/>
  <c r="BB97" i="264"/>
  <c r="BB96" i="264"/>
  <c r="BB95" i="264"/>
  <c r="BB94" i="264"/>
  <c r="BB93" i="264"/>
  <c r="BB109" i="264"/>
  <c r="BB88" i="264"/>
  <c r="BB86" i="264"/>
  <c r="BB92" i="264"/>
  <c r="BB82" i="264"/>
  <c r="BB81" i="264"/>
  <c r="BB80" i="264"/>
  <c r="BB79" i="264"/>
  <c r="BB78" i="264"/>
  <c r="BB77" i="264"/>
  <c r="BB76" i="264"/>
  <c r="BB75" i="264"/>
  <c r="BB74" i="264"/>
  <c r="BB73" i="264"/>
  <c r="BB72" i="264"/>
  <c r="BB71" i="264"/>
  <c r="BB91" i="264"/>
  <c r="BB83" i="264"/>
  <c r="BB66" i="264"/>
  <c r="BB65" i="264"/>
  <c r="BB61" i="264"/>
  <c r="BB57" i="264"/>
  <c r="BB53" i="264"/>
  <c r="BB49" i="264"/>
  <c r="BB45" i="264"/>
  <c r="BB89" i="264"/>
  <c r="BB69" i="264"/>
  <c r="BB64" i="264"/>
  <c r="BB60" i="264"/>
  <c r="BB52" i="264"/>
  <c r="BB90" i="264"/>
  <c r="BB87" i="264"/>
  <c r="BB68" i="264"/>
  <c r="BB63" i="264"/>
  <c r="BB59" i="264"/>
  <c r="BB55" i="264"/>
  <c r="BB51" i="264"/>
  <c r="BB47" i="264"/>
  <c r="BG106" i="264"/>
  <c r="BG105" i="264"/>
  <c r="BG104" i="264"/>
  <c r="BG103" i="264"/>
  <c r="BG102" i="264"/>
  <c r="BG101" i="264"/>
  <c r="BG100" i="264"/>
  <c r="BG99" i="264"/>
  <c r="BG98" i="264"/>
  <c r="BG97" i="264"/>
  <c r="BG96" i="264"/>
  <c r="BG95" i="264"/>
  <c r="BG94" i="264"/>
  <c r="BG93" i="264"/>
  <c r="BG109" i="264"/>
  <c r="BG91" i="264"/>
  <c r="BG89" i="264"/>
  <c r="BG87" i="264"/>
  <c r="BG85" i="264"/>
  <c r="BG83" i="264"/>
  <c r="BG90" i="264"/>
  <c r="BG82" i="264"/>
  <c r="BG81" i="264"/>
  <c r="BG80" i="264"/>
  <c r="BG79" i="264"/>
  <c r="BG78" i="264"/>
  <c r="BG77" i="264"/>
  <c r="BG76" i="264"/>
  <c r="BG75" i="264"/>
  <c r="BG74" i="264"/>
  <c r="BG73" i="264"/>
  <c r="BG72" i="264"/>
  <c r="BG71" i="264"/>
  <c r="BG68" i="264"/>
  <c r="BG62" i="264"/>
  <c r="BG58" i="264"/>
  <c r="BG54" i="264"/>
  <c r="BG50" i="264"/>
  <c r="BG46" i="264"/>
  <c r="BG67" i="264"/>
  <c r="BG65" i="264"/>
  <c r="BG61" i="264"/>
  <c r="BG57" i="264"/>
  <c r="BG53" i="264"/>
  <c r="BG92" i="264"/>
  <c r="BG88" i="264"/>
  <c r="BG84" i="264"/>
  <c r="BG66" i="264"/>
  <c r="BG64" i="264"/>
  <c r="BG60" i="264"/>
  <c r="BG52" i="264"/>
  <c r="BG48" i="264"/>
  <c r="AU31" i="264"/>
  <c r="AY31" i="264"/>
  <c r="BC31" i="264"/>
  <c r="BH31" i="264"/>
  <c r="AW32" i="264"/>
  <c r="BA32" i="264"/>
  <c r="BE32" i="264"/>
  <c r="AW33" i="264"/>
  <c r="BA33" i="264"/>
  <c r="BE33" i="264"/>
  <c r="AW34" i="264"/>
  <c r="BA34" i="264"/>
  <c r="BE34" i="264"/>
  <c r="AW35" i="264"/>
  <c r="BA35" i="264"/>
  <c r="BG35" i="264"/>
  <c r="AX36" i="264"/>
  <c r="BB36" i="264"/>
  <c r="BG36" i="264"/>
  <c r="AX37" i="264"/>
  <c r="BB37" i="264"/>
  <c r="BG37" i="264"/>
  <c r="AX38" i="264"/>
  <c r="BB38" i="264"/>
  <c r="BG38" i="264"/>
  <c r="AY39" i="264"/>
  <c r="AX40" i="264"/>
  <c r="BC40" i="264"/>
  <c r="AU41" i="264"/>
  <c r="BA41" i="264"/>
  <c r="BG41" i="264"/>
  <c r="AY43" i="264"/>
  <c r="BE43" i="264"/>
  <c r="AX44" i="264"/>
  <c r="BC44" i="264"/>
  <c r="AX45" i="264"/>
  <c r="BG45" i="264"/>
  <c r="AV46" i="264"/>
  <c r="BH46" i="264"/>
  <c r="AU47" i="264"/>
  <c r="BG47" i="264"/>
  <c r="AV48" i="264"/>
  <c r="BH48" i="264"/>
  <c r="AU49" i="264"/>
  <c r="BG49" i="264"/>
  <c r="AV50" i="264"/>
  <c r="BH50" i="264"/>
  <c r="AU51" i="264"/>
  <c r="BG51" i="264"/>
  <c r="AY52" i="264"/>
  <c r="BH54" i="264"/>
  <c r="AU55" i="264"/>
  <c r="BC57" i="264"/>
  <c r="AW58" i="264"/>
  <c r="BG59" i="264"/>
  <c r="BE73" i="264"/>
  <c r="AV74" i="264"/>
  <c r="BA92" i="264"/>
  <c r="AV89" i="264"/>
  <c r="AV88" i="264"/>
  <c r="AV87" i="264"/>
  <c r="AV86" i="264"/>
  <c r="AV109" i="264"/>
  <c r="AV106" i="264"/>
  <c r="AV105" i="264"/>
  <c r="AV104" i="264"/>
  <c r="AV103" i="264"/>
  <c r="AV102" i="264"/>
  <c r="AV101" i="264"/>
  <c r="AV100" i="264"/>
  <c r="AV99" i="264"/>
  <c r="AV98" i="264"/>
  <c r="AV97" i="264"/>
  <c r="AV96" i="264"/>
  <c r="AV95" i="264"/>
  <c r="AV94" i="264"/>
  <c r="AV93" i="264"/>
  <c r="AV92" i="264"/>
  <c r="AV91" i="264"/>
  <c r="AV90" i="264"/>
  <c r="AV69" i="264"/>
  <c r="AV68" i="264"/>
  <c r="AV67" i="264"/>
  <c r="AV66" i="264"/>
  <c r="AV65" i="264"/>
  <c r="AV64" i="264"/>
  <c r="AV63" i="264"/>
  <c r="AV62" i="264"/>
  <c r="AV61" i="264"/>
  <c r="AV60" i="264"/>
  <c r="AV59" i="264"/>
  <c r="AV58" i="264"/>
  <c r="AV57" i="264"/>
  <c r="AV85" i="264"/>
  <c r="AV81" i="264"/>
  <c r="AV77" i="264"/>
  <c r="AV73" i="264"/>
  <c r="AV53" i="264"/>
  <c r="AV49" i="264"/>
  <c r="AV45" i="264"/>
  <c r="AV44" i="264"/>
  <c r="AV43" i="264"/>
  <c r="AV41" i="264"/>
  <c r="AV84" i="264"/>
  <c r="AV80" i="264"/>
  <c r="AV76" i="264"/>
  <c r="AV72" i="264"/>
  <c r="AV52" i="264"/>
  <c r="AV83" i="264"/>
  <c r="AV79" i="264"/>
  <c r="AV75" i="264"/>
  <c r="AV71" i="264"/>
  <c r="AV55" i="264"/>
  <c r="AV51" i="264"/>
  <c r="AV47" i="264"/>
  <c r="BD89" i="264"/>
  <c r="BD88" i="264"/>
  <c r="BD87" i="264"/>
  <c r="BD86" i="264"/>
  <c r="BD85" i="264"/>
  <c r="BD109" i="264"/>
  <c r="BD106" i="264"/>
  <c r="BD105" i="264"/>
  <c r="BD104" i="264"/>
  <c r="BD103" i="264"/>
  <c r="BD102" i="264"/>
  <c r="BD101" i="264"/>
  <c r="BD100" i="264"/>
  <c r="BD99" i="264"/>
  <c r="BD98" i="264"/>
  <c r="BD97" i="264"/>
  <c r="BD96" i="264"/>
  <c r="BD95" i="264"/>
  <c r="BD94" i="264"/>
  <c r="BD93" i="264"/>
  <c r="BD92" i="264"/>
  <c r="BD91" i="264"/>
  <c r="BD90" i="264"/>
  <c r="BD84" i="264"/>
  <c r="BD69" i="264"/>
  <c r="BD68" i="264"/>
  <c r="BD67" i="264"/>
  <c r="BD66" i="264"/>
  <c r="BD65" i="264"/>
  <c r="BD64" i="264"/>
  <c r="BD63" i="264"/>
  <c r="BD62" i="264"/>
  <c r="BD61" i="264"/>
  <c r="BD60" i="264"/>
  <c r="BD59" i="264"/>
  <c r="BD58" i="264"/>
  <c r="BD57" i="264"/>
  <c r="BD83" i="264"/>
  <c r="BD81" i="264"/>
  <c r="BD77" i="264"/>
  <c r="BD73" i="264"/>
  <c r="BD55" i="264"/>
  <c r="BD51" i="264"/>
  <c r="BD47" i="264"/>
  <c r="BD44" i="264"/>
  <c r="BD43" i="264"/>
  <c r="BD41" i="264"/>
  <c r="BD80" i="264"/>
  <c r="BD76" i="264"/>
  <c r="BD72" i="264"/>
  <c r="BD54" i="264"/>
  <c r="BD79" i="264"/>
  <c r="BD75" i="264"/>
  <c r="BD71" i="264"/>
  <c r="BD53" i="264"/>
  <c r="BD49" i="264"/>
  <c r="BD45" i="264"/>
  <c r="AV36" i="264"/>
  <c r="BD36" i="264"/>
  <c r="AV37" i="264"/>
  <c r="BD37" i="264"/>
  <c r="AZ38" i="264"/>
  <c r="AV39" i="264"/>
  <c r="AZ45" i="264"/>
  <c r="AZ49" i="264"/>
  <c r="AZ51" i="264"/>
  <c r="AV54" i="264"/>
  <c r="AV78" i="264"/>
  <c r="AW109" i="264"/>
  <c r="AW89" i="264"/>
  <c r="AW88" i="264"/>
  <c r="AW87" i="264"/>
  <c r="AW86" i="264"/>
  <c r="AW85" i="264"/>
  <c r="AW84" i="264"/>
  <c r="AW83" i="264"/>
  <c r="AW92" i="264"/>
  <c r="AW55" i="264"/>
  <c r="AW54" i="264"/>
  <c r="AW53" i="264"/>
  <c r="AW52" i="264"/>
  <c r="AW51" i="264"/>
  <c r="AW50" i="264"/>
  <c r="AW49" i="264"/>
  <c r="AW48" i="264"/>
  <c r="AW47" i="264"/>
  <c r="AW46" i="264"/>
  <c r="AW45" i="264"/>
  <c r="AW106" i="264"/>
  <c r="AW104" i="264"/>
  <c r="AW102" i="264"/>
  <c r="AW100" i="264"/>
  <c r="AW98" i="264"/>
  <c r="AW96" i="264"/>
  <c r="AW94" i="264"/>
  <c r="AW91" i="264"/>
  <c r="AW105" i="264"/>
  <c r="AW103" i="264"/>
  <c r="AW101" i="264"/>
  <c r="AW99" i="264"/>
  <c r="AW97" i="264"/>
  <c r="AW80" i="264"/>
  <c r="AW76" i="264"/>
  <c r="AW72" i="264"/>
  <c r="AW69" i="264"/>
  <c r="AW65" i="264"/>
  <c r="AW61" i="264"/>
  <c r="AW57" i="264"/>
  <c r="AW40" i="264"/>
  <c r="AW39" i="264"/>
  <c r="AW95" i="264"/>
  <c r="AW79" i="264"/>
  <c r="AW75" i="264"/>
  <c r="AW71" i="264"/>
  <c r="AW68" i="264"/>
  <c r="AW64" i="264"/>
  <c r="AW60" i="264"/>
  <c r="AW93" i="264"/>
  <c r="AW82" i="264"/>
  <c r="AW78" i="264"/>
  <c r="AW74" i="264"/>
  <c r="AW67" i="264"/>
  <c r="AW63" i="264"/>
  <c r="AW59" i="264"/>
  <c r="BE109" i="264"/>
  <c r="BE89" i="264"/>
  <c r="BE88" i="264"/>
  <c r="BE87" i="264"/>
  <c r="BE86" i="264"/>
  <c r="BE85" i="264"/>
  <c r="BE84" i="264"/>
  <c r="BE83" i="264"/>
  <c r="BE92" i="264"/>
  <c r="BE55" i="264"/>
  <c r="BE54" i="264"/>
  <c r="BE53" i="264"/>
  <c r="BE52" i="264"/>
  <c r="BE51" i="264"/>
  <c r="BE50" i="264"/>
  <c r="BE49" i="264"/>
  <c r="BE48" i="264"/>
  <c r="BE47" i="264"/>
  <c r="BE46" i="264"/>
  <c r="BE45" i="264"/>
  <c r="BE105" i="264"/>
  <c r="BE103" i="264"/>
  <c r="BE101" i="264"/>
  <c r="BE99" i="264"/>
  <c r="BE97" i="264"/>
  <c r="BE95" i="264"/>
  <c r="BE93" i="264"/>
  <c r="BE91" i="264"/>
  <c r="BE106" i="264"/>
  <c r="BE104" i="264"/>
  <c r="BE102" i="264"/>
  <c r="BE100" i="264"/>
  <c r="BE98" i="264"/>
  <c r="BE96" i="264"/>
  <c r="BE80" i="264"/>
  <c r="BE76" i="264"/>
  <c r="BE72" i="264"/>
  <c r="BE69" i="264"/>
  <c r="BE63" i="264"/>
  <c r="BE59" i="264"/>
  <c r="BE40" i="264"/>
  <c r="BE39" i="264"/>
  <c r="BE94" i="264"/>
  <c r="BE90" i="264"/>
  <c r="BE79" i="264"/>
  <c r="BE75" i="264"/>
  <c r="BE71" i="264"/>
  <c r="BE68" i="264"/>
  <c r="BE62" i="264"/>
  <c r="BE58" i="264"/>
  <c r="BE82" i="264"/>
  <c r="BE78" i="264"/>
  <c r="BE74" i="264"/>
  <c r="BE67" i="264"/>
  <c r="BE65" i="264"/>
  <c r="BE61" i="264"/>
  <c r="BE57" i="264"/>
  <c r="AZ32" i="264"/>
  <c r="AZ33" i="264"/>
  <c r="AV34" i="264"/>
  <c r="BD34" i="264"/>
  <c r="AV35" i="264"/>
  <c r="BE35" i="264"/>
  <c r="BA36" i="264"/>
  <c r="BA37" i="264"/>
  <c r="AW38" i="264"/>
  <c r="BE38" i="264"/>
  <c r="AV40" i="264"/>
  <c r="AW44" i="264"/>
  <c r="BD46" i="264"/>
  <c r="BD50" i="264"/>
  <c r="BA71" i="264"/>
  <c r="AZ72" i="264"/>
  <c r="BD78" i="264"/>
  <c r="AW81" i="264"/>
  <c r="AU106" i="264"/>
  <c r="AU105" i="264"/>
  <c r="AU104" i="264"/>
  <c r="AU103" i="264"/>
  <c r="AU102" i="264"/>
  <c r="AU101" i="264"/>
  <c r="AU100" i="264"/>
  <c r="AU99" i="264"/>
  <c r="AU98" i="264"/>
  <c r="AU97" i="264"/>
  <c r="AU96" i="264"/>
  <c r="AU95" i="264"/>
  <c r="AU94" i="264"/>
  <c r="AU93" i="264"/>
  <c r="AU92" i="264"/>
  <c r="AU91" i="264"/>
  <c r="AU90" i="264"/>
  <c r="AU83" i="264"/>
  <c r="AU82" i="264"/>
  <c r="AU81" i="264"/>
  <c r="AU80" i="264"/>
  <c r="AU79" i="264"/>
  <c r="AU78" i="264"/>
  <c r="AU77" i="264"/>
  <c r="AU76" i="264"/>
  <c r="AU75" i="264"/>
  <c r="AU74" i="264"/>
  <c r="AU73" i="264"/>
  <c r="AU72" i="264"/>
  <c r="AU71" i="264"/>
  <c r="AU109" i="264"/>
  <c r="AU89" i="264"/>
  <c r="AU87" i="264"/>
  <c r="AU69" i="264"/>
  <c r="AU68" i="264"/>
  <c r="AU67" i="264"/>
  <c r="AU66" i="264"/>
  <c r="AU62" i="264"/>
  <c r="AU58" i="264"/>
  <c r="AU54" i="264"/>
  <c r="AU50" i="264"/>
  <c r="AU46" i="264"/>
  <c r="AU88" i="264"/>
  <c r="AU85" i="264"/>
  <c r="AU65" i="264"/>
  <c r="AU61" i="264"/>
  <c r="AU57" i="264"/>
  <c r="AU53" i="264"/>
  <c r="AU86" i="264"/>
  <c r="AU84" i="264"/>
  <c r="AU64" i="264"/>
  <c r="AU60" i="264"/>
  <c r="AU52" i="264"/>
  <c r="AU48" i="264"/>
  <c r="AY106" i="264"/>
  <c r="AY105" i="264"/>
  <c r="AY104" i="264"/>
  <c r="AY103" i="264"/>
  <c r="AY102" i="264"/>
  <c r="AY101" i="264"/>
  <c r="AY100" i="264"/>
  <c r="AY99" i="264"/>
  <c r="AY98" i="264"/>
  <c r="AY97" i="264"/>
  <c r="AY96" i="264"/>
  <c r="AY95" i="264"/>
  <c r="AY94" i="264"/>
  <c r="AY93" i="264"/>
  <c r="AY92" i="264"/>
  <c r="AY91" i="264"/>
  <c r="AY90" i="264"/>
  <c r="AY109" i="264"/>
  <c r="AY84" i="264"/>
  <c r="AY82" i="264"/>
  <c r="AY81" i="264"/>
  <c r="AY80" i="264"/>
  <c r="AY79" i="264"/>
  <c r="AY78" i="264"/>
  <c r="AY77" i="264"/>
  <c r="AY76" i="264"/>
  <c r="AY75" i="264"/>
  <c r="AY74" i="264"/>
  <c r="AY73" i="264"/>
  <c r="AY72" i="264"/>
  <c r="AY71" i="264"/>
  <c r="AY88" i="264"/>
  <c r="AY86" i="264"/>
  <c r="AY83" i="264"/>
  <c r="AY69" i="264"/>
  <c r="AY68" i="264"/>
  <c r="AY67" i="264"/>
  <c r="AY66" i="264"/>
  <c r="AY85" i="264"/>
  <c r="AY63" i="264"/>
  <c r="AY59" i="264"/>
  <c r="AY55" i="264"/>
  <c r="AY51" i="264"/>
  <c r="AY47" i="264"/>
  <c r="AY62" i="264"/>
  <c r="AY58" i="264"/>
  <c r="AY54" i="264"/>
  <c r="AY89" i="264"/>
  <c r="AY65" i="264"/>
  <c r="AY61" i="264"/>
  <c r="AY57" i="264"/>
  <c r="AY53" i="264"/>
  <c r="AY49" i="264"/>
  <c r="BC106" i="264"/>
  <c r="BC105" i="264"/>
  <c r="BC104" i="264"/>
  <c r="BC103" i="264"/>
  <c r="BC102" i="264"/>
  <c r="BC101" i="264"/>
  <c r="BC100" i="264"/>
  <c r="BC99" i="264"/>
  <c r="BC98" i="264"/>
  <c r="BC97" i="264"/>
  <c r="BC96" i="264"/>
  <c r="BC95" i="264"/>
  <c r="BC94" i="264"/>
  <c r="BC93" i="264"/>
  <c r="BC92" i="264"/>
  <c r="BC91" i="264"/>
  <c r="BC90" i="264"/>
  <c r="BC82" i="264"/>
  <c r="BC81" i="264"/>
  <c r="BC80" i="264"/>
  <c r="BC79" i="264"/>
  <c r="BC78" i="264"/>
  <c r="BC77" i="264"/>
  <c r="BC76" i="264"/>
  <c r="BC75" i="264"/>
  <c r="BC74" i="264"/>
  <c r="BC73" i="264"/>
  <c r="BC72" i="264"/>
  <c r="BC71" i="264"/>
  <c r="BC89" i="264"/>
  <c r="BC87" i="264"/>
  <c r="BC85" i="264"/>
  <c r="BC84" i="264"/>
  <c r="BC69" i="264"/>
  <c r="BC68" i="264"/>
  <c r="BC67" i="264"/>
  <c r="BC66" i="264"/>
  <c r="BC86" i="264"/>
  <c r="BC64" i="264"/>
  <c r="BC60" i="264"/>
  <c r="BC52" i="264"/>
  <c r="BC48" i="264"/>
  <c r="BC63" i="264"/>
  <c r="BC59" i="264"/>
  <c r="BC55" i="264"/>
  <c r="BC109" i="264"/>
  <c r="BC62" i="264"/>
  <c r="BC58" i="264"/>
  <c r="BC54" i="264"/>
  <c r="BC50" i="264"/>
  <c r="BC46" i="264"/>
  <c r="BH106" i="264"/>
  <c r="BH105" i="264"/>
  <c r="BH104" i="264"/>
  <c r="BH103" i="264"/>
  <c r="BH102" i="264"/>
  <c r="BH101" i="264"/>
  <c r="BH100" i="264"/>
  <c r="BH99" i="264"/>
  <c r="BH98" i="264"/>
  <c r="BH97" i="264"/>
  <c r="BH96" i="264"/>
  <c r="BH95" i="264"/>
  <c r="BH94" i="264"/>
  <c r="BH93" i="264"/>
  <c r="BH92" i="264"/>
  <c r="BH91" i="264"/>
  <c r="BH90" i="264"/>
  <c r="BH82" i="264"/>
  <c r="BH81" i="264"/>
  <c r="BH80" i="264"/>
  <c r="BH79" i="264"/>
  <c r="BH78" i="264"/>
  <c r="BH77" i="264"/>
  <c r="BH76" i="264"/>
  <c r="BH75" i="264"/>
  <c r="BH74" i="264"/>
  <c r="BH73" i="264"/>
  <c r="BH72" i="264"/>
  <c r="BH71" i="264"/>
  <c r="BH88" i="264"/>
  <c r="BH86" i="264"/>
  <c r="BH69" i="264"/>
  <c r="BH68" i="264"/>
  <c r="BH67" i="264"/>
  <c r="BH66" i="264"/>
  <c r="BH109" i="264"/>
  <c r="BH89" i="264"/>
  <c r="BH65" i="264"/>
  <c r="BH61" i="264"/>
  <c r="BH57" i="264"/>
  <c r="BH53" i="264"/>
  <c r="BH49" i="264"/>
  <c r="BH45" i="264"/>
  <c r="BH87" i="264"/>
  <c r="BH84" i="264"/>
  <c r="BH64" i="264"/>
  <c r="BH60" i="264"/>
  <c r="BH52" i="264"/>
  <c r="BH85" i="264"/>
  <c r="BH83" i="264"/>
  <c r="BH63" i="264"/>
  <c r="BH59" i="264"/>
  <c r="BH55" i="264"/>
  <c r="BH51" i="264"/>
  <c r="BH47" i="264"/>
  <c r="AV31" i="264"/>
  <c r="AZ31" i="264"/>
  <c r="BD31" i="264"/>
  <c r="AX32" i="264"/>
  <c r="BB32" i="264"/>
  <c r="BG32" i="264"/>
  <c r="AX33" i="264"/>
  <c r="BB33" i="264"/>
  <c r="BG33" i="264"/>
  <c r="AX34" i="264"/>
  <c r="BB34" i="264"/>
  <c r="BG34" i="264"/>
  <c r="AX35" i="264"/>
  <c r="BC35" i="264"/>
  <c r="BH35" i="264"/>
  <c r="AU36" i="264"/>
  <c r="AY36" i="264"/>
  <c r="BC36" i="264"/>
  <c r="BH36" i="264"/>
  <c r="AU37" i="264"/>
  <c r="AY37" i="264"/>
  <c r="BC37" i="264"/>
  <c r="BH37" i="264"/>
  <c r="AU38" i="264"/>
  <c r="AY38" i="264"/>
  <c r="BC38" i="264"/>
  <c r="BH38" i="264"/>
  <c r="AU39" i="264"/>
  <c r="AZ39" i="264"/>
  <c r="BG39" i="264"/>
  <c r="AY40" i="264"/>
  <c r="BD40" i="264"/>
  <c r="AW41" i="264"/>
  <c r="BB41" i="264"/>
  <c r="BH41" i="264"/>
  <c r="AU43" i="264"/>
  <c r="BA43" i="264"/>
  <c r="BG43" i="264"/>
  <c r="AY44" i="264"/>
  <c r="BE44" i="264"/>
  <c r="AY45" i="264"/>
  <c r="AY46" i="264"/>
  <c r="AX47" i="264"/>
  <c r="AY48" i="264"/>
  <c r="AX49" i="264"/>
  <c r="AY50" i="264"/>
  <c r="AX51" i="264"/>
  <c r="BD52" i="264"/>
  <c r="AX53" i="264"/>
  <c r="AZ55" i="264"/>
  <c r="BB58" i="264"/>
  <c r="BE60" i="264"/>
  <c r="AX61" i="264"/>
  <c r="BA63" i="264"/>
  <c r="BE66" i="264"/>
  <c r="BB67" i="264"/>
  <c r="BA68" i="264"/>
  <c r="AX69" i="264"/>
  <c r="BD74" i="264"/>
  <c r="BA75" i="264"/>
  <c r="AZ76" i="264"/>
  <c r="AW77" i="264"/>
  <c r="BD82" i="264"/>
  <c r="BC83" i="264"/>
  <c r="BB84" i="264"/>
  <c r="BB85" i="264"/>
  <c r="BG86" i="264"/>
  <c r="AY87" i="264"/>
  <c r="BC88" i="264"/>
  <c r="AW90" i="264"/>
  <c r="AU32" i="264"/>
  <c r="CH51" i="264"/>
  <c r="CM52" i="264"/>
  <c r="CO54" i="264"/>
  <c r="CO59" i="264"/>
  <c r="CM63" i="264"/>
  <c r="CL51" i="264"/>
  <c r="CP52" i="264"/>
  <c r="CK60" i="264"/>
  <c r="CQ64" i="264"/>
  <c r="CK72" i="264"/>
  <c r="CM96" i="264"/>
  <c r="CM51" i="264"/>
  <c r="CI53" i="264"/>
  <c r="CK57" i="264"/>
  <c r="CM61" i="264"/>
  <c r="CO66" i="264"/>
  <c r="CH74" i="264"/>
  <c r="CH52" i="264"/>
  <c r="CQ53" i="264"/>
  <c r="CK58" i="264"/>
  <c r="CI62" i="264"/>
  <c r="CO68" i="264"/>
  <c r="CI81" i="264"/>
  <c r="DE124" i="264"/>
  <c r="DE120" i="264"/>
  <c r="DE116" i="264"/>
  <c r="DE112" i="264"/>
  <c r="DE107" i="264"/>
  <c r="DE123" i="264"/>
  <c r="DE119" i="264"/>
  <c r="DE115" i="264"/>
  <c r="DE111" i="264"/>
  <c r="DE106" i="264"/>
  <c r="DE105" i="264"/>
  <c r="DE104" i="264"/>
  <c r="DE103" i="264"/>
  <c r="DE102" i="264"/>
  <c r="DE101" i="264"/>
  <c r="DE126" i="264"/>
  <c r="DE122" i="264"/>
  <c r="DE118" i="264"/>
  <c r="DE114" i="264"/>
  <c r="DE110" i="264"/>
  <c r="DE125" i="264"/>
  <c r="DE121" i="264"/>
  <c r="DE117" i="264"/>
  <c r="DE113" i="264"/>
  <c r="DE109" i="264"/>
  <c r="DE108" i="264"/>
  <c r="DE100" i="264"/>
  <c r="DE99" i="264"/>
  <c r="DE98" i="264"/>
  <c r="DE97" i="264"/>
  <c r="DE96" i="264"/>
  <c r="DE95" i="264"/>
  <c r="DE94" i="264"/>
  <c r="DE93" i="264"/>
  <c r="DE92" i="264"/>
  <c r="DE91" i="264"/>
  <c r="DE90" i="264"/>
  <c r="CJ39" i="264"/>
  <c r="CJ106" i="264"/>
  <c r="CJ105" i="264"/>
  <c r="CJ104" i="264"/>
  <c r="CJ103" i="264"/>
  <c r="CJ102" i="264"/>
  <c r="CJ101" i="264"/>
  <c r="CJ109" i="264"/>
  <c r="CJ85" i="264"/>
  <c r="CJ77" i="264"/>
  <c r="CJ96" i="264"/>
  <c r="CJ95" i="264"/>
  <c r="CJ94" i="264"/>
  <c r="CJ93" i="264"/>
  <c r="CJ92" i="264"/>
  <c r="CJ91" i="264"/>
  <c r="CJ90" i="264"/>
  <c r="CJ88" i="264"/>
  <c r="CJ87" i="264"/>
  <c r="CJ86" i="264"/>
  <c r="CJ80" i="264"/>
  <c r="CJ79" i="264"/>
  <c r="CJ78" i="264"/>
  <c r="CJ89" i="264"/>
  <c r="CJ81" i="264"/>
  <c r="CJ99" i="264"/>
  <c r="CJ82" i="264"/>
  <c r="CJ72" i="264"/>
  <c r="CJ71" i="264"/>
  <c r="CJ68" i="264"/>
  <c r="CJ67" i="264"/>
  <c r="CJ66" i="264"/>
  <c r="CJ60" i="264"/>
  <c r="CJ59" i="264"/>
  <c r="CJ58" i="264"/>
  <c r="CJ98" i="264"/>
  <c r="CJ83" i="264"/>
  <c r="CJ75" i="264"/>
  <c r="CJ73" i="264"/>
  <c r="CJ69" i="264"/>
  <c r="CJ61" i="264"/>
  <c r="CJ52" i="264"/>
  <c r="CJ97" i="264"/>
  <c r="CJ84" i="264"/>
  <c r="CJ74" i="264"/>
  <c r="CJ64" i="264"/>
  <c r="CJ63" i="264"/>
  <c r="CJ62" i="264"/>
  <c r="CJ53" i="264"/>
  <c r="CJ54" i="264"/>
  <c r="CO55" i="264"/>
  <c r="CN57" i="264"/>
  <c r="CL58" i="264"/>
  <c r="CH59" i="264"/>
  <c r="CP59" i="264"/>
  <c r="CL60" i="264"/>
  <c r="CH61" i="264"/>
  <c r="CP61" i="264"/>
  <c r="CM62" i="264"/>
  <c r="CQ63" i="264"/>
  <c r="CJ65" i="264"/>
  <c r="CK67" i="264"/>
  <c r="CH69" i="264"/>
  <c r="CO72" i="264"/>
  <c r="CN74" i="264"/>
  <c r="CH78" i="264"/>
  <c r="CP91" i="264"/>
  <c r="CH93" i="264"/>
  <c r="CJ100" i="264"/>
  <c r="CN38" i="264"/>
  <c r="CN106" i="264"/>
  <c r="CN105" i="264"/>
  <c r="CN104" i="264"/>
  <c r="CN103" i="264"/>
  <c r="CN102" i="264"/>
  <c r="CN101" i="264"/>
  <c r="CN109" i="264"/>
  <c r="CN85" i="264"/>
  <c r="CN77" i="264"/>
  <c r="CN100" i="264"/>
  <c r="CN99" i="264"/>
  <c r="CN98" i="264"/>
  <c r="CN97" i="264"/>
  <c r="CN95" i="264"/>
  <c r="CN94" i="264"/>
  <c r="CN93" i="264"/>
  <c r="CN92" i="264"/>
  <c r="CN91" i="264"/>
  <c r="CN90" i="264"/>
  <c r="CN88" i="264"/>
  <c r="CN87" i="264"/>
  <c r="CN86" i="264"/>
  <c r="CN80" i="264"/>
  <c r="CN79" i="264"/>
  <c r="CN78" i="264"/>
  <c r="CN96" i="264"/>
  <c r="CN89" i="264"/>
  <c r="CN81" i="264"/>
  <c r="CN83" i="264"/>
  <c r="CN72" i="264"/>
  <c r="CN71" i="264"/>
  <c r="CN68" i="264"/>
  <c r="CN67" i="264"/>
  <c r="CN66" i="264"/>
  <c r="CN60" i="264"/>
  <c r="CN59" i="264"/>
  <c r="CN58" i="264"/>
  <c r="CN84" i="264"/>
  <c r="CN69" i="264"/>
  <c r="CN61" i="264"/>
  <c r="CN52" i="264"/>
  <c r="CN51" i="264"/>
  <c r="CN76" i="264"/>
  <c r="CN73" i="264"/>
  <c r="CN64" i="264"/>
  <c r="CN63" i="264"/>
  <c r="CN62" i="264"/>
  <c r="CJ76" i="264"/>
  <c r="BD2" i="264"/>
  <c r="CI51" i="264"/>
  <c r="CP51" i="264"/>
  <c r="CI52" i="264"/>
  <c r="CQ52" i="264"/>
  <c r="CK54" i="264"/>
  <c r="CJ55" i="264"/>
  <c r="CO57" i="264"/>
  <c r="CO58" i="264"/>
  <c r="CK59" i="264"/>
  <c r="CO60" i="264"/>
  <c r="CI61" i="264"/>
  <c r="CQ61" i="264"/>
  <c r="CN65" i="264"/>
  <c r="CH73" i="264"/>
  <c r="CN75" i="264"/>
  <c r="CN55" i="264"/>
  <c r="CK106" i="264"/>
  <c r="CK105" i="264"/>
  <c r="CK104" i="264"/>
  <c r="CK103" i="264"/>
  <c r="CK102" i="264"/>
  <c r="CK101" i="264"/>
  <c r="CK100" i="264"/>
  <c r="CK99" i="264"/>
  <c r="CK98" i="264"/>
  <c r="CK97" i="264"/>
  <c r="CK96" i="264"/>
  <c r="CK109" i="264"/>
  <c r="CK95" i="264"/>
  <c r="CK94" i="264"/>
  <c r="CK93" i="264"/>
  <c r="CK92" i="264"/>
  <c r="CK91" i="264"/>
  <c r="CK90" i="264"/>
  <c r="CK88" i="264"/>
  <c r="CK87" i="264"/>
  <c r="CK86" i="264"/>
  <c r="CK80" i="264"/>
  <c r="CK79" i="264"/>
  <c r="CK78" i="264"/>
  <c r="CK89" i="264"/>
  <c r="CK81" i="264"/>
  <c r="CK84" i="264"/>
  <c r="CK83" i="264"/>
  <c r="CK82" i="264"/>
  <c r="CK76" i="264"/>
  <c r="CK75" i="264"/>
  <c r="CK85" i="264"/>
  <c r="CK73" i="264"/>
  <c r="CK69" i="264"/>
  <c r="CK61" i="264"/>
  <c r="CK52" i="264"/>
  <c r="CK51" i="264"/>
  <c r="CK77" i="264"/>
  <c r="CK74" i="264"/>
  <c r="CK64" i="264"/>
  <c r="CK63" i="264"/>
  <c r="CK62" i="264"/>
  <c r="CK53" i="264"/>
  <c r="CK65" i="264"/>
  <c r="CO106" i="264"/>
  <c r="CO105" i="264"/>
  <c r="CO104" i="264"/>
  <c r="CO103" i="264"/>
  <c r="CO102" i="264"/>
  <c r="CO101" i="264"/>
  <c r="CO100" i="264"/>
  <c r="CO99" i="264"/>
  <c r="CO98" i="264"/>
  <c r="CO97" i="264"/>
  <c r="CO96" i="264"/>
  <c r="CO109" i="264"/>
  <c r="CO95" i="264"/>
  <c r="CO94" i="264"/>
  <c r="CO93" i="264"/>
  <c r="CO92" i="264"/>
  <c r="CO91" i="264"/>
  <c r="CO90" i="264"/>
  <c r="CO88" i="264"/>
  <c r="CO87" i="264"/>
  <c r="CO86" i="264"/>
  <c r="CO80" i="264"/>
  <c r="CO79" i="264"/>
  <c r="CO78" i="264"/>
  <c r="CO89" i="264"/>
  <c r="CO81" i="264"/>
  <c r="CO84" i="264"/>
  <c r="CO83" i="264"/>
  <c r="CO82" i="264"/>
  <c r="CO76" i="264"/>
  <c r="CO75" i="264"/>
  <c r="CO77" i="264"/>
  <c r="CO69" i="264"/>
  <c r="CO61" i="264"/>
  <c r="CO52" i="264"/>
  <c r="CO51" i="264"/>
  <c r="CO73" i="264"/>
  <c r="CO64" i="264"/>
  <c r="CO63" i="264"/>
  <c r="CO62" i="264"/>
  <c r="CO53" i="264"/>
  <c r="CO74" i="264"/>
  <c r="CO65" i="264"/>
  <c r="CY126" i="264"/>
  <c r="DC126" i="264" s="1"/>
  <c r="CY122" i="264"/>
  <c r="DC122" i="264" s="1"/>
  <c r="CY118" i="264"/>
  <c r="DC118" i="264" s="1"/>
  <c r="CY114" i="264"/>
  <c r="DC114" i="264" s="1"/>
  <c r="CY110" i="264"/>
  <c r="DC110" i="264" s="1"/>
  <c r="CY125" i="264"/>
  <c r="DC125" i="264" s="1"/>
  <c r="CY121" i="264"/>
  <c r="DC121" i="264" s="1"/>
  <c r="CY117" i="264"/>
  <c r="DC117" i="264" s="1"/>
  <c r="CY113" i="264"/>
  <c r="DC113" i="264" s="1"/>
  <c r="CY109" i="264"/>
  <c r="DC109" i="264" s="1"/>
  <c r="CY108" i="264"/>
  <c r="DC108" i="264" s="1"/>
  <c r="CY124" i="264"/>
  <c r="DC124" i="264" s="1"/>
  <c r="CY120" i="264"/>
  <c r="DC120" i="264" s="1"/>
  <c r="CY116" i="264"/>
  <c r="DC116" i="264" s="1"/>
  <c r="CY112" i="264"/>
  <c r="DC112" i="264" s="1"/>
  <c r="CY107" i="264"/>
  <c r="DC107" i="264" s="1"/>
  <c r="CY123" i="264"/>
  <c r="DC123" i="264" s="1"/>
  <c r="CY119" i="264"/>
  <c r="DC119" i="264" s="1"/>
  <c r="CY115" i="264"/>
  <c r="DC115" i="264" s="1"/>
  <c r="CY111" i="264"/>
  <c r="DC111" i="264" s="1"/>
  <c r="CY106" i="264"/>
  <c r="DC106" i="264" s="1"/>
  <c r="CY105" i="264"/>
  <c r="DC105" i="264" s="1"/>
  <c r="CY104" i="264"/>
  <c r="DC104" i="264" s="1"/>
  <c r="CY103" i="264"/>
  <c r="DC103" i="264" s="1"/>
  <c r="CY102" i="264"/>
  <c r="DC102" i="264" s="1"/>
  <c r="CY101" i="264"/>
  <c r="DC101" i="264" s="1"/>
  <c r="CY100" i="264"/>
  <c r="DC100" i="264" s="1"/>
  <c r="CY99" i="264"/>
  <c r="DC99" i="264" s="1"/>
  <c r="CY98" i="264"/>
  <c r="DC98" i="264" s="1"/>
  <c r="CY97" i="264"/>
  <c r="DC97" i="264" s="1"/>
  <c r="CY96" i="264"/>
  <c r="DC96" i="264" s="1"/>
  <c r="CY95" i="264"/>
  <c r="DC95" i="264" s="1"/>
  <c r="CY91" i="264"/>
  <c r="DC91" i="264" s="1"/>
  <c r="CY94" i="264"/>
  <c r="CY90" i="264"/>
  <c r="DC90" i="264" s="1"/>
  <c r="CY93" i="264"/>
  <c r="DC93" i="264" s="1"/>
  <c r="CH31" i="264"/>
  <c r="CH109" i="264"/>
  <c r="CH106" i="264"/>
  <c r="CH105" i="264"/>
  <c r="CH104" i="264"/>
  <c r="CH103" i="264"/>
  <c r="CH102" i="264"/>
  <c r="CH101" i="264"/>
  <c r="CH100" i="264"/>
  <c r="CH99" i="264"/>
  <c r="CH98" i="264"/>
  <c r="CH97" i="264"/>
  <c r="CH89" i="264"/>
  <c r="CH81" i="264"/>
  <c r="CH84" i="264"/>
  <c r="CH83" i="264"/>
  <c r="CH82" i="264"/>
  <c r="CH76" i="264"/>
  <c r="CH85" i="264"/>
  <c r="CH77" i="264"/>
  <c r="CH96" i="264"/>
  <c r="CH92" i="264"/>
  <c r="CH64" i="264"/>
  <c r="CH63" i="264"/>
  <c r="CH62" i="264"/>
  <c r="CH53" i="264"/>
  <c r="CH95" i="264"/>
  <c r="CH91" i="264"/>
  <c r="CH65" i="264"/>
  <c r="CH57" i="264"/>
  <c r="CH55" i="264"/>
  <c r="CH54" i="264"/>
  <c r="CH94" i="264"/>
  <c r="CH90" i="264"/>
  <c r="CH88" i="264"/>
  <c r="CH87" i="264"/>
  <c r="CH86" i="264"/>
  <c r="CH75" i="264"/>
  <c r="CH72" i="264"/>
  <c r="CH71" i="264"/>
  <c r="CH68" i="264"/>
  <c r="CH67" i="264"/>
  <c r="CH66" i="264"/>
  <c r="CL31" i="264"/>
  <c r="CL109" i="264"/>
  <c r="CL106" i="264"/>
  <c r="CL105" i="264"/>
  <c r="CL104" i="264"/>
  <c r="CL103" i="264"/>
  <c r="CL102" i="264"/>
  <c r="CL101" i="264"/>
  <c r="CL100" i="264"/>
  <c r="CL99" i="264"/>
  <c r="CL98" i="264"/>
  <c r="CL97" i="264"/>
  <c r="CL96" i="264"/>
  <c r="CL89" i="264"/>
  <c r="CL81" i="264"/>
  <c r="CL73" i="264"/>
  <c r="CL84" i="264"/>
  <c r="CL83" i="264"/>
  <c r="CL82" i="264"/>
  <c r="CL76" i="264"/>
  <c r="CL85" i="264"/>
  <c r="CL77" i="264"/>
  <c r="CL95" i="264"/>
  <c r="CL91" i="264"/>
  <c r="CL75" i="264"/>
  <c r="CL74" i="264"/>
  <c r="CL64" i="264"/>
  <c r="CL63" i="264"/>
  <c r="CL62" i="264"/>
  <c r="CL53" i="264"/>
  <c r="CL94" i="264"/>
  <c r="CL90" i="264"/>
  <c r="CL88" i="264"/>
  <c r="CL87" i="264"/>
  <c r="CL86" i="264"/>
  <c r="CL65" i="264"/>
  <c r="CL57" i="264"/>
  <c r="CL55" i="264"/>
  <c r="CL54" i="264"/>
  <c r="CL93" i="264"/>
  <c r="CL80" i="264"/>
  <c r="CL79" i="264"/>
  <c r="CL78" i="264"/>
  <c r="CL72" i="264"/>
  <c r="CL71" i="264"/>
  <c r="CL68" i="264"/>
  <c r="CL67" i="264"/>
  <c r="CL66" i="264"/>
  <c r="CP38" i="264"/>
  <c r="CP109" i="264"/>
  <c r="CP106" i="264"/>
  <c r="CP105" i="264"/>
  <c r="CP104" i="264"/>
  <c r="CP103" i="264"/>
  <c r="CP102" i="264"/>
  <c r="CP101" i="264"/>
  <c r="CP100" i="264"/>
  <c r="CP99" i="264"/>
  <c r="CP98" i="264"/>
  <c r="CP97" i="264"/>
  <c r="CP89" i="264"/>
  <c r="CP81" i="264"/>
  <c r="CP73" i="264"/>
  <c r="CP96" i="264"/>
  <c r="CP84" i="264"/>
  <c r="CP83" i="264"/>
  <c r="CP82" i="264"/>
  <c r="CP76" i="264"/>
  <c r="CP85" i="264"/>
  <c r="CP77" i="264"/>
  <c r="CP94" i="264"/>
  <c r="CP90" i="264"/>
  <c r="CP88" i="264"/>
  <c r="CP87" i="264"/>
  <c r="CP86" i="264"/>
  <c r="CP64" i="264"/>
  <c r="CP63" i="264"/>
  <c r="CP62" i="264"/>
  <c r="CP53" i="264"/>
  <c r="CP93" i="264"/>
  <c r="CP80" i="264"/>
  <c r="CP79" i="264"/>
  <c r="CP78" i="264"/>
  <c r="CP74" i="264"/>
  <c r="CP65" i="264"/>
  <c r="CP57" i="264"/>
  <c r="CP55" i="264"/>
  <c r="CP54" i="264"/>
  <c r="CP92" i="264"/>
  <c r="CP75" i="264"/>
  <c r="CP72" i="264"/>
  <c r="CP71" i="264"/>
  <c r="CP68" i="264"/>
  <c r="CP67" i="264"/>
  <c r="CP66" i="264"/>
  <c r="CJ31" i="264"/>
  <c r="DD39" i="264"/>
  <c r="DD125" i="264"/>
  <c r="DD121" i="264"/>
  <c r="DD117" i="264"/>
  <c r="DD113" i="264"/>
  <c r="DD109" i="264"/>
  <c r="DD108" i="264"/>
  <c r="DD124" i="264"/>
  <c r="DD120" i="264"/>
  <c r="DD116" i="264"/>
  <c r="DD112" i="264"/>
  <c r="DD107" i="264"/>
  <c r="DD123" i="264"/>
  <c r="DD119" i="264"/>
  <c r="DD115" i="264"/>
  <c r="DD111" i="264"/>
  <c r="DD106" i="264"/>
  <c r="DD105" i="264"/>
  <c r="DD104" i="264"/>
  <c r="DD103" i="264"/>
  <c r="DD102" i="264"/>
  <c r="DD126" i="264"/>
  <c r="DD122" i="264"/>
  <c r="DD118" i="264"/>
  <c r="DD114" i="264"/>
  <c r="DD110" i="264"/>
  <c r="DD100" i="264"/>
  <c r="DD99" i="264"/>
  <c r="DD98" i="264"/>
  <c r="DD97" i="264"/>
  <c r="DD96" i="264"/>
  <c r="DD95" i="264"/>
  <c r="DD94" i="264"/>
  <c r="DD93" i="264"/>
  <c r="DD92" i="264"/>
  <c r="DD91" i="264"/>
  <c r="DD90" i="264"/>
  <c r="CI31" i="264"/>
  <c r="CI109" i="264"/>
  <c r="CI106" i="264"/>
  <c r="CI105" i="264"/>
  <c r="CI104" i="264"/>
  <c r="CI103" i="264"/>
  <c r="CI102" i="264"/>
  <c r="CI101" i="264"/>
  <c r="CI100" i="264"/>
  <c r="CI99" i="264"/>
  <c r="CI98" i="264"/>
  <c r="CI97" i="264"/>
  <c r="CI84" i="264"/>
  <c r="CI83" i="264"/>
  <c r="CI82" i="264"/>
  <c r="CI76" i="264"/>
  <c r="CI75" i="264"/>
  <c r="CI74" i="264"/>
  <c r="CI85" i="264"/>
  <c r="CI77" i="264"/>
  <c r="CI96" i="264"/>
  <c r="CI95" i="264"/>
  <c r="CI94" i="264"/>
  <c r="CI93" i="264"/>
  <c r="CI92" i="264"/>
  <c r="CI91" i="264"/>
  <c r="CI90" i="264"/>
  <c r="CI88" i="264"/>
  <c r="CI87" i="264"/>
  <c r="CI86" i="264"/>
  <c r="CI80" i="264"/>
  <c r="CI79" i="264"/>
  <c r="CI78" i="264"/>
  <c r="CI65" i="264"/>
  <c r="CI57" i="264"/>
  <c r="CI55" i="264"/>
  <c r="CI54" i="264"/>
  <c r="CI72" i="264"/>
  <c r="CI71" i="264"/>
  <c r="CI68" i="264"/>
  <c r="CI67" i="264"/>
  <c r="CI66" i="264"/>
  <c r="CI60" i="264"/>
  <c r="CI59" i="264"/>
  <c r="CI58" i="264"/>
  <c r="CI89" i="264"/>
  <c r="CI73" i="264"/>
  <c r="CI69" i="264"/>
  <c r="CM41" i="264"/>
  <c r="CM109" i="264"/>
  <c r="CM106" i="264"/>
  <c r="CM105" i="264"/>
  <c r="CM104" i="264"/>
  <c r="CM103" i="264"/>
  <c r="CM102" i="264"/>
  <c r="CM84" i="264"/>
  <c r="CM83" i="264"/>
  <c r="CM82" i="264"/>
  <c r="CM76" i="264"/>
  <c r="CM75" i="264"/>
  <c r="CM74" i="264"/>
  <c r="CM85" i="264"/>
  <c r="CM77" i="264"/>
  <c r="CM100" i="264"/>
  <c r="CM99" i="264"/>
  <c r="CM98" i="264"/>
  <c r="CM97" i="264"/>
  <c r="CM95" i="264"/>
  <c r="CM94" i="264"/>
  <c r="CM93" i="264"/>
  <c r="CM92" i="264"/>
  <c r="CM91" i="264"/>
  <c r="CM90" i="264"/>
  <c r="CM88" i="264"/>
  <c r="CM87" i="264"/>
  <c r="CM86" i="264"/>
  <c r="CM80" i="264"/>
  <c r="CM79" i="264"/>
  <c r="CM78" i="264"/>
  <c r="CM65" i="264"/>
  <c r="CM57" i="264"/>
  <c r="CM55" i="264"/>
  <c r="CM54" i="264"/>
  <c r="CM89" i="264"/>
  <c r="CM72" i="264"/>
  <c r="CM71" i="264"/>
  <c r="CM68" i="264"/>
  <c r="CM67" i="264"/>
  <c r="CM66" i="264"/>
  <c r="CM60" i="264"/>
  <c r="CM59" i="264"/>
  <c r="CM58" i="264"/>
  <c r="CM101" i="264"/>
  <c r="CM81" i="264"/>
  <c r="CM69" i="264"/>
  <c r="CQ31" i="264"/>
  <c r="CQ109" i="264"/>
  <c r="CQ106" i="264"/>
  <c r="CQ105" i="264"/>
  <c r="CQ104" i="264"/>
  <c r="CQ103" i="264"/>
  <c r="CQ102" i="264"/>
  <c r="CQ100" i="264"/>
  <c r="CQ99" i="264"/>
  <c r="CQ98" i="264"/>
  <c r="CQ97" i="264"/>
  <c r="CQ96" i="264"/>
  <c r="CQ84" i="264"/>
  <c r="CQ83" i="264"/>
  <c r="CQ82" i="264"/>
  <c r="CQ76" i="264"/>
  <c r="CQ75" i="264"/>
  <c r="CQ74" i="264"/>
  <c r="CQ85" i="264"/>
  <c r="CQ77" i="264"/>
  <c r="CQ101" i="264"/>
  <c r="CQ95" i="264"/>
  <c r="CQ94" i="264"/>
  <c r="CQ93" i="264"/>
  <c r="CQ92" i="264"/>
  <c r="CQ91" i="264"/>
  <c r="CQ90" i="264"/>
  <c r="CQ88" i="264"/>
  <c r="CQ87" i="264"/>
  <c r="CQ86" i="264"/>
  <c r="CQ80" i="264"/>
  <c r="CQ79" i="264"/>
  <c r="CQ78" i="264"/>
  <c r="CQ89" i="264"/>
  <c r="CQ73" i="264"/>
  <c r="CQ65" i="264"/>
  <c r="CQ57" i="264"/>
  <c r="CQ55" i="264"/>
  <c r="CQ54" i="264"/>
  <c r="CQ81" i="264"/>
  <c r="CQ72" i="264"/>
  <c r="CQ71" i="264"/>
  <c r="CQ68" i="264"/>
  <c r="CQ67" i="264"/>
  <c r="CQ66" i="264"/>
  <c r="CQ60" i="264"/>
  <c r="CQ59" i="264"/>
  <c r="CQ58" i="264"/>
  <c r="CQ69" i="264"/>
  <c r="CN31" i="264"/>
  <c r="CJ51" i="264"/>
  <c r="CQ51" i="264"/>
  <c r="CL52" i="264"/>
  <c r="CN53" i="264"/>
  <c r="CN54" i="264"/>
  <c r="CK55" i="264"/>
  <c r="CJ57" i="264"/>
  <c r="CH58" i="264"/>
  <c r="CP58" i="264"/>
  <c r="CL59" i="264"/>
  <c r="CH60" i="264"/>
  <c r="CP60" i="264"/>
  <c r="CL61" i="264"/>
  <c r="CI63" i="264"/>
  <c r="CM64" i="264"/>
  <c r="CK66" i="264"/>
  <c r="CK68" i="264"/>
  <c r="CP69" i="264"/>
  <c r="CO71" i="264"/>
  <c r="CM73" i="264"/>
  <c r="CH80" i="264"/>
  <c r="CO85" i="264"/>
  <c r="CL92" i="264"/>
  <c r="DC94" i="264"/>
  <c r="G8" i="264"/>
  <c r="CY89" i="264"/>
  <c r="DC89" i="264" s="1"/>
  <c r="CY88" i="264"/>
  <c r="DC88" i="264" s="1"/>
  <c r="CY87" i="264"/>
  <c r="DC87" i="264" s="1"/>
  <c r="CY86" i="264"/>
  <c r="DC86" i="264" s="1"/>
  <c r="CY85" i="264"/>
  <c r="DC85" i="264" s="1"/>
  <c r="CY84" i="264"/>
  <c r="DC84" i="264" s="1"/>
  <c r="CY83" i="264"/>
  <c r="DC83" i="264" s="1"/>
  <c r="CY82" i="264"/>
  <c r="DC82" i="264" s="1"/>
  <c r="CY81" i="264"/>
  <c r="DC81" i="264" s="1"/>
  <c r="CY80" i="264"/>
  <c r="DC80" i="264" s="1"/>
  <c r="CY79" i="264"/>
  <c r="DC79" i="264" s="1"/>
  <c r="CY78" i="264"/>
  <c r="DC78" i="264" s="1"/>
  <c r="CY77" i="264"/>
  <c r="DC77" i="264" s="1"/>
  <c r="CY76" i="264"/>
  <c r="DC76" i="264" s="1"/>
  <c r="CY75" i="264"/>
  <c r="DC75" i="264" s="1"/>
  <c r="CY74" i="264"/>
  <c r="DC74" i="264" s="1"/>
  <c r="CY73" i="264"/>
  <c r="DC73" i="264" s="1"/>
  <c r="CY72" i="264"/>
  <c r="DC72" i="264" s="1"/>
  <c r="CY71" i="264"/>
  <c r="DC71" i="264" s="1"/>
  <c r="CY70" i="264"/>
  <c r="DC70" i="264" s="1"/>
  <c r="CY69" i="264"/>
  <c r="DC69" i="264" s="1"/>
  <c r="CY68" i="264"/>
  <c r="DC68" i="264" s="1"/>
  <c r="CY67" i="264"/>
  <c r="DC67" i="264" s="1"/>
  <c r="CY66" i="264"/>
  <c r="DC66" i="264" s="1"/>
  <c r="CY65" i="264"/>
  <c r="DC65" i="264" s="1"/>
  <c r="CY64" i="264"/>
  <c r="DC64" i="264" s="1"/>
  <c r="CY63" i="264"/>
  <c r="DC63" i="264" s="1"/>
  <c r="CY62" i="264"/>
  <c r="DC62" i="264" s="1"/>
  <c r="CY61" i="264"/>
  <c r="DC61" i="264" s="1"/>
  <c r="CY60" i="264"/>
  <c r="DC60" i="264" s="1"/>
  <c r="CY59" i="264"/>
  <c r="DC59" i="264" s="1"/>
  <c r="CY58" i="264"/>
  <c r="DC58" i="264" s="1"/>
  <c r="CY57" i="264"/>
  <c r="DC57" i="264" s="1"/>
  <c r="CY56" i="264"/>
  <c r="DC56" i="264" s="1"/>
  <c r="CY55" i="264"/>
  <c r="DC55" i="264" s="1"/>
  <c r="CY54" i="264"/>
  <c r="DC54" i="264" s="1"/>
  <c r="CY53" i="264"/>
  <c r="DC53" i="264" s="1"/>
  <c r="CY51" i="264"/>
  <c r="DC51" i="264" s="1"/>
  <c r="CY52" i="264"/>
  <c r="DC52" i="264" s="1"/>
  <c r="CY50" i="264"/>
  <c r="DC50" i="264" s="1"/>
  <c r="CY49" i="264"/>
  <c r="DC49" i="264" s="1"/>
  <c r="CY48" i="264"/>
  <c r="DC48" i="264" s="1"/>
  <c r="CY47" i="264"/>
  <c r="DC47" i="264" s="1"/>
  <c r="CY46" i="264"/>
  <c r="DC46" i="264" s="1"/>
  <c r="CY45" i="264"/>
  <c r="DC45" i="264" s="1"/>
  <c r="CY44" i="264"/>
  <c r="DC44" i="264" s="1"/>
  <c r="CY43" i="264"/>
  <c r="DC43" i="264" s="1"/>
  <c r="CY42" i="264"/>
  <c r="DC42" i="264" s="1"/>
  <c r="CY41" i="264"/>
  <c r="DC41" i="264" s="1"/>
  <c r="CY40" i="264"/>
  <c r="DC40" i="264" s="1"/>
  <c r="CY39" i="264"/>
  <c r="DC39" i="264" s="1"/>
  <c r="DE89" i="264"/>
  <c r="DE88" i="264"/>
  <c r="DE87" i="264"/>
  <c r="DE86" i="264"/>
  <c r="DE85" i="264"/>
  <c r="DE84" i="264"/>
  <c r="DE83" i="264"/>
  <c r="DE82" i="264"/>
  <c r="DE81" i="264"/>
  <c r="DE80" i="264"/>
  <c r="DE79" i="264"/>
  <c r="DE78" i="264"/>
  <c r="DE77" i="264"/>
  <c r="DE76" i="264"/>
  <c r="DE75" i="264"/>
  <c r="DE74" i="264"/>
  <c r="DE73" i="264"/>
  <c r="DE72" i="264"/>
  <c r="DE71" i="264"/>
  <c r="DE70" i="264"/>
  <c r="DE69" i="264"/>
  <c r="DE68" i="264"/>
  <c r="DE67" i="264"/>
  <c r="DE66" i="264"/>
  <c r="DE65" i="264"/>
  <c r="DE64" i="264"/>
  <c r="DE63" i="264"/>
  <c r="DE62" i="264"/>
  <c r="DE61" i="264"/>
  <c r="DE60" i="264"/>
  <c r="DE59" i="264"/>
  <c r="DE58" i="264"/>
  <c r="DE57" i="264"/>
  <c r="DE56" i="264"/>
  <c r="DE55" i="264"/>
  <c r="DE54" i="264"/>
  <c r="DE53" i="264"/>
  <c r="DE52" i="264"/>
  <c r="DE51" i="264"/>
  <c r="DE50" i="264"/>
  <c r="DE49" i="264"/>
  <c r="DE40" i="264"/>
  <c r="DE39" i="264"/>
  <c r="DE48" i="264"/>
  <c r="DE47" i="264"/>
  <c r="DE46" i="264"/>
  <c r="DE45" i="264"/>
  <c r="DE44" i="264"/>
  <c r="DE43" i="264"/>
  <c r="DE42" i="264"/>
  <c r="DE41" i="264"/>
  <c r="CK50" i="264"/>
  <c r="CK40" i="264"/>
  <c r="CK39" i="264"/>
  <c r="CK49" i="264"/>
  <c r="CK48" i="264"/>
  <c r="CK47" i="264"/>
  <c r="CK46" i="264"/>
  <c r="CK45" i="264"/>
  <c r="CK44" i="264"/>
  <c r="CK43" i="264"/>
  <c r="CK42" i="264"/>
  <c r="CK41" i="264"/>
  <c r="CO50" i="264"/>
  <c r="CO40" i="264"/>
  <c r="CO39" i="264"/>
  <c r="CO49" i="264"/>
  <c r="CO48" i="264"/>
  <c r="CO47" i="264"/>
  <c r="CO46" i="264"/>
  <c r="CO45" i="264"/>
  <c r="CO44" i="264"/>
  <c r="CO43" i="264"/>
  <c r="CO42" i="264"/>
  <c r="CO41" i="264"/>
  <c r="CP31" i="264"/>
  <c r="CY31" i="264"/>
  <c r="DC31" i="264" s="1"/>
  <c r="DL31" i="264" s="1"/>
  <c r="CK32" i="264"/>
  <c r="CO32" i="264"/>
  <c r="DE32" i="264"/>
  <c r="CK33" i="264"/>
  <c r="CO33" i="264"/>
  <c r="DE33" i="264"/>
  <c r="CK34" i="264"/>
  <c r="CO34" i="264"/>
  <c r="DE34" i="264"/>
  <c r="CK35" i="264"/>
  <c r="CO35" i="264"/>
  <c r="DE35" i="264"/>
  <c r="CK36" i="264"/>
  <c r="CO36" i="264"/>
  <c r="DE36" i="264"/>
  <c r="CK37" i="264"/>
  <c r="CO37" i="264"/>
  <c r="DE37" i="264"/>
  <c r="CK38" i="264"/>
  <c r="DD38" i="264"/>
  <c r="CN40" i="264"/>
  <c r="CI41" i="264"/>
  <c r="DE5" i="264"/>
  <c r="CH50" i="264"/>
  <c r="CH49" i="264"/>
  <c r="CH48" i="264"/>
  <c r="CH47" i="264"/>
  <c r="CH46" i="264"/>
  <c r="CH45" i="264"/>
  <c r="CH44" i="264"/>
  <c r="CH43" i="264"/>
  <c r="CH42" i="264"/>
  <c r="CH41" i="264"/>
  <c r="CH40" i="264"/>
  <c r="CL50" i="264"/>
  <c r="CL49" i="264"/>
  <c r="CL48" i="264"/>
  <c r="CL47" i="264"/>
  <c r="CL46" i="264"/>
  <c r="CL45" i="264"/>
  <c r="CL44" i="264"/>
  <c r="CL43" i="264"/>
  <c r="CL42" i="264"/>
  <c r="CL41" i="264"/>
  <c r="CL40" i="264"/>
  <c r="CL39" i="264"/>
  <c r="CP50" i="264"/>
  <c r="CP49" i="264"/>
  <c r="CP48" i="264"/>
  <c r="CP47" i="264"/>
  <c r="CP46" i="264"/>
  <c r="CP45" i="264"/>
  <c r="CP44" i="264"/>
  <c r="CP43" i="264"/>
  <c r="CP42" i="264"/>
  <c r="CP41" i="264"/>
  <c r="CP40" i="264"/>
  <c r="CP39" i="264"/>
  <c r="CM31" i="264"/>
  <c r="CH32" i="264"/>
  <c r="CL32" i="264"/>
  <c r="CP32" i="264"/>
  <c r="CY32" i="264"/>
  <c r="DC32" i="264" s="1"/>
  <c r="CH33" i="264"/>
  <c r="CL33" i="264"/>
  <c r="CP33" i="264"/>
  <c r="CY33" i="264"/>
  <c r="DC33" i="264" s="1"/>
  <c r="CH34" i="264"/>
  <c r="CL34" i="264"/>
  <c r="CP34" i="264"/>
  <c r="CY34" i="264"/>
  <c r="DC34" i="264" s="1"/>
  <c r="CH35" i="264"/>
  <c r="CL35" i="264"/>
  <c r="CP35" i="264"/>
  <c r="CY35" i="264"/>
  <c r="DC35" i="264" s="1"/>
  <c r="CH36" i="264"/>
  <c r="CL36" i="264"/>
  <c r="CP36" i="264"/>
  <c r="CY36" i="264"/>
  <c r="DC36" i="264" s="1"/>
  <c r="CH37" i="264"/>
  <c r="CL37" i="264"/>
  <c r="CP37" i="264"/>
  <c r="CY37" i="264"/>
  <c r="DC37" i="264" s="1"/>
  <c r="CH38" i="264"/>
  <c r="CL38" i="264"/>
  <c r="DE38" i="264"/>
  <c r="CH39" i="264"/>
  <c r="CI49" i="264"/>
  <c r="CI48" i="264"/>
  <c r="CI47" i="264"/>
  <c r="CI46" i="264"/>
  <c r="CI45" i="264"/>
  <c r="CI44" i="264"/>
  <c r="CI43" i="264"/>
  <c r="CI42" i="264"/>
  <c r="CI40" i="264"/>
  <c r="CI39" i="264"/>
  <c r="CI50" i="264"/>
  <c r="CM50" i="264"/>
  <c r="CM49" i="264"/>
  <c r="CM48" i="264"/>
  <c r="CM47" i="264"/>
  <c r="CM46" i="264"/>
  <c r="CM45" i="264"/>
  <c r="CM44" i="264"/>
  <c r="CM43" i="264"/>
  <c r="CM42" i="264"/>
  <c r="CM40" i="264"/>
  <c r="CM39" i="264"/>
  <c r="CM38" i="264"/>
  <c r="CQ50" i="264"/>
  <c r="CQ49" i="264"/>
  <c r="CQ48" i="264"/>
  <c r="CQ47" i="264"/>
  <c r="CQ46" i="264"/>
  <c r="CQ45" i="264"/>
  <c r="CQ44" i="264"/>
  <c r="CQ43" i="264"/>
  <c r="CQ42" i="264"/>
  <c r="CQ40" i="264"/>
  <c r="CQ39" i="264"/>
  <c r="CQ38" i="264"/>
  <c r="DD31" i="264"/>
  <c r="CI32" i="264"/>
  <c r="CM32" i="264"/>
  <c r="CQ32" i="264"/>
  <c r="CI33" i="264"/>
  <c r="CM33" i="264"/>
  <c r="CQ33" i="264"/>
  <c r="CI34" i="264"/>
  <c r="CM34" i="264"/>
  <c r="CQ34" i="264"/>
  <c r="CI35" i="264"/>
  <c r="CM35" i="264"/>
  <c r="CQ35" i="264"/>
  <c r="CI36" i="264"/>
  <c r="CM36" i="264"/>
  <c r="CQ36" i="264"/>
  <c r="CI37" i="264"/>
  <c r="CM37" i="264"/>
  <c r="CQ37" i="264"/>
  <c r="CI38" i="264"/>
  <c r="CQ41" i="264"/>
  <c r="DD89" i="264"/>
  <c r="DD88" i="264"/>
  <c r="DD87" i="264"/>
  <c r="DD86" i="264"/>
  <c r="DD85" i="264"/>
  <c r="DD84" i="264"/>
  <c r="DD83" i="264"/>
  <c r="DD82" i="264"/>
  <c r="DD81" i="264"/>
  <c r="DD80" i="264"/>
  <c r="DD79" i="264"/>
  <c r="DD78" i="264"/>
  <c r="DD77" i="264"/>
  <c r="DD76" i="264"/>
  <c r="DD75" i="264"/>
  <c r="DD74" i="264"/>
  <c r="DD73" i="264"/>
  <c r="DD72" i="264"/>
  <c r="DD71" i="264"/>
  <c r="DD70" i="264"/>
  <c r="DD69" i="264"/>
  <c r="DD68" i="264"/>
  <c r="DD67" i="264"/>
  <c r="DD66" i="264"/>
  <c r="DD65" i="264"/>
  <c r="DD64" i="264"/>
  <c r="DD63" i="264"/>
  <c r="DD62" i="264"/>
  <c r="DD61" i="264"/>
  <c r="DD60" i="264"/>
  <c r="DD59" i="264"/>
  <c r="DD58" i="264"/>
  <c r="DD57" i="264"/>
  <c r="DD56" i="264"/>
  <c r="DD55" i="264"/>
  <c r="DD52" i="264"/>
  <c r="DD50" i="264"/>
  <c r="DD49" i="264"/>
  <c r="DD48" i="264"/>
  <c r="DD47" i="264"/>
  <c r="DD46" i="264"/>
  <c r="DD45" i="264"/>
  <c r="DD44" i="264"/>
  <c r="DD43" i="264"/>
  <c r="DD42" i="264"/>
  <c r="DD41" i="264"/>
  <c r="DD54" i="264"/>
  <c r="DD53" i="264"/>
  <c r="DD51" i="264"/>
  <c r="CJ49" i="264"/>
  <c r="CJ48" i="264"/>
  <c r="CJ47" i="264"/>
  <c r="CJ46" i="264"/>
  <c r="CJ45" i="264"/>
  <c r="CJ44" i="264"/>
  <c r="CJ43" i="264"/>
  <c r="CJ42" i="264"/>
  <c r="CJ41" i="264"/>
  <c r="CJ50" i="264"/>
  <c r="CN49" i="264"/>
  <c r="CN48" i="264"/>
  <c r="CN47" i="264"/>
  <c r="CN46" i="264"/>
  <c r="CN45" i="264"/>
  <c r="CN44" i="264"/>
  <c r="CN43" i="264"/>
  <c r="CN42" i="264"/>
  <c r="CN41" i="264"/>
  <c r="CN50" i="264"/>
  <c r="CK31" i="264"/>
  <c r="CO31" i="264"/>
  <c r="DE31" i="264"/>
  <c r="CJ32" i="264"/>
  <c r="CN32" i="264"/>
  <c r="DD32" i="264"/>
  <c r="CJ33" i="264"/>
  <c r="CN33" i="264"/>
  <c r="DD33" i="264"/>
  <c r="CJ34" i="264"/>
  <c r="CN34" i="264"/>
  <c r="DD34" i="264"/>
  <c r="CJ35" i="264"/>
  <c r="CN35" i="264"/>
  <c r="DD35" i="264"/>
  <c r="CJ36" i="264"/>
  <c r="CN36" i="264"/>
  <c r="DD36" i="264"/>
  <c r="CJ37" i="264"/>
  <c r="CN37" i="264"/>
  <c r="DD37" i="264"/>
  <c r="CJ38" i="264"/>
  <c r="CO38" i="264"/>
  <c r="CY38" i="264"/>
  <c r="DC38" i="264" s="1"/>
  <c r="CN39" i="264"/>
  <c r="CJ40" i="264"/>
  <c r="DD40" i="264"/>
  <c r="DF127" i="264" l="1"/>
  <c r="DF131" i="264"/>
  <c r="DF135" i="264"/>
  <c r="DF139" i="264"/>
  <c r="DF130" i="264"/>
  <c r="DK130" i="264" s="1"/>
  <c r="DM130" i="264" s="1"/>
  <c r="AF130" i="264" s="1"/>
  <c r="DF134" i="264"/>
  <c r="DK134" i="264" s="1"/>
  <c r="DM134" i="264" s="1"/>
  <c r="AF134" i="264" s="1"/>
  <c r="AR134" i="264" s="1"/>
  <c r="AP134" i="264" s="1"/>
  <c r="Z124" i="258" s="1"/>
  <c r="DF128" i="264"/>
  <c r="DF132" i="264"/>
  <c r="DF136" i="264"/>
  <c r="DK136" i="264" s="1"/>
  <c r="DM136" i="264" s="1"/>
  <c r="AF136" i="264" s="1"/>
  <c r="AR136" i="264" s="1"/>
  <c r="AP136" i="264" s="1"/>
  <c r="Z126" i="258" s="1"/>
  <c r="DF140" i="264"/>
  <c r="DK140" i="264" s="1"/>
  <c r="DM140" i="264" s="1"/>
  <c r="AF140" i="264" s="1"/>
  <c r="AR140" i="264" s="1"/>
  <c r="AP140" i="264" s="1"/>
  <c r="Z130" i="258" s="1"/>
  <c r="DF129" i="264"/>
  <c r="DF133" i="264"/>
  <c r="DK133" i="264" s="1"/>
  <c r="DM133" i="264" s="1"/>
  <c r="AR133" i="264" s="1"/>
  <c r="AP133" i="264" s="1"/>
  <c r="Z123" i="258" s="1"/>
  <c r="DF137" i="264"/>
  <c r="DK137" i="264" s="1"/>
  <c r="DM137" i="264" s="1"/>
  <c r="AF137" i="264" s="1"/>
  <c r="AR137" i="264" s="1"/>
  <c r="AP137" i="264" s="1"/>
  <c r="Z127" i="258" s="1"/>
  <c r="DF141" i="264"/>
  <c r="DK141" i="264" s="1"/>
  <c r="DM141" i="264" s="1"/>
  <c r="AF141" i="264" s="1"/>
  <c r="AR141" i="264" s="1"/>
  <c r="AP141" i="264" s="1"/>
  <c r="Z131" i="258" s="1"/>
  <c r="DF138" i="264"/>
  <c r="DK138" i="264" s="1"/>
  <c r="DM138" i="264" s="1"/>
  <c r="AF138" i="264" s="1"/>
  <c r="AR138" i="264" s="1"/>
  <c r="AP138" i="264" s="1"/>
  <c r="Z128" i="258" s="1"/>
  <c r="DF142" i="264"/>
  <c r="DK142" i="264" s="1"/>
  <c r="DM142" i="264" s="1"/>
  <c r="AR142" i="264" s="1"/>
  <c r="AP142" i="264" s="1"/>
  <c r="Z132" i="258" s="1"/>
  <c r="DK139" i="264"/>
  <c r="DM139" i="264" s="1"/>
  <c r="AF139" i="264" s="1"/>
  <c r="AR139" i="264" s="1"/>
  <c r="AP139" i="264" s="1"/>
  <c r="Z129" i="258" s="1"/>
  <c r="DK127" i="264"/>
  <c r="DM127" i="264" s="1"/>
  <c r="AF127" i="264" s="1"/>
  <c r="DK135" i="264"/>
  <c r="DM135" i="264" s="1"/>
  <c r="AF135" i="264" s="1"/>
  <c r="AR135" i="264" s="1"/>
  <c r="AP135" i="264" s="1"/>
  <c r="Z125" i="258" s="1"/>
  <c r="DK132" i="264"/>
  <c r="DM132" i="264" s="1"/>
  <c r="AF132" i="264" s="1"/>
  <c r="AR132" i="264" s="1"/>
  <c r="AP132" i="264" s="1"/>
  <c r="Z122" i="258" s="1"/>
  <c r="DK131" i="264"/>
  <c r="DM131" i="264" s="1"/>
  <c r="AR131" i="264" s="1"/>
  <c r="AP131" i="264" s="1"/>
  <c r="Z121" i="258" s="1"/>
  <c r="DK128" i="264"/>
  <c r="DM128" i="264" s="1"/>
  <c r="DK129" i="264"/>
  <c r="DM129" i="264" s="1"/>
  <c r="DF123" i="264"/>
  <c r="DF119" i="264"/>
  <c r="DK119" i="264" s="1"/>
  <c r="DM119" i="264" s="1"/>
  <c r="AF119" i="264" s="1"/>
  <c r="AR119" i="264" s="1"/>
  <c r="AP119" i="264" s="1"/>
  <c r="Z109" i="258" s="1"/>
  <c r="DF115" i="264"/>
  <c r="DK115" i="264" s="1"/>
  <c r="DM115" i="264" s="1"/>
  <c r="AF115" i="264" s="1"/>
  <c r="AR115" i="264" s="1"/>
  <c r="AP115" i="264" s="1"/>
  <c r="Z105" i="258" s="1"/>
  <c r="DF111" i="264"/>
  <c r="DK111" i="264" s="1"/>
  <c r="DM111" i="264" s="1"/>
  <c r="AF111" i="264" s="1"/>
  <c r="AR111" i="264" s="1"/>
  <c r="AP111" i="264" s="1"/>
  <c r="Z101" i="258" s="1"/>
  <c r="DF106" i="264"/>
  <c r="DF105" i="264"/>
  <c r="DK105" i="264" s="1"/>
  <c r="DM105" i="264" s="1"/>
  <c r="AF105" i="264" s="1"/>
  <c r="AR105" i="264" s="1"/>
  <c r="AP105" i="264" s="1"/>
  <c r="Z95" i="258" s="1"/>
  <c r="DF104" i="264"/>
  <c r="DK104" i="264" s="1"/>
  <c r="DM104" i="264" s="1"/>
  <c r="AF104" i="264" s="1"/>
  <c r="AR104" i="264" s="1"/>
  <c r="AP104" i="264" s="1"/>
  <c r="Z94" i="258" s="1"/>
  <c r="DF103" i="264"/>
  <c r="DK103" i="264" s="1"/>
  <c r="DM103" i="264" s="1"/>
  <c r="AF103" i="264" s="1"/>
  <c r="AR103" i="264" s="1"/>
  <c r="AP103" i="264" s="1"/>
  <c r="Z93" i="258" s="1"/>
  <c r="DF102" i="264"/>
  <c r="DK102" i="264" s="1"/>
  <c r="DM102" i="264" s="1"/>
  <c r="AF102" i="264" s="1"/>
  <c r="AR102" i="264" s="1"/>
  <c r="AP102" i="264" s="1"/>
  <c r="Z92" i="258" s="1"/>
  <c r="DF101" i="264"/>
  <c r="DK101" i="264" s="1"/>
  <c r="DM101" i="264" s="1"/>
  <c r="AF101" i="264" s="1"/>
  <c r="AR101" i="264" s="1"/>
  <c r="AP101" i="264" s="1"/>
  <c r="Z91" i="258" s="1"/>
  <c r="DF100" i="264"/>
  <c r="DK100" i="264" s="1"/>
  <c r="DM100" i="264" s="1"/>
  <c r="AF100" i="264" s="1"/>
  <c r="AR100" i="264" s="1"/>
  <c r="AP100" i="264" s="1"/>
  <c r="Z90" i="258" s="1"/>
  <c r="DF99" i="264"/>
  <c r="DK99" i="264" s="1"/>
  <c r="DM99" i="264" s="1"/>
  <c r="AF99" i="264" s="1"/>
  <c r="AR99" i="264" s="1"/>
  <c r="AP99" i="264" s="1"/>
  <c r="Z89" i="258" s="1"/>
  <c r="DF98" i="264"/>
  <c r="DK98" i="264" s="1"/>
  <c r="DM98" i="264" s="1"/>
  <c r="AF98" i="264" s="1"/>
  <c r="AR98" i="264" s="1"/>
  <c r="AP98" i="264" s="1"/>
  <c r="Z88" i="258" s="1"/>
  <c r="DF97" i="264"/>
  <c r="DK97" i="264" s="1"/>
  <c r="DM97" i="264" s="1"/>
  <c r="AF97" i="264" s="1"/>
  <c r="AR97" i="264" s="1"/>
  <c r="AP97" i="264" s="1"/>
  <c r="Z87" i="258" s="1"/>
  <c r="DF96" i="264"/>
  <c r="DK96" i="264" s="1"/>
  <c r="DM96" i="264" s="1"/>
  <c r="AF96" i="264" s="1"/>
  <c r="AR96" i="264" s="1"/>
  <c r="AP96" i="264" s="1"/>
  <c r="Z86" i="258" s="1"/>
  <c r="DF126" i="264"/>
  <c r="DK126" i="264" s="1"/>
  <c r="DM126" i="264" s="1"/>
  <c r="AF126" i="264" s="1"/>
  <c r="AR126" i="264" s="1"/>
  <c r="AP126" i="264" s="1"/>
  <c r="Z116" i="258" s="1"/>
  <c r="DF122" i="264"/>
  <c r="DK122" i="264" s="1"/>
  <c r="DM122" i="264" s="1"/>
  <c r="AF122" i="264" s="1"/>
  <c r="AR122" i="264" s="1"/>
  <c r="AP122" i="264" s="1"/>
  <c r="Z112" i="258" s="1"/>
  <c r="DF118" i="264"/>
  <c r="DK118" i="264" s="1"/>
  <c r="DM118" i="264" s="1"/>
  <c r="AF118" i="264" s="1"/>
  <c r="AR118" i="264" s="1"/>
  <c r="AP118" i="264" s="1"/>
  <c r="Z108" i="258" s="1"/>
  <c r="DF114" i="264"/>
  <c r="DK114" i="264" s="1"/>
  <c r="DM114" i="264" s="1"/>
  <c r="AF114" i="264" s="1"/>
  <c r="AR114" i="264" s="1"/>
  <c r="AP114" i="264" s="1"/>
  <c r="Z104" i="258" s="1"/>
  <c r="DF110" i="264"/>
  <c r="DK110" i="264" s="1"/>
  <c r="DM110" i="264" s="1"/>
  <c r="AF110" i="264" s="1"/>
  <c r="AR110" i="264" s="1"/>
  <c r="AP110" i="264" s="1"/>
  <c r="Z100" i="258" s="1"/>
  <c r="AF129" i="264"/>
  <c r="DF125" i="264"/>
  <c r="DK125" i="264" s="1"/>
  <c r="DM125" i="264" s="1"/>
  <c r="AF125" i="264" s="1"/>
  <c r="AR125" i="264" s="1"/>
  <c r="AP125" i="264" s="1"/>
  <c r="Z115" i="258" s="1"/>
  <c r="DF121" i="264"/>
  <c r="DK121" i="264" s="1"/>
  <c r="DM121" i="264" s="1"/>
  <c r="AF121" i="264" s="1"/>
  <c r="AR121" i="264" s="1"/>
  <c r="AP121" i="264" s="1"/>
  <c r="Z111" i="258" s="1"/>
  <c r="DF117" i="264"/>
  <c r="DK117" i="264" s="1"/>
  <c r="DM117" i="264" s="1"/>
  <c r="AF117" i="264" s="1"/>
  <c r="AR117" i="264" s="1"/>
  <c r="AP117" i="264" s="1"/>
  <c r="Z107" i="258" s="1"/>
  <c r="DF113" i="264"/>
  <c r="DK113" i="264" s="1"/>
  <c r="DM113" i="264" s="1"/>
  <c r="AF113" i="264" s="1"/>
  <c r="AR113" i="264" s="1"/>
  <c r="AP113" i="264" s="1"/>
  <c r="Z103" i="258" s="1"/>
  <c r="DF109" i="264"/>
  <c r="DK109" i="264" s="1"/>
  <c r="DM109" i="264" s="1"/>
  <c r="AF109" i="264" s="1"/>
  <c r="AR109" i="264" s="1"/>
  <c r="AP109" i="264" s="1"/>
  <c r="Z99" i="258" s="1"/>
  <c r="DF108" i="264"/>
  <c r="DK108" i="264" s="1"/>
  <c r="DM108" i="264" s="1"/>
  <c r="AF108" i="264" s="1"/>
  <c r="AR108" i="264" s="1"/>
  <c r="AP108" i="264" s="1"/>
  <c r="Z98" i="258" s="1"/>
  <c r="AF128" i="264"/>
  <c r="DF124" i="264"/>
  <c r="DK124" i="264" s="1"/>
  <c r="DM124" i="264" s="1"/>
  <c r="AF124" i="264" s="1"/>
  <c r="AR124" i="264" s="1"/>
  <c r="AP124" i="264" s="1"/>
  <c r="Z114" i="258" s="1"/>
  <c r="DF120" i="264"/>
  <c r="DK120" i="264" s="1"/>
  <c r="DM120" i="264" s="1"/>
  <c r="AF120" i="264" s="1"/>
  <c r="AR120" i="264" s="1"/>
  <c r="AP120" i="264" s="1"/>
  <c r="Z110" i="258" s="1"/>
  <c r="DF116" i="264"/>
  <c r="DK116" i="264" s="1"/>
  <c r="DM116" i="264" s="1"/>
  <c r="AF116" i="264" s="1"/>
  <c r="AR116" i="264" s="1"/>
  <c r="AP116" i="264" s="1"/>
  <c r="Z106" i="258" s="1"/>
  <c r="DF112" i="264"/>
  <c r="DK112" i="264" s="1"/>
  <c r="DM112" i="264" s="1"/>
  <c r="AF112" i="264" s="1"/>
  <c r="AR112" i="264" s="1"/>
  <c r="AP112" i="264" s="1"/>
  <c r="Z102" i="258" s="1"/>
  <c r="DF107" i="264"/>
  <c r="DK107" i="264" s="1"/>
  <c r="DM107" i="264" s="1"/>
  <c r="AF107" i="264" s="1"/>
  <c r="AR107" i="264" s="1"/>
  <c r="AP107" i="264" s="1"/>
  <c r="Z97" i="258" s="1"/>
  <c r="DF95" i="264"/>
  <c r="DK95" i="264" s="1"/>
  <c r="DM95" i="264" s="1"/>
  <c r="AF95" i="264" s="1"/>
  <c r="AR95" i="264" s="1"/>
  <c r="AP95" i="264" s="1"/>
  <c r="Z85" i="258" s="1"/>
  <c r="DF94" i="264"/>
  <c r="DK94" i="264" s="1"/>
  <c r="DM94" i="264" s="1"/>
  <c r="AF94" i="264" s="1"/>
  <c r="AR94" i="264" s="1"/>
  <c r="AP94" i="264" s="1"/>
  <c r="Z84" i="258" s="1"/>
  <c r="DF93" i="264"/>
  <c r="DK93" i="264" s="1"/>
  <c r="DM93" i="264" s="1"/>
  <c r="AF93" i="264" s="1"/>
  <c r="AR93" i="264" s="1"/>
  <c r="AP93" i="264" s="1"/>
  <c r="Z83" i="258" s="1"/>
  <c r="DF92" i="264"/>
  <c r="DK92" i="264" s="1"/>
  <c r="DM92" i="264" s="1"/>
  <c r="AF92" i="264" s="1"/>
  <c r="AR92" i="264" s="1"/>
  <c r="AP92" i="264" s="1"/>
  <c r="Z82" i="258" s="1"/>
  <c r="DF91" i="264"/>
  <c r="DK91" i="264" s="1"/>
  <c r="DM91" i="264" s="1"/>
  <c r="AF91" i="264" s="1"/>
  <c r="AR91" i="264" s="1"/>
  <c r="AP91" i="264" s="1"/>
  <c r="Z81" i="258" s="1"/>
  <c r="DF90" i="264"/>
  <c r="DK90" i="264" s="1"/>
  <c r="DM90" i="264" s="1"/>
  <c r="AF90" i="264" s="1"/>
  <c r="AR90" i="264" s="1"/>
  <c r="AP90" i="264" s="1"/>
  <c r="Z80" i="258" s="1"/>
  <c r="DK106" i="264"/>
  <c r="DM106" i="264" s="1"/>
  <c r="AF106" i="264" s="1"/>
  <c r="AR106" i="264" s="1"/>
  <c r="AP106" i="264" s="1"/>
  <c r="Z96" i="258" s="1"/>
  <c r="DK123" i="264"/>
  <c r="DM123" i="264" s="1"/>
  <c r="AF123" i="264" s="1"/>
  <c r="AR123" i="264" s="1"/>
  <c r="AP123" i="264" s="1"/>
  <c r="Z113" i="258" s="1"/>
  <c r="DF89" i="264"/>
  <c r="DK89" i="264" s="1"/>
  <c r="DM89" i="264" s="1"/>
  <c r="AF89" i="264" s="1"/>
  <c r="AR89" i="264" s="1"/>
  <c r="AP89" i="264" s="1"/>
  <c r="Z79" i="258" s="1"/>
  <c r="DF88" i="264"/>
  <c r="DK88" i="264" s="1"/>
  <c r="DM88" i="264" s="1"/>
  <c r="AF88" i="264" s="1"/>
  <c r="AR88" i="264" s="1"/>
  <c r="AP88" i="264" s="1"/>
  <c r="Z78" i="258" s="1"/>
  <c r="DF87" i="264"/>
  <c r="DK87" i="264" s="1"/>
  <c r="DM87" i="264" s="1"/>
  <c r="AF87" i="264" s="1"/>
  <c r="AR87" i="264" s="1"/>
  <c r="AP87" i="264" s="1"/>
  <c r="Z77" i="258" s="1"/>
  <c r="DF86" i="264"/>
  <c r="DK86" i="264" s="1"/>
  <c r="DM86" i="264" s="1"/>
  <c r="AF86" i="264" s="1"/>
  <c r="AR86" i="264" s="1"/>
  <c r="AP86" i="264" s="1"/>
  <c r="Z76" i="258" s="1"/>
  <c r="DF85" i="264"/>
  <c r="DK85" i="264" s="1"/>
  <c r="DM85" i="264" s="1"/>
  <c r="AF85" i="264" s="1"/>
  <c r="AR85" i="264" s="1"/>
  <c r="AP85" i="264" s="1"/>
  <c r="Z75" i="258" s="1"/>
  <c r="DF84" i="264"/>
  <c r="DK84" i="264" s="1"/>
  <c r="DM84" i="264" s="1"/>
  <c r="AF84" i="264" s="1"/>
  <c r="AR84" i="264" s="1"/>
  <c r="AP84" i="264" s="1"/>
  <c r="Z74" i="258" s="1"/>
  <c r="DF83" i="264"/>
  <c r="DK83" i="264" s="1"/>
  <c r="DM83" i="264" s="1"/>
  <c r="AF83" i="264" s="1"/>
  <c r="AR83" i="264" s="1"/>
  <c r="AP83" i="264" s="1"/>
  <c r="Z73" i="258" s="1"/>
  <c r="DF82" i="264"/>
  <c r="DK82" i="264" s="1"/>
  <c r="DM82" i="264" s="1"/>
  <c r="AF82" i="264" s="1"/>
  <c r="AR82" i="264" s="1"/>
  <c r="AP82" i="264" s="1"/>
  <c r="Z72" i="258" s="1"/>
  <c r="DF81" i="264"/>
  <c r="DK81" i="264" s="1"/>
  <c r="DM81" i="264" s="1"/>
  <c r="AF81" i="264" s="1"/>
  <c r="AR81" i="264" s="1"/>
  <c r="AP81" i="264" s="1"/>
  <c r="Z71" i="258" s="1"/>
  <c r="DF80" i="264"/>
  <c r="DK80" i="264" s="1"/>
  <c r="DM80" i="264" s="1"/>
  <c r="AF80" i="264" s="1"/>
  <c r="AR80" i="264" s="1"/>
  <c r="AP80" i="264" s="1"/>
  <c r="Z70" i="258" s="1"/>
  <c r="DF79" i="264"/>
  <c r="DK79" i="264" s="1"/>
  <c r="DM79" i="264" s="1"/>
  <c r="AF79" i="264" s="1"/>
  <c r="AR79" i="264" s="1"/>
  <c r="AP79" i="264" s="1"/>
  <c r="Z69" i="258" s="1"/>
  <c r="DF78" i="264"/>
  <c r="DK78" i="264" s="1"/>
  <c r="DM78" i="264" s="1"/>
  <c r="AF78" i="264" s="1"/>
  <c r="AR78" i="264" s="1"/>
  <c r="AP78" i="264" s="1"/>
  <c r="Z68" i="258" s="1"/>
  <c r="DF77" i="264"/>
  <c r="DK77" i="264" s="1"/>
  <c r="DM77" i="264" s="1"/>
  <c r="AF77" i="264" s="1"/>
  <c r="AR77" i="264" s="1"/>
  <c r="AP77" i="264" s="1"/>
  <c r="Z67" i="258" s="1"/>
  <c r="DF76" i="264"/>
  <c r="DK76" i="264" s="1"/>
  <c r="DM76" i="264" s="1"/>
  <c r="AF76" i="264" s="1"/>
  <c r="AR76" i="264" s="1"/>
  <c r="AP76" i="264" s="1"/>
  <c r="Z66" i="258" s="1"/>
  <c r="DF75" i="264"/>
  <c r="DK75" i="264" s="1"/>
  <c r="DM75" i="264" s="1"/>
  <c r="AF75" i="264" s="1"/>
  <c r="AR75" i="264" s="1"/>
  <c r="AP75" i="264" s="1"/>
  <c r="Z65" i="258" s="1"/>
  <c r="DF74" i="264"/>
  <c r="DK74" i="264" s="1"/>
  <c r="DM74" i="264" s="1"/>
  <c r="AF74" i="264" s="1"/>
  <c r="AR74" i="264" s="1"/>
  <c r="AP74" i="264" s="1"/>
  <c r="Z64" i="258" s="1"/>
  <c r="DF73" i="264"/>
  <c r="DK73" i="264" s="1"/>
  <c r="DM73" i="264" s="1"/>
  <c r="AF73" i="264" s="1"/>
  <c r="AR73" i="264" s="1"/>
  <c r="AP73" i="264" s="1"/>
  <c r="Z63" i="258" s="1"/>
  <c r="DF72" i="264"/>
  <c r="DK72" i="264" s="1"/>
  <c r="DM72" i="264" s="1"/>
  <c r="AF72" i="264" s="1"/>
  <c r="AR72" i="264" s="1"/>
  <c r="AP72" i="264" s="1"/>
  <c r="Z62" i="258" s="1"/>
  <c r="DF71" i="264"/>
  <c r="DK71" i="264" s="1"/>
  <c r="DM71" i="264" s="1"/>
  <c r="AF71" i="264" s="1"/>
  <c r="AR71" i="264" s="1"/>
  <c r="AP71" i="264" s="1"/>
  <c r="Z61" i="258" s="1"/>
  <c r="DF70" i="264"/>
  <c r="DK70" i="264" s="1"/>
  <c r="DM70" i="264" s="1"/>
  <c r="AF70" i="264" s="1"/>
  <c r="AR70" i="264" s="1"/>
  <c r="AP70" i="264" s="1"/>
  <c r="Z60" i="258" s="1"/>
  <c r="DF69" i="264"/>
  <c r="DK69" i="264" s="1"/>
  <c r="DM69" i="264" s="1"/>
  <c r="AF69" i="264" s="1"/>
  <c r="AR69" i="264" s="1"/>
  <c r="AP69" i="264" s="1"/>
  <c r="Z59" i="258" s="1"/>
  <c r="DF68" i="264"/>
  <c r="DK68" i="264" s="1"/>
  <c r="DM68" i="264" s="1"/>
  <c r="AF68" i="264" s="1"/>
  <c r="AR68" i="264" s="1"/>
  <c r="AP68" i="264" s="1"/>
  <c r="Z58" i="258" s="1"/>
  <c r="DF67" i="264"/>
  <c r="DK67" i="264" s="1"/>
  <c r="DM67" i="264" s="1"/>
  <c r="AF67" i="264" s="1"/>
  <c r="AR67" i="264" s="1"/>
  <c r="AP67" i="264" s="1"/>
  <c r="Z57" i="258" s="1"/>
  <c r="DF66" i="264"/>
  <c r="DK66" i="264" s="1"/>
  <c r="DM66" i="264" s="1"/>
  <c r="AF66" i="264" s="1"/>
  <c r="AR66" i="264" s="1"/>
  <c r="AP66" i="264" s="1"/>
  <c r="Z56" i="258" s="1"/>
  <c r="DF65" i="264"/>
  <c r="DK65" i="264" s="1"/>
  <c r="DM65" i="264" s="1"/>
  <c r="AF65" i="264" s="1"/>
  <c r="AR65" i="264" s="1"/>
  <c r="AP65" i="264" s="1"/>
  <c r="Z55" i="258" s="1"/>
  <c r="DF64" i="264"/>
  <c r="DK64" i="264" s="1"/>
  <c r="DM64" i="264" s="1"/>
  <c r="AF64" i="264" s="1"/>
  <c r="AR64" i="264" s="1"/>
  <c r="AP64" i="264" s="1"/>
  <c r="Z54" i="258" s="1"/>
  <c r="DF63" i="264"/>
  <c r="DK63" i="264" s="1"/>
  <c r="DM63" i="264" s="1"/>
  <c r="AF63" i="264" s="1"/>
  <c r="AR63" i="264" s="1"/>
  <c r="AP63" i="264" s="1"/>
  <c r="Z53" i="258" s="1"/>
  <c r="DF62" i="264"/>
  <c r="DK62" i="264" s="1"/>
  <c r="DM62" i="264" s="1"/>
  <c r="AF62" i="264" s="1"/>
  <c r="AR62" i="264" s="1"/>
  <c r="AP62" i="264" s="1"/>
  <c r="Z52" i="258" s="1"/>
  <c r="DF61" i="264"/>
  <c r="DK61" i="264" s="1"/>
  <c r="DM61" i="264" s="1"/>
  <c r="AF61" i="264" s="1"/>
  <c r="AR61" i="264" s="1"/>
  <c r="AP61" i="264" s="1"/>
  <c r="Z51" i="258" s="1"/>
  <c r="DF60" i="264"/>
  <c r="DK60" i="264" s="1"/>
  <c r="DM60" i="264" s="1"/>
  <c r="AF60" i="264" s="1"/>
  <c r="AR60" i="264" s="1"/>
  <c r="AP60" i="264" s="1"/>
  <c r="Z50" i="258" s="1"/>
  <c r="DF59" i="264"/>
  <c r="DK59" i="264" s="1"/>
  <c r="DM59" i="264" s="1"/>
  <c r="AF59" i="264" s="1"/>
  <c r="AR59" i="264" s="1"/>
  <c r="AP59" i="264" s="1"/>
  <c r="Z49" i="258" s="1"/>
  <c r="DF58" i="264"/>
  <c r="DK58" i="264" s="1"/>
  <c r="DM58" i="264" s="1"/>
  <c r="AF58" i="264" s="1"/>
  <c r="AR58" i="264" s="1"/>
  <c r="AP58" i="264" s="1"/>
  <c r="Z48" i="258" s="1"/>
  <c r="DF57" i="264"/>
  <c r="DK57" i="264" s="1"/>
  <c r="DM57" i="264" s="1"/>
  <c r="AF57" i="264" s="1"/>
  <c r="AR57" i="264" s="1"/>
  <c r="AP57" i="264" s="1"/>
  <c r="Z47" i="258" s="1"/>
  <c r="DF56" i="264"/>
  <c r="DK56" i="264" s="1"/>
  <c r="DM56" i="264" s="1"/>
  <c r="AF56" i="264" s="1"/>
  <c r="AR56" i="264" s="1"/>
  <c r="AP56" i="264" s="1"/>
  <c r="Z46" i="258" s="1"/>
  <c r="DF55" i="264"/>
  <c r="DK55" i="264" s="1"/>
  <c r="DM55" i="264" s="1"/>
  <c r="AF55" i="264" s="1"/>
  <c r="AR55" i="264" s="1"/>
  <c r="AP55" i="264" s="1"/>
  <c r="Z45" i="258" s="1"/>
  <c r="DF54" i="264"/>
  <c r="DK54" i="264" s="1"/>
  <c r="DM54" i="264" s="1"/>
  <c r="AF54" i="264" s="1"/>
  <c r="AR54" i="264" s="1"/>
  <c r="AP54" i="264" s="1"/>
  <c r="Z44" i="258" s="1"/>
  <c r="DF53" i="264"/>
  <c r="DK53" i="264" s="1"/>
  <c r="DM53" i="264" s="1"/>
  <c r="AF53" i="264" s="1"/>
  <c r="AR53" i="264" s="1"/>
  <c r="AP53" i="264" s="1"/>
  <c r="Z43" i="258" s="1"/>
  <c r="DF51" i="264"/>
  <c r="DK51" i="264" s="1"/>
  <c r="DM51" i="264" s="1"/>
  <c r="AF51" i="264" s="1"/>
  <c r="AR51" i="264" s="1"/>
  <c r="AP51" i="264" s="1"/>
  <c r="Z41" i="258" s="1"/>
  <c r="DF48" i="264"/>
  <c r="DK48" i="264" s="1"/>
  <c r="DM48" i="264" s="1"/>
  <c r="AF48" i="264" s="1"/>
  <c r="AR48" i="264" s="1"/>
  <c r="AP48" i="264" s="1"/>
  <c r="Z38" i="258" s="1"/>
  <c r="DF47" i="264"/>
  <c r="DK47" i="264" s="1"/>
  <c r="DM47" i="264" s="1"/>
  <c r="AF47" i="264" s="1"/>
  <c r="AR47" i="264" s="1"/>
  <c r="AP47" i="264" s="1"/>
  <c r="Z37" i="258" s="1"/>
  <c r="DF46" i="264"/>
  <c r="DK46" i="264" s="1"/>
  <c r="DM46" i="264" s="1"/>
  <c r="AF46" i="264" s="1"/>
  <c r="AR46" i="264" s="1"/>
  <c r="AP46" i="264" s="1"/>
  <c r="Z36" i="258" s="1"/>
  <c r="DF45" i="264"/>
  <c r="DK45" i="264" s="1"/>
  <c r="DM45" i="264" s="1"/>
  <c r="AF45" i="264" s="1"/>
  <c r="AR45" i="264" s="1"/>
  <c r="AP45" i="264" s="1"/>
  <c r="Z35" i="258" s="1"/>
  <c r="DF44" i="264"/>
  <c r="DK44" i="264" s="1"/>
  <c r="DM44" i="264" s="1"/>
  <c r="AF44" i="264" s="1"/>
  <c r="AR44" i="264" s="1"/>
  <c r="AP44" i="264" s="1"/>
  <c r="Z34" i="258" s="1"/>
  <c r="DF43" i="264"/>
  <c r="DK43" i="264" s="1"/>
  <c r="DM43" i="264" s="1"/>
  <c r="AF43" i="264" s="1"/>
  <c r="AR43" i="264" s="1"/>
  <c r="AP43" i="264" s="1"/>
  <c r="Z33" i="258" s="1"/>
  <c r="DF42" i="264"/>
  <c r="DK42" i="264" s="1"/>
  <c r="DM42" i="264" s="1"/>
  <c r="AF42" i="264" s="1"/>
  <c r="AR42" i="264" s="1"/>
  <c r="AP42" i="264" s="1"/>
  <c r="Z32" i="258" s="1"/>
  <c r="DF41" i="264"/>
  <c r="DK41" i="264" s="1"/>
  <c r="DM41" i="264" s="1"/>
  <c r="AF41" i="264" s="1"/>
  <c r="AR41" i="264" s="1"/>
  <c r="AP41" i="264" s="1"/>
  <c r="Z31" i="258" s="1"/>
  <c r="DF52" i="264"/>
  <c r="DK52" i="264" s="1"/>
  <c r="DM52" i="264" s="1"/>
  <c r="AF52" i="264" s="1"/>
  <c r="AR52" i="264" s="1"/>
  <c r="AP52" i="264" s="1"/>
  <c r="Z42" i="258" s="1"/>
  <c r="DF50" i="264"/>
  <c r="DK50" i="264" s="1"/>
  <c r="DM50" i="264" s="1"/>
  <c r="AF50" i="264" s="1"/>
  <c r="AR50" i="264" s="1"/>
  <c r="AP50" i="264" s="1"/>
  <c r="Z40" i="258" s="1"/>
  <c r="DF49" i="264"/>
  <c r="DK49" i="264" s="1"/>
  <c r="DM49" i="264" s="1"/>
  <c r="AF49" i="264" s="1"/>
  <c r="AR49" i="264" s="1"/>
  <c r="AP49" i="264" s="1"/>
  <c r="Z39" i="258" s="1"/>
  <c r="DF40" i="264"/>
  <c r="DK40" i="264" s="1"/>
  <c r="DM40" i="264" s="1"/>
  <c r="AF40" i="264" s="1"/>
  <c r="AR40" i="264" s="1"/>
  <c r="AP40" i="264" s="1"/>
  <c r="Z30" i="258" s="1"/>
  <c r="DF39" i="264"/>
  <c r="DK39" i="264" s="1"/>
  <c r="DM39" i="264" s="1"/>
  <c r="AF39" i="264" s="1"/>
  <c r="AR39" i="264" s="1"/>
  <c r="AP39" i="264" s="1"/>
  <c r="Z29" i="258" s="1"/>
  <c r="DF38" i="264"/>
  <c r="DK38" i="264" s="1"/>
  <c r="DM38" i="264" s="1"/>
  <c r="AF38" i="264" s="1"/>
  <c r="AR38" i="264" s="1"/>
  <c r="AP38" i="264" s="1"/>
  <c r="Z28" i="258" s="1"/>
  <c r="DF37" i="264"/>
  <c r="DK37" i="264" s="1"/>
  <c r="DM37" i="264" s="1"/>
  <c r="AF37" i="264" s="1"/>
  <c r="AR37" i="264" s="1"/>
  <c r="AP37" i="264" s="1"/>
  <c r="Z27" i="258" s="1"/>
  <c r="DF36" i="264"/>
  <c r="DK36" i="264" s="1"/>
  <c r="DM36" i="264" s="1"/>
  <c r="AF36" i="264" s="1"/>
  <c r="AR36" i="264" s="1"/>
  <c r="AP36" i="264" s="1"/>
  <c r="Z26" i="258" s="1"/>
  <c r="DF35" i="264"/>
  <c r="DK35" i="264" s="1"/>
  <c r="DM35" i="264" s="1"/>
  <c r="AF35" i="264" s="1"/>
  <c r="AR35" i="264" s="1"/>
  <c r="AP35" i="264" s="1"/>
  <c r="Z25" i="258" s="1"/>
  <c r="DF34" i="264"/>
  <c r="DK34" i="264" s="1"/>
  <c r="DM34" i="264" s="1"/>
  <c r="AF34" i="264" s="1"/>
  <c r="AR34" i="264" s="1"/>
  <c r="AP34" i="264" s="1"/>
  <c r="Z24" i="258" s="1"/>
  <c r="DF33" i="264"/>
  <c r="DK33" i="264" s="1"/>
  <c r="DM33" i="264" s="1"/>
  <c r="AF33" i="264" s="1"/>
  <c r="AR33" i="264" s="1"/>
  <c r="AP33" i="264" s="1"/>
  <c r="Z23" i="258" s="1"/>
  <c r="DF32" i="264"/>
  <c r="DK32" i="264" s="1"/>
  <c r="DM32" i="264" s="1"/>
  <c r="AF32" i="264" s="1"/>
  <c r="AR32" i="264" s="1"/>
  <c r="AP32" i="264" s="1"/>
  <c r="Z22" i="258" s="1"/>
  <c r="DF31" i="264"/>
  <c r="DK31" i="264" s="1"/>
  <c r="DM31" i="264" s="1"/>
  <c r="AF31" i="264" s="1"/>
  <c r="AR31" i="264" s="1"/>
  <c r="AP31" i="264" s="1" a="1"/>
  <c r="AP31" i="264" s="1"/>
  <c r="AR129" i="264" l="1"/>
  <c r="AP129" i="264" s="1"/>
  <c r="Z119" i="258" s="1"/>
  <c r="AR128" i="264"/>
  <c r="AP128" i="264" s="1"/>
  <c r="Z118" i="258" s="1"/>
  <c r="AR130" i="264"/>
  <c r="AP130" i="264" s="1"/>
  <c r="Z120" i="258" s="1"/>
  <c r="AR127" i="264"/>
  <c r="AP127" i="264" s="1"/>
  <c r="Z117" i="258" s="1"/>
  <c r="Z21" i="258"/>
  <c r="AR28" i="264" l="1"/>
  <c r="K27" i="263"/>
  <c r="B2" i="262"/>
  <c r="B1" i="262"/>
  <c r="B2" i="263"/>
  <c r="B1" i="263"/>
  <c r="S22" i="256"/>
  <c r="S22" i="257" s="1"/>
  <c r="S23" i="256"/>
  <c r="S23" i="257" s="1"/>
  <c r="S24" i="256"/>
  <c r="S24" i="257" s="1"/>
  <c r="S25" i="256"/>
  <c r="S25" i="257" s="1"/>
  <c r="S26" i="256"/>
  <c r="S26" i="257" s="1"/>
  <c r="S27" i="256"/>
  <c r="S27" i="257" s="1"/>
  <c r="S28" i="256"/>
  <c r="S28" i="257" s="1"/>
  <c r="S29" i="256"/>
  <c r="S29" i="257" s="1"/>
  <c r="S30" i="256"/>
  <c r="S30" i="257" s="1"/>
  <c r="S31" i="256"/>
  <c r="S31" i="257" s="1"/>
  <c r="S32" i="256"/>
  <c r="S32" i="257" s="1"/>
  <c r="S33" i="256"/>
  <c r="S33" i="257" s="1"/>
  <c r="S34" i="256"/>
  <c r="S34" i="257" s="1"/>
  <c r="S35" i="256"/>
  <c r="S35" i="257" s="1"/>
  <c r="S36" i="256"/>
  <c r="S36" i="257" s="1"/>
  <c r="S37" i="256"/>
  <c r="S37" i="257" s="1"/>
  <c r="S38" i="256"/>
  <c r="S38" i="257" s="1"/>
  <c r="S39" i="256"/>
  <c r="S39" i="257" s="1"/>
  <c r="S40" i="256"/>
  <c r="S40" i="257" s="1"/>
  <c r="S41" i="256"/>
  <c r="S41" i="257" s="1"/>
  <c r="S42" i="256"/>
  <c r="S42" i="257" s="1"/>
  <c r="S43" i="256"/>
  <c r="S43" i="257" s="1"/>
  <c r="S44" i="256"/>
  <c r="S44" i="257" s="1"/>
  <c r="S45" i="256"/>
  <c r="S45" i="257" s="1"/>
  <c r="S46" i="256"/>
  <c r="S46" i="257" s="1"/>
  <c r="S47" i="256"/>
  <c r="S47" i="257" s="1"/>
  <c r="S48" i="256"/>
  <c r="S48" i="257" s="1"/>
  <c r="S49" i="256"/>
  <c r="S49" i="257" s="1"/>
  <c r="S50" i="256"/>
  <c r="S50" i="257" s="1"/>
  <c r="S51" i="256"/>
  <c r="S51" i="257" s="1"/>
  <c r="S52" i="256"/>
  <c r="S52" i="257" s="1"/>
  <c r="S53" i="256"/>
  <c r="S53" i="257" s="1"/>
  <c r="S54" i="256"/>
  <c r="S54" i="257" s="1"/>
  <c r="S55" i="256"/>
  <c r="S55" i="257" s="1"/>
  <c r="S56" i="256"/>
  <c r="S56" i="257" s="1"/>
  <c r="S57" i="256"/>
  <c r="S57" i="257" s="1"/>
  <c r="S58" i="256"/>
  <c r="S58" i="257" s="1"/>
  <c r="S59" i="256"/>
  <c r="S59" i="257" s="1"/>
  <c r="S60" i="256"/>
  <c r="S60" i="257" s="1"/>
  <c r="S61" i="256"/>
  <c r="S61" i="257" s="1"/>
  <c r="S62" i="256"/>
  <c r="S62" i="257" s="1"/>
  <c r="S63" i="256"/>
  <c r="S63" i="257" s="1"/>
  <c r="S64" i="256"/>
  <c r="S64" i="257" s="1"/>
  <c r="S65" i="256"/>
  <c r="S65" i="257" s="1"/>
  <c r="S66" i="256"/>
  <c r="S66" i="257" s="1"/>
  <c r="S67" i="256"/>
  <c r="S67" i="257" s="1"/>
  <c r="S68" i="256"/>
  <c r="S68" i="257" s="1"/>
  <c r="S69" i="256"/>
  <c r="S69" i="257" s="1"/>
  <c r="S70" i="256"/>
  <c r="S70" i="257" s="1"/>
  <c r="S71" i="256"/>
  <c r="S71" i="257" s="1"/>
  <c r="S72" i="256"/>
  <c r="S72" i="257" s="1"/>
  <c r="S73" i="256"/>
  <c r="S73" i="257" s="1"/>
  <c r="S74" i="256"/>
  <c r="S74" i="257" s="1"/>
  <c r="S75" i="256"/>
  <c r="S75" i="257" s="1"/>
  <c r="S76" i="256"/>
  <c r="S76" i="257" s="1"/>
  <c r="S77" i="256"/>
  <c r="S77" i="257" s="1"/>
  <c r="S78" i="256"/>
  <c r="S78" i="257" s="1"/>
  <c r="S79" i="256"/>
  <c r="S79" i="257" s="1"/>
  <c r="S80" i="256"/>
  <c r="S80" i="257" s="1"/>
  <c r="S81" i="256"/>
  <c r="S81" i="257" s="1"/>
  <c r="S82" i="256"/>
  <c r="S82" i="257" s="1"/>
  <c r="S83" i="256"/>
  <c r="S83" i="257" s="1"/>
  <c r="S84" i="256"/>
  <c r="S84" i="257" s="1"/>
  <c r="S85" i="256"/>
  <c r="S85" i="257" s="1"/>
  <c r="S86" i="256"/>
  <c r="S86" i="257" s="1"/>
  <c r="S87" i="256"/>
  <c r="S87" i="257" s="1"/>
  <c r="S88" i="256"/>
  <c r="S88" i="257" s="1"/>
  <c r="S89" i="256"/>
  <c r="S89" i="257" s="1"/>
  <c r="S90" i="256"/>
  <c r="S90" i="257" s="1"/>
  <c r="S91" i="256"/>
  <c r="S91" i="257" s="1"/>
  <c r="S92" i="256"/>
  <c r="S92" i="257" s="1"/>
  <c r="S93" i="256"/>
  <c r="S93" i="257" s="1"/>
  <c r="S94" i="256"/>
  <c r="S94" i="257" s="1"/>
  <c r="S95" i="256"/>
  <c r="S95" i="257" s="1"/>
  <c r="S96" i="256"/>
  <c r="S96" i="257" s="1"/>
  <c r="S97" i="256"/>
  <c r="S97" i="257" s="1"/>
  <c r="S98" i="256"/>
  <c r="S98" i="257" s="1"/>
  <c r="S99" i="256"/>
  <c r="S99" i="257" s="1"/>
  <c r="S100" i="256"/>
  <c r="S100" i="257" s="1"/>
  <c r="S101" i="256"/>
  <c r="S101" i="257" s="1"/>
  <c r="S102" i="256"/>
  <c r="S102" i="257" s="1"/>
  <c r="S103" i="256"/>
  <c r="S103" i="257" s="1"/>
  <c r="S104" i="256"/>
  <c r="S104" i="257" s="1"/>
  <c r="S105" i="256"/>
  <c r="S105" i="257" s="1"/>
  <c r="S106" i="256"/>
  <c r="S106" i="257" s="1"/>
  <c r="S107" i="256"/>
  <c r="S107" i="257" s="1"/>
  <c r="S108" i="256"/>
  <c r="S108" i="257" s="1"/>
  <c r="S109" i="256"/>
  <c r="S109" i="257" s="1"/>
  <c r="S110" i="256"/>
  <c r="S110" i="257" s="1"/>
  <c r="S111" i="256"/>
  <c r="S111" i="257" s="1"/>
  <c r="S112" i="256"/>
  <c r="S112" i="257" s="1"/>
  <c r="S113" i="256"/>
  <c r="S113" i="257" s="1"/>
  <c r="S114" i="256"/>
  <c r="S114" i="257" s="1"/>
  <c r="S115" i="256"/>
  <c r="S115" i="257" s="1"/>
  <c r="S116" i="256"/>
  <c r="S116" i="257" s="1"/>
  <c r="S117" i="256"/>
  <c r="S117" i="257" s="1"/>
  <c r="S118" i="256"/>
  <c r="S118" i="257" s="1"/>
  <c r="S21" i="256"/>
  <c r="S21" i="257" s="1"/>
  <c r="E143" i="263"/>
  <c r="B28" i="263"/>
  <c r="E143" i="262"/>
  <c r="B28" i="262"/>
  <c r="S133" i="257" l="1"/>
  <c r="T120" i="258"/>
  <c r="X120" i="258" s="1"/>
  <c r="AV120" i="258" s="1"/>
  <c r="T119" i="258"/>
  <c r="X119" i="258" s="1"/>
  <c r="AV119" i="258" s="1"/>
  <c r="T118" i="258"/>
  <c r="X118" i="258" s="1"/>
  <c r="T117" i="258"/>
  <c r="X117" i="258" s="1"/>
  <c r="T116" i="258"/>
  <c r="X116" i="258" s="1"/>
  <c r="AV116" i="258" s="1"/>
  <c r="T115" i="258"/>
  <c r="X115" i="258" s="1"/>
  <c r="AV115" i="258" s="1"/>
  <c r="T114" i="258"/>
  <c r="X114" i="258" s="1"/>
  <c r="T113" i="258"/>
  <c r="X113" i="258" s="1"/>
  <c r="T112" i="258"/>
  <c r="X112" i="258" s="1"/>
  <c r="AV112" i="258" s="1"/>
  <c r="T111" i="258"/>
  <c r="X111" i="258" s="1"/>
  <c r="AV111" i="258" s="1"/>
  <c r="T110" i="258"/>
  <c r="X110" i="258" s="1"/>
  <c r="T109" i="258"/>
  <c r="X109" i="258" s="1"/>
  <c r="T108" i="258"/>
  <c r="X108" i="258" s="1"/>
  <c r="AV108" i="258" s="1"/>
  <c r="T107" i="258"/>
  <c r="X107" i="258" s="1"/>
  <c r="AV107" i="258" s="1"/>
  <c r="T106" i="258"/>
  <c r="X106" i="258" s="1"/>
  <c r="T105" i="258"/>
  <c r="X105" i="258" s="1"/>
  <c r="T104" i="258"/>
  <c r="X104" i="258" s="1"/>
  <c r="AV104" i="258" s="1"/>
  <c r="T103" i="258"/>
  <c r="X103" i="258" s="1"/>
  <c r="AV103" i="258" s="1"/>
  <c r="T102" i="258"/>
  <c r="X102" i="258" s="1"/>
  <c r="T101" i="258"/>
  <c r="X101" i="258" s="1"/>
  <c r="T100" i="258"/>
  <c r="X100" i="258" s="1"/>
  <c r="AV100" i="258" s="1"/>
  <c r="T99" i="258"/>
  <c r="X99" i="258" s="1"/>
  <c r="AV99" i="258" s="1"/>
  <c r="T98" i="258"/>
  <c r="X98" i="258" s="1"/>
  <c r="T97" i="258"/>
  <c r="X97" i="258" s="1"/>
  <c r="T96" i="258"/>
  <c r="X96" i="258" s="1"/>
  <c r="AV96" i="258" s="1"/>
  <c r="T95" i="258"/>
  <c r="X95" i="258" s="1"/>
  <c r="AV95" i="258" s="1"/>
  <c r="T94" i="258"/>
  <c r="X94" i="258" s="1"/>
  <c r="T93" i="258"/>
  <c r="X93" i="258" s="1"/>
  <c r="T92" i="258"/>
  <c r="X92" i="258" s="1"/>
  <c r="AV92" i="258" s="1"/>
  <c r="T91" i="258"/>
  <c r="X91" i="258" s="1"/>
  <c r="AV91" i="258" s="1"/>
  <c r="T90" i="258"/>
  <c r="X90" i="258" s="1"/>
  <c r="T89" i="258"/>
  <c r="X89" i="258" s="1"/>
  <c r="T88" i="258"/>
  <c r="X88" i="258" s="1"/>
  <c r="AV88" i="258" s="1"/>
  <c r="T87" i="258"/>
  <c r="X87" i="258" s="1"/>
  <c r="AV87" i="258" s="1"/>
  <c r="T86" i="258"/>
  <c r="X86" i="258" s="1"/>
  <c r="T85" i="258"/>
  <c r="X85" i="258" s="1"/>
  <c r="T84" i="258"/>
  <c r="X84" i="258" s="1"/>
  <c r="AV84" i="258" s="1"/>
  <c r="T83" i="258"/>
  <c r="X83" i="258" s="1"/>
  <c r="AV83" i="258" s="1"/>
  <c r="T82" i="258"/>
  <c r="X82" i="258" s="1"/>
  <c r="T81" i="258"/>
  <c r="X81" i="258" s="1"/>
  <c r="T80" i="258"/>
  <c r="X80" i="258" s="1"/>
  <c r="AV80" i="258" s="1"/>
  <c r="T79" i="258"/>
  <c r="X79" i="258" s="1"/>
  <c r="AV79" i="258" s="1"/>
  <c r="T78" i="258"/>
  <c r="X78" i="258" s="1"/>
  <c r="T77" i="258"/>
  <c r="X77" i="258" s="1"/>
  <c r="T76" i="258"/>
  <c r="X76" i="258" s="1"/>
  <c r="AV76" i="258" s="1"/>
  <c r="T75" i="258"/>
  <c r="X75" i="258" s="1"/>
  <c r="AV75" i="258" s="1"/>
  <c r="T74" i="258"/>
  <c r="X74" i="258" s="1"/>
  <c r="T73" i="258"/>
  <c r="X73" i="258" s="1"/>
  <c r="T72" i="258"/>
  <c r="X72" i="258" s="1"/>
  <c r="AV72" i="258" s="1"/>
  <c r="T71" i="258"/>
  <c r="X71" i="258" s="1"/>
  <c r="AV71" i="258" s="1"/>
  <c r="T70" i="258"/>
  <c r="X70" i="258" s="1"/>
  <c r="T69" i="258"/>
  <c r="X69" i="258" s="1"/>
  <c r="T68" i="258"/>
  <c r="X68" i="258" s="1"/>
  <c r="AV68" i="258" s="1"/>
  <c r="T67" i="258"/>
  <c r="X67" i="258" s="1"/>
  <c r="AV67" i="258" s="1"/>
  <c r="T66" i="258"/>
  <c r="X66" i="258" s="1"/>
  <c r="T65" i="258"/>
  <c r="X65" i="258" s="1"/>
  <c r="T64" i="258"/>
  <c r="X64" i="258" s="1"/>
  <c r="AV64" i="258" s="1"/>
  <c r="T63" i="258"/>
  <c r="X63" i="258" s="1"/>
  <c r="AV63" i="258" s="1"/>
  <c r="T62" i="258"/>
  <c r="X62" i="258" s="1"/>
  <c r="T61" i="258"/>
  <c r="X61" i="258" s="1"/>
  <c r="T60" i="258"/>
  <c r="X60" i="258" s="1"/>
  <c r="AV60" i="258" s="1"/>
  <c r="T59" i="258"/>
  <c r="X59" i="258" s="1"/>
  <c r="AV59" i="258" s="1"/>
  <c r="T58" i="258"/>
  <c r="X58" i="258" s="1"/>
  <c r="T57" i="258"/>
  <c r="X57" i="258" s="1"/>
  <c r="T56" i="258"/>
  <c r="X56" i="258" s="1"/>
  <c r="AV56" i="258" s="1"/>
  <c r="T55" i="258"/>
  <c r="X55" i="258" s="1"/>
  <c r="AV55" i="258" s="1"/>
  <c r="T54" i="258"/>
  <c r="X54" i="258" s="1"/>
  <c r="T53" i="258"/>
  <c r="X53" i="258" s="1"/>
  <c r="T52" i="258"/>
  <c r="X52" i="258" s="1"/>
  <c r="AV52" i="258" s="1"/>
  <c r="T51" i="258"/>
  <c r="X51" i="258" s="1"/>
  <c r="AV51" i="258" s="1"/>
  <c r="T50" i="258"/>
  <c r="X50" i="258" s="1"/>
  <c r="T49" i="258"/>
  <c r="X49" i="258" s="1"/>
  <c r="T48" i="258"/>
  <c r="X48" i="258" s="1"/>
  <c r="AV48" i="258" s="1"/>
  <c r="T47" i="258"/>
  <c r="X47" i="258" s="1"/>
  <c r="AV47" i="258" s="1"/>
  <c r="T46" i="258"/>
  <c r="X46" i="258" s="1"/>
  <c r="T45" i="258"/>
  <c r="X45" i="258" s="1"/>
  <c r="T44" i="258"/>
  <c r="X44" i="258" s="1"/>
  <c r="AV44" i="258" s="1"/>
  <c r="T43" i="258"/>
  <c r="X43" i="258" s="1"/>
  <c r="AV43" i="258" s="1"/>
  <c r="T42" i="258"/>
  <c r="X42" i="258" s="1"/>
  <c r="T41" i="258"/>
  <c r="X41" i="258" s="1"/>
  <c r="T40" i="258"/>
  <c r="X40" i="258" s="1"/>
  <c r="AV40" i="258" s="1"/>
  <c r="T39" i="258"/>
  <c r="X39" i="258" s="1"/>
  <c r="AV39" i="258" s="1"/>
  <c r="T38" i="258"/>
  <c r="X38" i="258" s="1"/>
  <c r="T37" i="258"/>
  <c r="X37" i="258" s="1"/>
  <c r="T36" i="258"/>
  <c r="X36" i="258" s="1"/>
  <c r="AV36" i="258" s="1"/>
  <c r="T35" i="258"/>
  <c r="X35" i="258" s="1"/>
  <c r="AV35" i="258" s="1"/>
  <c r="T34" i="258"/>
  <c r="X34" i="258" s="1"/>
  <c r="T33" i="258"/>
  <c r="X33" i="258" s="1"/>
  <c r="T32" i="258"/>
  <c r="X32" i="258" s="1"/>
  <c r="AV32" i="258" s="1"/>
  <c r="T31" i="258"/>
  <c r="X31" i="258" s="1"/>
  <c r="AV31" i="258" s="1"/>
  <c r="T30" i="258"/>
  <c r="X30" i="258" s="1"/>
  <c r="T29" i="258"/>
  <c r="X29" i="258" s="1"/>
  <c r="T28" i="258"/>
  <c r="X28" i="258" s="1"/>
  <c r="AV28" i="258" s="1"/>
  <c r="T27" i="258"/>
  <c r="X27" i="258" s="1"/>
  <c r="AV27" i="258" s="1"/>
  <c r="T26" i="258"/>
  <c r="X26" i="258" s="1"/>
  <c r="T25" i="258"/>
  <c r="X25" i="258" s="1"/>
  <c r="T24" i="258"/>
  <c r="X24" i="258" s="1"/>
  <c r="AV24" i="258" s="1"/>
  <c r="T23" i="258"/>
  <c r="X23" i="258" s="1"/>
  <c r="AV23" i="258" s="1"/>
  <c r="T22" i="258"/>
  <c r="X22" i="258" s="1"/>
  <c r="T21" i="258"/>
  <c r="X21" i="258" s="1"/>
  <c r="T20" i="258"/>
  <c r="B5" i="258"/>
  <c r="B6" i="258"/>
  <c r="B7" i="258"/>
  <c r="F5" i="258"/>
  <c r="AU23" i="258" l="1"/>
  <c r="AT23" i="258"/>
  <c r="AU31" i="258"/>
  <c r="AT31" i="258"/>
  <c r="AU39" i="258"/>
  <c r="AT39" i="258"/>
  <c r="AU47" i="258"/>
  <c r="AT47" i="258"/>
  <c r="AU55" i="258"/>
  <c r="AT55" i="258"/>
  <c r="AU63" i="258"/>
  <c r="AT63" i="258"/>
  <c r="AU71" i="258"/>
  <c r="AT71" i="258"/>
  <c r="AU28" i="258"/>
  <c r="AT28" i="258"/>
  <c r="AU36" i="258"/>
  <c r="AT36" i="258"/>
  <c r="AU44" i="258"/>
  <c r="AT44" i="258"/>
  <c r="AU52" i="258"/>
  <c r="AT52" i="258"/>
  <c r="AU60" i="258"/>
  <c r="AT60" i="258"/>
  <c r="AU68" i="258"/>
  <c r="AT68" i="258"/>
  <c r="AU76" i="258"/>
  <c r="AT76" i="258"/>
  <c r="AU84" i="258"/>
  <c r="AT84" i="258"/>
  <c r="AU92" i="258"/>
  <c r="AT92" i="258"/>
  <c r="AV21" i="258"/>
  <c r="AT21" i="258" s="1"/>
  <c r="AV25" i="258"/>
  <c r="AT25" i="258" s="1"/>
  <c r="AV29" i="258"/>
  <c r="AT29" i="258" s="1"/>
  <c r="AV33" i="258"/>
  <c r="AT33" i="258" s="1"/>
  <c r="AV37" i="258"/>
  <c r="AT37" i="258" s="1"/>
  <c r="AV41" i="258"/>
  <c r="AT41" i="258" s="1"/>
  <c r="AV45" i="258"/>
  <c r="AT45" i="258" s="1"/>
  <c r="AV49" i="258"/>
  <c r="AT49" i="258" s="1"/>
  <c r="AV53" i="258"/>
  <c r="AT53" i="258" s="1"/>
  <c r="AV57" i="258"/>
  <c r="AT57" i="258" s="1"/>
  <c r="AV61" i="258"/>
  <c r="AT61" i="258" s="1"/>
  <c r="AV65" i="258"/>
  <c r="AT65" i="258" s="1"/>
  <c r="AV69" i="258"/>
  <c r="AT69" i="258" s="1"/>
  <c r="AV73" i="258"/>
  <c r="AT73" i="258" s="1"/>
  <c r="AV77" i="258"/>
  <c r="AT77" i="258" s="1"/>
  <c r="AV81" i="258"/>
  <c r="AT81" i="258" s="1"/>
  <c r="AV85" i="258"/>
  <c r="AT85" i="258" s="1"/>
  <c r="AV89" i="258"/>
  <c r="AT89" i="258" s="1"/>
  <c r="AV93" i="258"/>
  <c r="AT93" i="258" s="1"/>
  <c r="AV97" i="258"/>
  <c r="AT97" i="258" s="1"/>
  <c r="AU120" i="258"/>
  <c r="AT120" i="258"/>
  <c r="AU116" i="258"/>
  <c r="AT116" i="258"/>
  <c r="AU112" i="258"/>
  <c r="AT112" i="258"/>
  <c r="AU108" i="258"/>
  <c r="AT108" i="258"/>
  <c r="AU103" i="258"/>
  <c r="AT103" i="258"/>
  <c r="AU27" i="258"/>
  <c r="AT27" i="258"/>
  <c r="AU35" i="258"/>
  <c r="AT35" i="258"/>
  <c r="AU43" i="258"/>
  <c r="AT43" i="258"/>
  <c r="AU51" i="258"/>
  <c r="AT51" i="258"/>
  <c r="AU59" i="258"/>
  <c r="AT59" i="258"/>
  <c r="AU67" i="258"/>
  <c r="AT67" i="258"/>
  <c r="AU75" i="258"/>
  <c r="AT75" i="258"/>
  <c r="AU24" i="258"/>
  <c r="AT24" i="258"/>
  <c r="AU32" i="258"/>
  <c r="AT32" i="258"/>
  <c r="AU40" i="258"/>
  <c r="AT40" i="258"/>
  <c r="AU48" i="258"/>
  <c r="AT48" i="258"/>
  <c r="AU56" i="258"/>
  <c r="AT56" i="258"/>
  <c r="AU64" i="258"/>
  <c r="AT64" i="258"/>
  <c r="AU72" i="258"/>
  <c r="AT72" i="258"/>
  <c r="AU80" i="258"/>
  <c r="AT80" i="258"/>
  <c r="AU88" i="258"/>
  <c r="AT88" i="258"/>
  <c r="AU96" i="258"/>
  <c r="AT96" i="258"/>
  <c r="AU100" i="258"/>
  <c r="AT100" i="258"/>
  <c r="AU104" i="258"/>
  <c r="AT104" i="258"/>
  <c r="AV117" i="258"/>
  <c r="AV113" i="258"/>
  <c r="AV109" i="258"/>
  <c r="AV105" i="258"/>
  <c r="AV22" i="258"/>
  <c r="AT22" i="258" s="1"/>
  <c r="AV26" i="258"/>
  <c r="AT26" i="258" s="1"/>
  <c r="AV30" i="258"/>
  <c r="AT30" i="258" s="1"/>
  <c r="AV34" i="258"/>
  <c r="AT34" i="258" s="1"/>
  <c r="AV38" i="258"/>
  <c r="AT38" i="258" s="1"/>
  <c r="AV42" i="258"/>
  <c r="AT42" i="258" s="1"/>
  <c r="AV46" i="258"/>
  <c r="AT46" i="258" s="1"/>
  <c r="AV50" i="258"/>
  <c r="AT50" i="258" s="1"/>
  <c r="AV54" i="258"/>
  <c r="AT54" i="258" s="1"/>
  <c r="AV58" i="258"/>
  <c r="AT58" i="258" s="1"/>
  <c r="AV62" i="258"/>
  <c r="AT62" i="258" s="1"/>
  <c r="AV66" i="258"/>
  <c r="AT66" i="258" s="1"/>
  <c r="AV70" i="258"/>
  <c r="AT70" i="258" s="1"/>
  <c r="AV74" i="258"/>
  <c r="AT74" i="258" s="1"/>
  <c r="AV78" i="258"/>
  <c r="AT78" i="258" s="1"/>
  <c r="AV82" i="258"/>
  <c r="AT82" i="258" s="1"/>
  <c r="AV86" i="258"/>
  <c r="AT86" i="258" s="1"/>
  <c r="AV90" i="258"/>
  <c r="AT90" i="258" s="1"/>
  <c r="AV94" i="258"/>
  <c r="AT94" i="258" s="1"/>
  <c r="AV98" i="258"/>
  <c r="AT98" i="258" s="1"/>
  <c r="AU119" i="258"/>
  <c r="AT119" i="258"/>
  <c r="AU115" i="258"/>
  <c r="AT115" i="258"/>
  <c r="AU111" i="258"/>
  <c r="AT111" i="258"/>
  <c r="AU107" i="258"/>
  <c r="AT107" i="258"/>
  <c r="AV102" i="258"/>
  <c r="AU79" i="258"/>
  <c r="AT79" i="258"/>
  <c r="AU83" i="258"/>
  <c r="AT83" i="258"/>
  <c r="AU87" i="258"/>
  <c r="AT87" i="258"/>
  <c r="AU91" i="258"/>
  <c r="AT91" i="258"/>
  <c r="AU95" i="258"/>
  <c r="AT95" i="258"/>
  <c r="AU99" i="258"/>
  <c r="AT99" i="258"/>
  <c r="AV118" i="258"/>
  <c r="AV114" i="258"/>
  <c r="AV110" i="258"/>
  <c r="AV106" i="258"/>
  <c r="AV101" i="258"/>
  <c r="Y119" i="258" l="1"/>
  <c r="C111" i="239" s="1"/>
  <c r="Y116" i="258"/>
  <c r="C108" i="239" s="1"/>
  <c r="AT114" i="258"/>
  <c r="AT118" i="258"/>
  <c r="AT113" i="258"/>
  <c r="AT117" i="258"/>
  <c r="AT110" i="258"/>
  <c r="AT109" i="258"/>
  <c r="AT106" i="258"/>
  <c r="AT105" i="258"/>
  <c r="AT102" i="258"/>
  <c r="AT101" i="258"/>
  <c r="AU110" i="258"/>
  <c r="AU54" i="258"/>
  <c r="AU113" i="258"/>
  <c r="AU118" i="258"/>
  <c r="AU117" i="258"/>
  <c r="AU106" i="258"/>
  <c r="AU114" i="258"/>
  <c r="AU102" i="258"/>
  <c r="AU62" i="258"/>
  <c r="AU86" i="258"/>
  <c r="AU22" i="258"/>
  <c r="AU97" i="258"/>
  <c r="AU85" i="258"/>
  <c r="AU94" i="258"/>
  <c r="AU30" i="258"/>
  <c r="AU70" i="258"/>
  <c r="AU38" i="258"/>
  <c r="AU65" i="258"/>
  <c r="AU78" i="258"/>
  <c r="AU46" i="258"/>
  <c r="AU49" i="258"/>
  <c r="AU33" i="258"/>
  <c r="AU21" i="258"/>
  <c r="AU98" i="258"/>
  <c r="AU90" i="258"/>
  <c r="AU82" i="258"/>
  <c r="AU74" i="258"/>
  <c r="AU66" i="258"/>
  <c r="AU58" i="258"/>
  <c r="AU50" i="258"/>
  <c r="AU42" i="258"/>
  <c r="AU34" i="258"/>
  <c r="AU26" i="258"/>
  <c r="AU81" i="258"/>
  <c r="AU101" i="258"/>
  <c r="AU89" i="258"/>
  <c r="AU41" i="258"/>
  <c r="AU73" i="258"/>
  <c r="AU25" i="258"/>
  <c r="AU105" i="258"/>
  <c r="AU57" i="258"/>
  <c r="AU109" i="258"/>
  <c r="AU93" i="258"/>
  <c r="AU77" i="258"/>
  <c r="AU69" i="258"/>
  <c r="AU61" i="258"/>
  <c r="AU53" i="258"/>
  <c r="AU45" i="258"/>
  <c r="AU37" i="258"/>
  <c r="AU29" i="258"/>
  <c r="Y114" i="258" l="1"/>
  <c r="C106" i="239" s="1"/>
  <c r="Y117" i="258"/>
  <c r="C109" i="239" s="1"/>
  <c r="L1" i="258" l="1"/>
  <c r="AA123" i="258" l="1"/>
  <c r="C111" i="190" s="1"/>
  <c r="AA121" i="258"/>
  <c r="C109" i="190" s="1"/>
  <c r="AA128" i="258"/>
  <c r="C116" i="190" s="1"/>
  <c r="AA126" i="258"/>
  <c r="C114" i="190" s="1"/>
  <c r="AA132" i="258"/>
  <c r="C120" i="190" s="1"/>
  <c r="AA131" i="258"/>
  <c r="C119" i="190" s="1"/>
  <c r="AA127" i="258"/>
  <c r="C115" i="190" s="1"/>
  <c r="AA124" i="258"/>
  <c r="C112" i="190" s="1"/>
  <c r="AA129" i="258"/>
  <c r="C117" i="190" s="1"/>
  <c r="AA122" i="258"/>
  <c r="C110" i="190" s="1"/>
  <c r="AA125" i="258"/>
  <c r="C113" i="190" s="1"/>
  <c r="AA130" i="258"/>
  <c r="C118" i="190" s="1"/>
  <c r="G118" i="258"/>
  <c r="G114" i="258"/>
  <c r="G117" i="258"/>
  <c r="G113" i="258"/>
  <c r="G119" i="258"/>
  <c r="G115" i="258"/>
  <c r="G111" i="258"/>
  <c r="G120" i="258"/>
  <c r="G116" i="258"/>
  <c r="G112" i="258"/>
  <c r="G110" i="258"/>
  <c r="G109" i="258"/>
  <c r="G108" i="258"/>
  <c r="G103" i="258"/>
  <c r="G105" i="258"/>
  <c r="G107" i="258"/>
  <c r="G106" i="258"/>
  <c r="G87" i="258"/>
  <c r="G25" i="258"/>
  <c r="G83" i="258"/>
  <c r="G66" i="258"/>
  <c r="G89" i="258"/>
  <c r="G88" i="258"/>
  <c r="G102" i="258"/>
  <c r="G104" i="258"/>
  <c r="G96" i="258"/>
  <c r="G76" i="258"/>
  <c r="G64" i="258"/>
  <c r="G56" i="258"/>
  <c r="G48" i="258"/>
  <c r="G40" i="258"/>
  <c r="G28" i="258"/>
  <c r="G91" i="258"/>
  <c r="G75" i="258"/>
  <c r="G63" i="258"/>
  <c r="G51" i="258"/>
  <c r="G43" i="258"/>
  <c r="G35" i="258"/>
  <c r="G27" i="258"/>
  <c r="G94" i="258"/>
  <c r="G82" i="258"/>
  <c r="G70" i="258"/>
  <c r="G54" i="258"/>
  <c r="G38" i="258"/>
  <c r="G22" i="258"/>
  <c r="G59" i="258"/>
  <c r="G86" i="258"/>
  <c r="G46" i="258"/>
  <c r="G26" i="258"/>
  <c r="G98" i="258"/>
  <c r="G78" i="258"/>
  <c r="G62" i="258"/>
  <c r="G50" i="258"/>
  <c r="G34" i="258"/>
  <c r="G101" i="258"/>
  <c r="G97" i="258"/>
  <c r="G93" i="258"/>
  <c r="G85" i="258"/>
  <c r="G81" i="258"/>
  <c r="G77" i="258"/>
  <c r="G73" i="258"/>
  <c r="G69" i="258"/>
  <c r="G65" i="258"/>
  <c r="G61" i="258"/>
  <c r="G57" i="258"/>
  <c r="G53" i="258"/>
  <c r="G49" i="258"/>
  <c r="G45" i="258"/>
  <c r="G41" i="258"/>
  <c r="G37" i="258"/>
  <c r="G33" i="258"/>
  <c r="G29" i="258"/>
  <c r="G21" i="258"/>
  <c r="G100" i="258"/>
  <c r="G92" i="258"/>
  <c r="G84" i="258"/>
  <c r="G80" i="258"/>
  <c r="G72" i="258"/>
  <c r="G68" i="258"/>
  <c r="G60" i="258"/>
  <c r="G52" i="258"/>
  <c r="G44" i="258"/>
  <c r="G36" i="258"/>
  <c r="G32" i="258"/>
  <c r="G24" i="258"/>
  <c r="G99" i="258"/>
  <c r="G95" i="258"/>
  <c r="G79" i="258"/>
  <c r="G71" i="258"/>
  <c r="G67" i="258"/>
  <c r="G55" i="258"/>
  <c r="G47" i="258"/>
  <c r="G39" i="258"/>
  <c r="G31" i="258"/>
  <c r="G23" i="258"/>
  <c r="G90" i="258"/>
  <c r="G74" i="258"/>
  <c r="G58" i="258"/>
  <c r="G42" i="258"/>
  <c r="G30" i="258"/>
  <c r="F109" i="190" l="1"/>
  <c r="B109" i="189"/>
  <c r="F111" i="190"/>
  <c r="B111" i="189"/>
  <c r="F110" i="190"/>
  <c r="B110" i="189"/>
  <c r="F119" i="190"/>
  <c r="B119" i="189"/>
  <c r="B117" i="189"/>
  <c r="F117" i="190"/>
  <c r="B120" i="189"/>
  <c r="F120" i="190"/>
  <c r="B118" i="189"/>
  <c r="F118" i="190"/>
  <c r="B112" i="189"/>
  <c r="F112" i="190"/>
  <c r="B114" i="189"/>
  <c r="F114" i="190"/>
  <c r="F113" i="190"/>
  <c r="B113" i="189"/>
  <c r="F115" i="190"/>
  <c r="B115" i="189"/>
  <c r="B116" i="189"/>
  <c r="F116" i="190"/>
  <c r="C1" i="243"/>
  <c r="B115" i="242" l="1"/>
  <c r="H111" i="189"/>
  <c r="F111" i="189"/>
  <c r="B113" i="242"/>
  <c r="F109" i="189"/>
  <c r="H109" i="189"/>
  <c r="B117" i="242"/>
  <c r="H113" i="189"/>
  <c r="F113" i="189"/>
  <c r="H119" i="189"/>
  <c r="B123" i="242"/>
  <c r="F119" i="189"/>
  <c r="B120" i="242"/>
  <c r="H116" i="189"/>
  <c r="F116" i="189"/>
  <c r="H112" i="189"/>
  <c r="F112" i="189"/>
  <c r="B116" i="242"/>
  <c r="H120" i="189"/>
  <c r="F120" i="189"/>
  <c r="B124" i="242"/>
  <c r="H115" i="189"/>
  <c r="F115" i="189"/>
  <c r="B119" i="242"/>
  <c r="H110" i="189"/>
  <c r="F110" i="189"/>
  <c r="B114" i="242"/>
  <c r="H114" i="189"/>
  <c r="F114" i="189"/>
  <c r="B118" i="242"/>
  <c r="B122" i="242"/>
  <c r="F118" i="189"/>
  <c r="H118" i="189"/>
  <c r="H117" i="189"/>
  <c r="F117" i="189"/>
  <c r="B121" i="242"/>
  <c r="C1" i="262"/>
  <c r="C1" i="263"/>
  <c r="P113" i="242" l="1"/>
  <c r="AA113" i="242"/>
  <c r="R113" i="242"/>
  <c r="Q113" i="242"/>
  <c r="O113" i="242"/>
  <c r="B109" i="237"/>
  <c r="O115" i="242"/>
  <c r="Q115" i="242"/>
  <c r="B111" i="237"/>
  <c r="P115" i="242"/>
  <c r="R115" i="242"/>
  <c r="AA115" i="242"/>
  <c r="Q118" i="242"/>
  <c r="R118" i="242"/>
  <c r="P118" i="242"/>
  <c r="O118" i="242"/>
  <c r="AA118" i="242"/>
  <c r="B114" i="237"/>
  <c r="B112" i="237"/>
  <c r="R116" i="242"/>
  <c r="AA116" i="242"/>
  <c r="P116" i="242"/>
  <c r="O116" i="242"/>
  <c r="Q116" i="242"/>
  <c r="B120" i="237"/>
  <c r="Q124" i="242"/>
  <c r="P124" i="242"/>
  <c r="AA124" i="242"/>
  <c r="R124" i="242"/>
  <c r="O124" i="242"/>
  <c r="AA120" i="242"/>
  <c r="B116" i="237"/>
  <c r="P120" i="242"/>
  <c r="R120" i="242"/>
  <c r="O120" i="242"/>
  <c r="Q120" i="242"/>
  <c r="P121" i="242"/>
  <c r="O121" i="242"/>
  <c r="B117" i="237"/>
  <c r="AA121" i="242"/>
  <c r="R121" i="242"/>
  <c r="Q121" i="242"/>
  <c r="P119" i="242"/>
  <c r="B115" i="237"/>
  <c r="AA119" i="242"/>
  <c r="R119" i="242"/>
  <c r="Q119" i="242"/>
  <c r="O119" i="242"/>
  <c r="Q122" i="242"/>
  <c r="R122" i="242"/>
  <c r="P122" i="242"/>
  <c r="B118" i="237"/>
  <c r="AA122" i="242"/>
  <c r="O122" i="242"/>
  <c r="R114" i="242"/>
  <c r="P114" i="242"/>
  <c r="O114" i="242"/>
  <c r="B110" i="237"/>
  <c r="AA114" i="242"/>
  <c r="Q114" i="242"/>
  <c r="B119" i="237"/>
  <c r="AA123" i="242"/>
  <c r="O123" i="242"/>
  <c r="R123" i="242"/>
  <c r="P123" i="242"/>
  <c r="Q123" i="242"/>
  <c r="Q117" i="242"/>
  <c r="B113" i="237"/>
  <c r="P117" i="242"/>
  <c r="O117" i="242"/>
  <c r="R117" i="242"/>
  <c r="AA117" i="242"/>
  <c r="D2" i="251"/>
  <c r="D1" i="251"/>
  <c r="S115" i="242" l="1" a="1"/>
  <c r="S115" i="242" s="1"/>
  <c r="I115" i="242" s="1"/>
  <c r="B113" i="239"/>
  <c r="F109" i="237"/>
  <c r="B115" i="239"/>
  <c r="F111" i="237"/>
  <c r="S113" i="242" a="1"/>
  <c r="S113" i="242" s="1"/>
  <c r="I113" i="242" s="1"/>
  <c r="S123" i="242" a="1"/>
  <c r="S123" i="242" s="1"/>
  <c r="I123" i="242" s="1"/>
  <c r="S120" i="242" a="1"/>
  <c r="S120" i="242" s="1"/>
  <c r="I120" i="242" s="1"/>
  <c r="S116" i="242" a="1"/>
  <c r="S116" i="242" s="1"/>
  <c r="I116" i="242" s="1"/>
  <c r="F113" i="237"/>
  <c r="B117" i="239"/>
  <c r="F118" i="237"/>
  <c r="B122" i="239"/>
  <c r="S119" i="242" a="1"/>
  <c r="S119" i="242" s="1"/>
  <c r="I119" i="242" s="1"/>
  <c r="B119" i="239"/>
  <c r="F115" i="237"/>
  <c r="F116" i="237"/>
  <c r="B120" i="239"/>
  <c r="S118" i="242" a="1"/>
  <c r="S118" i="242" s="1"/>
  <c r="I118" i="242" s="1"/>
  <c r="B121" i="239"/>
  <c r="F117" i="237"/>
  <c r="F112" i="237"/>
  <c r="B116" i="239"/>
  <c r="S117" i="242" a="1"/>
  <c r="S117" i="242" s="1"/>
  <c r="I117" i="242" s="1"/>
  <c r="B114" i="239"/>
  <c r="F110" i="237"/>
  <c r="S122" i="242" a="1"/>
  <c r="S122" i="242" s="1"/>
  <c r="I122" i="242" s="1"/>
  <c r="S121" i="242" a="1"/>
  <c r="S121" i="242" s="1"/>
  <c r="I121" i="242" s="1"/>
  <c r="S124" i="242" a="1"/>
  <c r="S124" i="242" s="1"/>
  <c r="I124" i="242" s="1"/>
  <c r="B118" i="239"/>
  <c r="F114" i="237"/>
  <c r="F119" i="237"/>
  <c r="B123" i="239"/>
  <c r="S114" i="242" a="1"/>
  <c r="S114" i="242" s="1"/>
  <c r="I114" i="242" s="1"/>
  <c r="B124" i="239"/>
  <c r="F120" i="237"/>
  <c r="AH22" i="258"/>
  <c r="AH23" i="258"/>
  <c r="AH24" i="258"/>
  <c r="AH25" i="258"/>
  <c r="AH26" i="258"/>
  <c r="AH27" i="258"/>
  <c r="AH28" i="258"/>
  <c r="AH29" i="258"/>
  <c r="AH30" i="258"/>
  <c r="AH31" i="258"/>
  <c r="AH32" i="258"/>
  <c r="AH33" i="258"/>
  <c r="AH34" i="258"/>
  <c r="AH35" i="258"/>
  <c r="AH36" i="258"/>
  <c r="AH37" i="258"/>
  <c r="AH38" i="258"/>
  <c r="AH39" i="258"/>
  <c r="AH40" i="258"/>
  <c r="AH41" i="258"/>
  <c r="AH42" i="258"/>
  <c r="AH43" i="258"/>
  <c r="AH44" i="258"/>
  <c r="AH45" i="258"/>
  <c r="AH46" i="258"/>
  <c r="AH47" i="258"/>
  <c r="AH48" i="258"/>
  <c r="AH49" i="258"/>
  <c r="AH50" i="258"/>
  <c r="AH51" i="258"/>
  <c r="AH52" i="258"/>
  <c r="AH53" i="258"/>
  <c r="AH54" i="258"/>
  <c r="AH55" i="258"/>
  <c r="AH56" i="258"/>
  <c r="AH57" i="258"/>
  <c r="AH58" i="258"/>
  <c r="AH59" i="258"/>
  <c r="AH60" i="258"/>
  <c r="AH61" i="258"/>
  <c r="AH62" i="258"/>
  <c r="AH63" i="258"/>
  <c r="AH64" i="258"/>
  <c r="AH65" i="258"/>
  <c r="AH66" i="258"/>
  <c r="AH67" i="258"/>
  <c r="AH68" i="258"/>
  <c r="AH69" i="258"/>
  <c r="AH70" i="258"/>
  <c r="AH71" i="258"/>
  <c r="AH72" i="258"/>
  <c r="AH73" i="258"/>
  <c r="AH74" i="258"/>
  <c r="AH75" i="258"/>
  <c r="AH76" i="258"/>
  <c r="AH77" i="258"/>
  <c r="AH78" i="258"/>
  <c r="AH79" i="258"/>
  <c r="AH80" i="258"/>
  <c r="AH81" i="258"/>
  <c r="AH82" i="258"/>
  <c r="AH83" i="258"/>
  <c r="AH84" i="258"/>
  <c r="AH85" i="258"/>
  <c r="AH86" i="258"/>
  <c r="AH87" i="258"/>
  <c r="AH88" i="258"/>
  <c r="AH89" i="258"/>
  <c r="AH90" i="258"/>
  <c r="AH91" i="258"/>
  <c r="AH92" i="258"/>
  <c r="AH93" i="258"/>
  <c r="AH94" i="258"/>
  <c r="AH95" i="258"/>
  <c r="AH96" i="258"/>
  <c r="AH97" i="258"/>
  <c r="AH103" i="258"/>
  <c r="AH104" i="258"/>
  <c r="AH105" i="258"/>
  <c r="AH106" i="258"/>
  <c r="AH107" i="258"/>
  <c r="AH108" i="258"/>
  <c r="AH109" i="258"/>
  <c r="AH110" i="258"/>
  <c r="AH111" i="258"/>
  <c r="AH112" i="258"/>
  <c r="AH113" i="258"/>
  <c r="AH114" i="258"/>
  <c r="AH115" i="258"/>
  <c r="AH116" i="258"/>
  <c r="AH117" i="258"/>
  <c r="AH118" i="258"/>
  <c r="AH119" i="258"/>
  <c r="AH120" i="258"/>
  <c r="AH21" i="258"/>
  <c r="C109" i="201" l="1"/>
  <c r="D115" i="239"/>
  <c r="F115" i="239" s="1"/>
  <c r="C107" i="201"/>
  <c r="D113" i="239"/>
  <c r="F113" i="239" s="1"/>
  <c r="C117" i="201"/>
  <c r="D123" i="239"/>
  <c r="F123" i="239" s="1"/>
  <c r="D114" i="239"/>
  <c r="F114" i="239" s="1"/>
  <c r="C108" i="201"/>
  <c r="D122" i="239"/>
  <c r="F122" i="239" s="1"/>
  <c r="C116" i="201"/>
  <c r="D121" i="239"/>
  <c r="F121" i="239" s="1"/>
  <c r="C115" i="201"/>
  <c r="C118" i="201"/>
  <c r="D124" i="239"/>
  <c r="F124" i="239" s="1"/>
  <c r="C110" i="201"/>
  <c r="D116" i="239"/>
  <c r="F116" i="239" s="1"/>
  <c r="C113" i="201"/>
  <c r="D119" i="239"/>
  <c r="F119" i="239" s="1"/>
  <c r="D117" i="239"/>
  <c r="F117" i="239" s="1"/>
  <c r="C111" i="201"/>
  <c r="D118" i="239"/>
  <c r="F118" i="239" s="1"/>
  <c r="C112" i="201"/>
  <c r="D120" i="239"/>
  <c r="F120" i="239" s="1"/>
  <c r="C114" i="201"/>
  <c r="C2" i="243"/>
  <c r="B9" i="190"/>
  <c r="A9" i="189" s="1"/>
  <c r="A13" i="242" s="1"/>
  <c r="A9" i="237" s="1"/>
  <c r="A13" i="239" s="1"/>
  <c r="AQ22" i="258"/>
  <c r="AR22" i="258"/>
  <c r="AQ23" i="258"/>
  <c r="AR23" i="258"/>
  <c r="AQ24" i="258"/>
  <c r="AR24" i="258"/>
  <c r="AQ25" i="258"/>
  <c r="AR25" i="258"/>
  <c r="AQ26" i="258"/>
  <c r="AR26" i="258"/>
  <c r="AQ27" i="258"/>
  <c r="AR27" i="258"/>
  <c r="AQ28" i="258"/>
  <c r="AR28" i="258"/>
  <c r="AQ29" i="258"/>
  <c r="AR29" i="258"/>
  <c r="AQ30" i="258"/>
  <c r="AR30" i="258"/>
  <c r="AQ31" i="258"/>
  <c r="AR31" i="258"/>
  <c r="AQ32" i="258"/>
  <c r="AR32" i="258"/>
  <c r="AQ33" i="258"/>
  <c r="AR33" i="258"/>
  <c r="AQ34" i="258"/>
  <c r="AR34" i="258"/>
  <c r="AQ35" i="258"/>
  <c r="AR35" i="258"/>
  <c r="AQ36" i="258"/>
  <c r="AR36" i="258"/>
  <c r="AQ37" i="258"/>
  <c r="AR37" i="258"/>
  <c r="AQ38" i="258"/>
  <c r="AR38" i="258"/>
  <c r="AQ39" i="258"/>
  <c r="AR39" i="258"/>
  <c r="AQ40" i="258"/>
  <c r="AR40" i="258"/>
  <c r="AQ41" i="258"/>
  <c r="AR41" i="258"/>
  <c r="AQ42" i="258"/>
  <c r="AR42" i="258"/>
  <c r="AQ43" i="258"/>
  <c r="AR43" i="258"/>
  <c r="AQ44" i="258"/>
  <c r="AR44" i="258"/>
  <c r="AQ45" i="258"/>
  <c r="AR45" i="258"/>
  <c r="AQ46" i="258"/>
  <c r="AR46" i="258"/>
  <c r="AQ47" i="258"/>
  <c r="AR47" i="258"/>
  <c r="AQ48" i="258"/>
  <c r="AR48" i="258"/>
  <c r="AQ49" i="258"/>
  <c r="AR49" i="258"/>
  <c r="AQ50" i="258"/>
  <c r="AR50" i="258"/>
  <c r="AQ51" i="258"/>
  <c r="AR51" i="258"/>
  <c r="AQ52" i="258"/>
  <c r="AR52" i="258"/>
  <c r="AQ53" i="258"/>
  <c r="AR53" i="258"/>
  <c r="AQ54" i="258"/>
  <c r="AR54" i="258"/>
  <c r="AQ55" i="258"/>
  <c r="AR55" i="258"/>
  <c r="AQ56" i="258"/>
  <c r="AR56" i="258"/>
  <c r="AQ57" i="258"/>
  <c r="AR57" i="258"/>
  <c r="AQ58" i="258"/>
  <c r="AR58" i="258"/>
  <c r="AQ59" i="258"/>
  <c r="AR59" i="258"/>
  <c r="AQ60" i="258"/>
  <c r="AR60" i="258"/>
  <c r="AQ61" i="258"/>
  <c r="AR61" i="258"/>
  <c r="AQ62" i="258"/>
  <c r="AR62" i="258"/>
  <c r="AQ63" i="258"/>
  <c r="AR63" i="258"/>
  <c r="AQ64" i="258"/>
  <c r="AR64" i="258"/>
  <c r="AQ65" i="258"/>
  <c r="AR65" i="258"/>
  <c r="AQ66" i="258"/>
  <c r="AR66" i="258"/>
  <c r="AQ67" i="258"/>
  <c r="AR67" i="258"/>
  <c r="AQ68" i="258"/>
  <c r="AR68" i="258"/>
  <c r="AQ69" i="258"/>
  <c r="AR69" i="258"/>
  <c r="AQ70" i="258"/>
  <c r="AR70" i="258"/>
  <c r="AQ71" i="258"/>
  <c r="AR71" i="258"/>
  <c r="AQ72" i="258"/>
  <c r="AR72" i="258"/>
  <c r="AQ73" i="258"/>
  <c r="AR73" i="258"/>
  <c r="AQ74" i="258"/>
  <c r="AR74" i="258"/>
  <c r="AQ75" i="258"/>
  <c r="AR75" i="258"/>
  <c r="AQ76" i="258"/>
  <c r="AR76" i="258"/>
  <c r="AQ77" i="258"/>
  <c r="AR77" i="258"/>
  <c r="AQ78" i="258"/>
  <c r="AR78" i="258"/>
  <c r="AQ79" i="258"/>
  <c r="AR79" i="258"/>
  <c r="AQ80" i="258"/>
  <c r="AR80" i="258"/>
  <c r="AQ81" i="258"/>
  <c r="AR81" i="258"/>
  <c r="AQ82" i="258"/>
  <c r="AR82" i="258"/>
  <c r="AQ83" i="258"/>
  <c r="AR83" i="258"/>
  <c r="AQ84" i="258"/>
  <c r="AR84" i="258"/>
  <c r="AQ85" i="258"/>
  <c r="AR85" i="258"/>
  <c r="AQ86" i="258"/>
  <c r="AR86" i="258"/>
  <c r="AQ87" i="258"/>
  <c r="AR87" i="258"/>
  <c r="AQ88" i="258"/>
  <c r="AR88" i="258"/>
  <c r="AQ89" i="258"/>
  <c r="AR89" i="258"/>
  <c r="AQ90" i="258"/>
  <c r="AR90" i="258"/>
  <c r="AQ91" i="258"/>
  <c r="AR91" i="258"/>
  <c r="AQ92" i="258"/>
  <c r="AR92" i="258"/>
  <c r="AQ93" i="258"/>
  <c r="AR93" i="258"/>
  <c r="AQ94" i="258"/>
  <c r="AR94" i="258"/>
  <c r="AQ95" i="258"/>
  <c r="AR95" i="258"/>
  <c r="AQ96" i="258"/>
  <c r="AR96" i="258"/>
  <c r="AQ97" i="258"/>
  <c r="AR97" i="258"/>
  <c r="AQ98" i="258"/>
  <c r="AR98" i="258"/>
  <c r="AQ99" i="258"/>
  <c r="AR99" i="258"/>
  <c r="AQ100" i="258"/>
  <c r="AR100" i="258"/>
  <c r="AQ101" i="258"/>
  <c r="AR101" i="258"/>
  <c r="AQ102" i="258"/>
  <c r="AR102" i="258"/>
  <c r="AQ103" i="258"/>
  <c r="AR103" i="258"/>
  <c r="AQ104" i="258"/>
  <c r="AR104" i="258"/>
  <c r="AQ105" i="258"/>
  <c r="AR105" i="258"/>
  <c r="AQ106" i="258"/>
  <c r="AR106" i="258"/>
  <c r="AQ107" i="258"/>
  <c r="AR107" i="258"/>
  <c r="AQ108" i="258"/>
  <c r="AR108" i="258"/>
  <c r="AQ109" i="258"/>
  <c r="AR109" i="258"/>
  <c r="AQ110" i="258"/>
  <c r="AR110" i="258"/>
  <c r="AQ111" i="258"/>
  <c r="AR111" i="258"/>
  <c r="AQ112" i="258"/>
  <c r="AR112" i="258"/>
  <c r="AQ113" i="258"/>
  <c r="AR113" i="258"/>
  <c r="AQ114" i="258"/>
  <c r="AR114" i="258"/>
  <c r="AQ115" i="258"/>
  <c r="AR115" i="258"/>
  <c r="AQ116" i="258"/>
  <c r="AR116" i="258"/>
  <c r="AQ117" i="258"/>
  <c r="AR117" i="258"/>
  <c r="AQ118" i="258"/>
  <c r="AR118" i="258"/>
  <c r="AQ119" i="258"/>
  <c r="AR119" i="258"/>
  <c r="AQ120" i="258"/>
  <c r="AR120" i="258"/>
  <c r="D107" i="201" l="1"/>
  <c r="C121" i="244"/>
  <c r="C123" i="244"/>
  <c r="D109" i="201"/>
  <c r="D115" i="201"/>
  <c r="C129" i="244"/>
  <c r="N108" i="201"/>
  <c r="O108" i="201" s="1"/>
  <c r="D122" i="244" s="1"/>
  <c r="D108" i="201"/>
  <c r="M108" i="201" s="1"/>
  <c r="C122" i="244"/>
  <c r="C128" i="244"/>
  <c r="N114" i="201"/>
  <c r="O114" i="201" s="1"/>
  <c r="D128" i="244" s="1"/>
  <c r="D114" i="201"/>
  <c r="M114" i="201" s="1"/>
  <c r="D111" i="201"/>
  <c r="C125" i="244"/>
  <c r="D110" i="201"/>
  <c r="C124" i="244"/>
  <c r="C126" i="244"/>
  <c r="D112" i="201"/>
  <c r="N116" i="201"/>
  <c r="O116" i="201" s="1"/>
  <c r="D130" i="244" s="1"/>
  <c r="D116" i="201"/>
  <c r="M116" i="201" s="1"/>
  <c r="C130" i="244"/>
  <c r="D113" i="201"/>
  <c r="C127" i="244"/>
  <c r="D118" i="201"/>
  <c r="C132" i="244"/>
  <c r="D117" i="201"/>
  <c r="C131" i="244"/>
  <c r="C2" i="262"/>
  <c r="C2" i="263"/>
  <c r="S123" i="244" l="1"/>
  <c r="I123" i="244" s="1"/>
  <c r="C123" i="245"/>
  <c r="E123" i="245" s="1"/>
  <c r="S123" i="245" s="1"/>
  <c r="H123" i="244"/>
  <c r="O123" i="244"/>
  <c r="N123" i="244"/>
  <c r="B123" i="244"/>
  <c r="F123" i="244"/>
  <c r="C121" i="245"/>
  <c r="E121" i="245" s="1"/>
  <c r="S121" i="245" s="1"/>
  <c r="O121" i="244"/>
  <c r="F121" i="244"/>
  <c r="H121" i="244"/>
  <c r="S121" i="244"/>
  <c r="I121" i="244" s="1"/>
  <c r="B121" i="244"/>
  <c r="N121" i="244"/>
  <c r="H132" i="244"/>
  <c r="C132" i="245"/>
  <c r="E132" i="245" s="1"/>
  <c r="S132" i="245" s="1"/>
  <c r="S132" i="244"/>
  <c r="B132" i="244"/>
  <c r="O132" i="244"/>
  <c r="N132" i="244"/>
  <c r="N130" i="244"/>
  <c r="S130" i="244"/>
  <c r="J130" i="244"/>
  <c r="O130" i="244"/>
  <c r="F130" i="244"/>
  <c r="H130" i="244"/>
  <c r="C130" i="245"/>
  <c r="E130" i="245" s="1"/>
  <c r="S130" i="245" s="1"/>
  <c r="K130" i="244"/>
  <c r="B130" i="244"/>
  <c r="I130" i="244"/>
  <c r="C126" i="245"/>
  <c r="E126" i="245" s="1"/>
  <c r="S126" i="245" s="1"/>
  <c r="B126" i="244"/>
  <c r="N126" i="244"/>
  <c r="S126" i="244"/>
  <c r="O126" i="244"/>
  <c r="H126" i="244"/>
  <c r="O125" i="244"/>
  <c r="N125" i="244"/>
  <c r="S125" i="244"/>
  <c r="B125" i="244"/>
  <c r="H125" i="244"/>
  <c r="C125" i="245"/>
  <c r="E125" i="245" s="1"/>
  <c r="S125" i="245" s="1"/>
  <c r="H128" i="244"/>
  <c r="J128" i="244"/>
  <c r="C128" i="245"/>
  <c r="E128" i="245" s="1"/>
  <c r="S128" i="245" s="1"/>
  <c r="B128" i="244"/>
  <c r="I128" i="244"/>
  <c r="O128" i="244"/>
  <c r="F128" i="244"/>
  <c r="S128" i="244"/>
  <c r="N128" i="244"/>
  <c r="K128" i="244"/>
  <c r="N131" i="244"/>
  <c r="S131" i="244"/>
  <c r="C131" i="245"/>
  <c r="E131" i="245" s="1"/>
  <c r="S131" i="245" s="1"/>
  <c r="B131" i="244"/>
  <c r="H131" i="244"/>
  <c r="O131" i="244"/>
  <c r="H127" i="244"/>
  <c r="B127" i="244"/>
  <c r="C127" i="245"/>
  <c r="E127" i="245" s="1"/>
  <c r="S127" i="245" s="1"/>
  <c r="N127" i="244"/>
  <c r="S127" i="244"/>
  <c r="O127" i="244"/>
  <c r="B124" i="244"/>
  <c r="S124" i="244"/>
  <c r="O124" i="244"/>
  <c r="N124" i="244"/>
  <c r="C124" i="245"/>
  <c r="E124" i="245" s="1"/>
  <c r="S124" i="245" s="1"/>
  <c r="H124" i="244"/>
  <c r="J122" i="244"/>
  <c r="F122" i="244"/>
  <c r="S122" i="244"/>
  <c r="I122" i="244"/>
  <c r="N122" i="244"/>
  <c r="C122" i="245"/>
  <c r="E122" i="245" s="1"/>
  <c r="S122" i="245" s="1"/>
  <c r="H122" i="244"/>
  <c r="B122" i="244"/>
  <c r="O122" i="244"/>
  <c r="K122" i="244"/>
  <c r="S129" i="244"/>
  <c r="N129" i="244"/>
  <c r="H129" i="244"/>
  <c r="C129" i="245"/>
  <c r="E129" i="245" s="1"/>
  <c r="S129" i="245" s="1"/>
  <c r="B129" i="244"/>
  <c r="O129" i="244"/>
  <c r="F6" i="258"/>
  <c r="F7" i="258"/>
  <c r="AR21" i="258"/>
  <c r="AQ21" i="258"/>
  <c r="AG120" i="258"/>
  <c r="AF120" i="258"/>
  <c r="AE120" i="258"/>
  <c r="AD120" i="258"/>
  <c r="AC120" i="258"/>
  <c r="AG119" i="258"/>
  <c r="AF119" i="258"/>
  <c r="AE119" i="258"/>
  <c r="AD119" i="258"/>
  <c r="AC119" i="258"/>
  <c r="AG118" i="258"/>
  <c r="AF118" i="258"/>
  <c r="AE118" i="258"/>
  <c r="AD118" i="258"/>
  <c r="AC118" i="258"/>
  <c r="AG117" i="258"/>
  <c r="AF117" i="258"/>
  <c r="AE117" i="258"/>
  <c r="AD117" i="258"/>
  <c r="AC117" i="258"/>
  <c r="AG116" i="258"/>
  <c r="AF116" i="258"/>
  <c r="AE116" i="258"/>
  <c r="AD116" i="258"/>
  <c r="AC116" i="258"/>
  <c r="AG115" i="258"/>
  <c r="AF115" i="258"/>
  <c r="AE115" i="258"/>
  <c r="AD115" i="258"/>
  <c r="AC115" i="258"/>
  <c r="AG114" i="258"/>
  <c r="AF114" i="258"/>
  <c r="AE114" i="258"/>
  <c r="AD114" i="258"/>
  <c r="AC114" i="258"/>
  <c r="AG113" i="258"/>
  <c r="AF113" i="258"/>
  <c r="AE113" i="258"/>
  <c r="AD113" i="258"/>
  <c r="AC113" i="258"/>
  <c r="AG112" i="258"/>
  <c r="AF112" i="258"/>
  <c r="AE112" i="258"/>
  <c r="AD112" i="258"/>
  <c r="AC112" i="258"/>
  <c r="AG111" i="258"/>
  <c r="AF111" i="258"/>
  <c r="AE111" i="258"/>
  <c r="AD111" i="258"/>
  <c r="AC111" i="258"/>
  <c r="AG110" i="258"/>
  <c r="AF110" i="258"/>
  <c r="AE110" i="258"/>
  <c r="AD110" i="258"/>
  <c r="AC110" i="258"/>
  <c r="AG109" i="258"/>
  <c r="AF109" i="258"/>
  <c r="AE109" i="258"/>
  <c r="AD109" i="258"/>
  <c r="AC109" i="258"/>
  <c r="AG108" i="258"/>
  <c r="AF108" i="258"/>
  <c r="AE108" i="258"/>
  <c r="AD108" i="258"/>
  <c r="AC108" i="258"/>
  <c r="AG107" i="258"/>
  <c r="AF107" i="258"/>
  <c r="AE107" i="258"/>
  <c r="AD107" i="258"/>
  <c r="AC107" i="258"/>
  <c r="AG106" i="258"/>
  <c r="AF106" i="258"/>
  <c r="AE106" i="258"/>
  <c r="AD106" i="258"/>
  <c r="AC106" i="258"/>
  <c r="AG105" i="258"/>
  <c r="AF105" i="258"/>
  <c r="AE105" i="258"/>
  <c r="AD105" i="258"/>
  <c r="AC105" i="258"/>
  <c r="AG104" i="258"/>
  <c r="AF104" i="258"/>
  <c r="AE104" i="258"/>
  <c r="AD104" i="258"/>
  <c r="AC104" i="258"/>
  <c r="AG103" i="258"/>
  <c r="AF103" i="258"/>
  <c r="AE103" i="258"/>
  <c r="AD103" i="258"/>
  <c r="AC103" i="258"/>
  <c r="AG97" i="258"/>
  <c r="AF97" i="258"/>
  <c r="AE97" i="258"/>
  <c r="AD97" i="258"/>
  <c r="AC97" i="258"/>
  <c r="AG96" i="258"/>
  <c r="AF96" i="258"/>
  <c r="AE96" i="258"/>
  <c r="AD96" i="258"/>
  <c r="AC96" i="258"/>
  <c r="AG95" i="258"/>
  <c r="AF95" i="258"/>
  <c r="AE95" i="258"/>
  <c r="AD95" i="258"/>
  <c r="AC95" i="258"/>
  <c r="AG94" i="258"/>
  <c r="AF94" i="258"/>
  <c r="AE94" i="258"/>
  <c r="AD94" i="258"/>
  <c r="AC94" i="258"/>
  <c r="AG93" i="258"/>
  <c r="AF93" i="258"/>
  <c r="AE93" i="258"/>
  <c r="AD93" i="258"/>
  <c r="AC93" i="258"/>
  <c r="AG92" i="258"/>
  <c r="AF92" i="258"/>
  <c r="AE92" i="258"/>
  <c r="AD92" i="258"/>
  <c r="AC92" i="258"/>
  <c r="AG91" i="258"/>
  <c r="AF91" i="258"/>
  <c r="AE91" i="258"/>
  <c r="AD91" i="258"/>
  <c r="AC91" i="258"/>
  <c r="AG90" i="258"/>
  <c r="AF90" i="258"/>
  <c r="AE90" i="258"/>
  <c r="AD90" i="258"/>
  <c r="AC90" i="258"/>
  <c r="AG89" i="258"/>
  <c r="AF89" i="258"/>
  <c r="AE89" i="258"/>
  <c r="AD89" i="258"/>
  <c r="AC89" i="258"/>
  <c r="AG88" i="258"/>
  <c r="AF88" i="258"/>
  <c r="AE88" i="258"/>
  <c r="AD88" i="258"/>
  <c r="AC88" i="258"/>
  <c r="AG87" i="258"/>
  <c r="AF87" i="258"/>
  <c r="AE87" i="258"/>
  <c r="AD87" i="258"/>
  <c r="AC87" i="258"/>
  <c r="AG86" i="258"/>
  <c r="AF86" i="258"/>
  <c r="AE86" i="258"/>
  <c r="AD86" i="258"/>
  <c r="AC86" i="258"/>
  <c r="AG85" i="258"/>
  <c r="AF85" i="258"/>
  <c r="AE85" i="258"/>
  <c r="AD85" i="258"/>
  <c r="AC85" i="258"/>
  <c r="AG84" i="258"/>
  <c r="AF84" i="258"/>
  <c r="AE84" i="258"/>
  <c r="AD84" i="258"/>
  <c r="AC84" i="258"/>
  <c r="AG83" i="258"/>
  <c r="AF83" i="258"/>
  <c r="AE83" i="258"/>
  <c r="AD83" i="258"/>
  <c r="AC83" i="258"/>
  <c r="AG82" i="258"/>
  <c r="AF82" i="258"/>
  <c r="AE82" i="258"/>
  <c r="AD82" i="258"/>
  <c r="AC82" i="258"/>
  <c r="AG81" i="258"/>
  <c r="AF81" i="258"/>
  <c r="AE81" i="258"/>
  <c r="AD81" i="258"/>
  <c r="AC81" i="258"/>
  <c r="AG80" i="258"/>
  <c r="AF80" i="258"/>
  <c r="AE80" i="258"/>
  <c r="AD80" i="258"/>
  <c r="AC80" i="258"/>
  <c r="AG79" i="258"/>
  <c r="AF79" i="258"/>
  <c r="AE79" i="258"/>
  <c r="AD79" i="258"/>
  <c r="AC79" i="258"/>
  <c r="AG78" i="258"/>
  <c r="AF78" i="258"/>
  <c r="AE78" i="258"/>
  <c r="AD78" i="258"/>
  <c r="AC78" i="258"/>
  <c r="AG77" i="258"/>
  <c r="AF77" i="258"/>
  <c r="AE77" i="258"/>
  <c r="AD77" i="258"/>
  <c r="AC77" i="258"/>
  <c r="AG76" i="258"/>
  <c r="AF76" i="258"/>
  <c r="AE76" i="258"/>
  <c r="AD76" i="258"/>
  <c r="AC76" i="258"/>
  <c r="AG75" i="258"/>
  <c r="AF75" i="258"/>
  <c r="AE75" i="258"/>
  <c r="AD75" i="258"/>
  <c r="AC75" i="258"/>
  <c r="AG74" i="258"/>
  <c r="AF74" i="258"/>
  <c r="AE74" i="258"/>
  <c r="AD74" i="258"/>
  <c r="AC74" i="258"/>
  <c r="AG73" i="258"/>
  <c r="AF73" i="258"/>
  <c r="AE73" i="258"/>
  <c r="AD73" i="258"/>
  <c r="AC73" i="258"/>
  <c r="AG72" i="258"/>
  <c r="AF72" i="258"/>
  <c r="AE72" i="258"/>
  <c r="AD72" i="258"/>
  <c r="AC72" i="258"/>
  <c r="AG71" i="258"/>
  <c r="AF71" i="258"/>
  <c r="AE71" i="258"/>
  <c r="AD71" i="258"/>
  <c r="AC71" i="258"/>
  <c r="AG70" i="258"/>
  <c r="AF70" i="258"/>
  <c r="AE70" i="258"/>
  <c r="AD70" i="258"/>
  <c r="AC70" i="258"/>
  <c r="AG69" i="258"/>
  <c r="AF69" i="258"/>
  <c r="AE69" i="258"/>
  <c r="AD69" i="258"/>
  <c r="AC69" i="258"/>
  <c r="AG68" i="258"/>
  <c r="AF68" i="258"/>
  <c r="AE68" i="258"/>
  <c r="AD68" i="258"/>
  <c r="AC68" i="258"/>
  <c r="AG67" i="258"/>
  <c r="AF67" i="258"/>
  <c r="AE67" i="258"/>
  <c r="AD67" i="258"/>
  <c r="AC67" i="258"/>
  <c r="AG66" i="258"/>
  <c r="AF66" i="258"/>
  <c r="AE66" i="258"/>
  <c r="AD66" i="258"/>
  <c r="AC66" i="258"/>
  <c r="AG65" i="258"/>
  <c r="AF65" i="258"/>
  <c r="AE65" i="258"/>
  <c r="AD65" i="258"/>
  <c r="AC65" i="258"/>
  <c r="AG64" i="258"/>
  <c r="AF64" i="258"/>
  <c r="AE64" i="258"/>
  <c r="AD64" i="258"/>
  <c r="AC64" i="258"/>
  <c r="AG63" i="258"/>
  <c r="AF63" i="258"/>
  <c r="AE63" i="258"/>
  <c r="AD63" i="258"/>
  <c r="AC63" i="258"/>
  <c r="AG62" i="258"/>
  <c r="AF62" i="258"/>
  <c r="AE62" i="258"/>
  <c r="AD62" i="258"/>
  <c r="AC62" i="258"/>
  <c r="AG61" i="258"/>
  <c r="AF61" i="258"/>
  <c r="AE61" i="258"/>
  <c r="AD61" i="258"/>
  <c r="AC61" i="258"/>
  <c r="AG60" i="258"/>
  <c r="AF60" i="258"/>
  <c r="AE60" i="258"/>
  <c r="AD60" i="258"/>
  <c r="AC60" i="258"/>
  <c r="AG59" i="258"/>
  <c r="AF59" i="258"/>
  <c r="AE59" i="258"/>
  <c r="AD59" i="258"/>
  <c r="AC59" i="258"/>
  <c r="AG58" i="258"/>
  <c r="AF58" i="258"/>
  <c r="AE58" i="258"/>
  <c r="AD58" i="258"/>
  <c r="AC58" i="258"/>
  <c r="AG57" i="258"/>
  <c r="AF57" i="258"/>
  <c r="AE57" i="258"/>
  <c r="AD57" i="258"/>
  <c r="AC57" i="258"/>
  <c r="AG56" i="258"/>
  <c r="AF56" i="258"/>
  <c r="AE56" i="258"/>
  <c r="AD56" i="258"/>
  <c r="AC56" i="258"/>
  <c r="AG55" i="258"/>
  <c r="AF55" i="258"/>
  <c r="AE55" i="258"/>
  <c r="AD55" i="258"/>
  <c r="AC55" i="258"/>
  <c r="AG54" i="258"/>
  <c r="AF54" i="258"/>
  <c r="AE54" i="258"/>
  <c r="AD54" i="258"/>
  <c r="AC54" i="258"/>
  <c r="AG53" i="258"/>
  <c r="AF53" i="258"/>
  <c r="AE53" i="258"/>
  <c r="AD53" i="258"/>
  <c r="AC53" i="258"/>
  <c r="AG52" i="258"/>
  <c r="AF52" i="258"/>
  <c r="AE52" i="258"/>
  <c r="AD52" i="258"/>
  <c r="AC52" i="258"/>
  <c r="AG51" i="258"/>
  <c r="AF51" i="258"/>
  <c r="AE51" i="258"/>
  <c r="AD51" i="258"/>
  <c r="AC51" i="258"/>
  <c r="AG50" i="258"/>
  <c r="AF50" i="258"/>
  <c r="AE50" i="258"/>
  <c r="AD50" i="258"/>
  <c r="AC50" i="258"/>
  <c r="AG49" i="258"/>
  <c r="AF49" i="258"/>
  <c r="AE49" i="258"/>
  <c r="AD49" i="258"/>
  <c r="AC49" i="258"/>
  <c r="AG48" i="258"/>
  <c r="AF48" i="258"/>
  <c r="AE48" i="258"/>
  <c r="AD48" i="258"/>
  <c r="AC48" i="258"/>
  <c r="AG47" i="258"/>
  <c r="AF47" i="258"/>
  <c r="AE47" i="258"/>
  <c r="AD47" i="258"/>
  <c r="AC47" i="258"/>
  <c r="AG46" i="258"/>
  <c r="AF46" i="258"/>
  <c r="AE46" i="258"/>
  <c r="AD46" i="258"/>
  <c r="AC46" i="258"/>
  <c r="AG45" i="258"/>
  <c r="AF45" i="258"/>
  <c r="AE45" i="258"/>
  <c r="AD45" i="258"/>
  <c r="AC45" i="258"/>
  <c r="AG44" i="258"/>
  <c r="AF44" i="258"/>
  <c r="AE44" i="258"/>
  <c r="AD44" i="258"/>
  <c r="AC44" i="258"/>
  <c r="AG43" i="258"/>
  <c r="AF43" i="258"/>
  <c r="AE43" i="258"/>
  <c r="AD43" i="258"/>
  <c r="AC43" i="258"/>
  <c r="AG42" i="258"/>
  <c r="AF42" i="258"/>
  <c r="AE42" i="258"/>
  <c r="AD42" i="258"/>
  <c r="AC42" i="258"/>
  <c r="AG41" i="258"/>
  <c r="AF41" i="258"/>
  <c r="AE41" i="258"/>
  <c r="AD41" i="258"/>
  <c r="AC41" i="258"/>
  <c r="AG40" i="258"/>
  <c r="AF40" i="258"/>
  <c r="AE40" i="258"/>
  <c r="AD40" i="258"/>
  <c r="AC40" i="258"/>
  <c r="AG39" i="258"/>
  <c r="AF39" i="258"/>
  <c r="AE39" i="258"/>
  <c r="AD39" i="258"/>
  <c r="AC39" i="258"/>
  <c r="AG38" i="258"/>
  <c r="AF38" i="258"/>
  <c r="AE38" i="258"/>
  <c r="AD38" i="258"/>
  <c r="AC38" i="258"/>
  <c r="AG37" i="258"/>
  <c r="AF37" i="258"/>
  <c r="AE37" i="258"/>
  <c r="AD37" i="258"/>
  <c r="AC37" i="258"/>
  <c r="AG36" i="258"/>
  <c r="AF36" i="258"/>
  <c r="AE36" i="258"/>
  <c r="AD36" i="258"/>
  <c r="AC36" i="258"/>
  <c r="AG35" i="258"/>
  <c r="AF35" i="258"/>
  <c r="AE35" i="258"/>
  <c r="AD35" i="258"/>
  <c r="AC35" i="258"/>
  <c r="AG34" i="258"/>
  <c r="AF34" i="258"/>
  <c r="AE34" i="258"/>
  <c r="AD34" i="258"/>
  <c r="AC34" i="258"/>
  <c r="AG33" i="258"/>
  <c r="AF33" i="258"/>
  <c r="AE33" i="258"/>
  <c r="AD33" i="258"/>
  <c r="AC33" i="258"/>
  <c r="AG32" i="258"/>
  <c r="AF32" i="258"/>
  <c r="AE32" i="258"/>
  <c r="AD32" i="258"/>
  <c r="AC32" i="258"/>
  <c r="AG31" i="258"/>
  <c r="AF31" i="258"/>
  <c r="AE31" i="258"/>
  <c r="AD31" i="258"/>
  <c r="AC31" i="258"/>
  <c r="AG30" i="258"/>
  <c r="AF30" i="258"/>
  <c r="AE30" i="258"/>
  <c r="AD30" i="258"/>
  <c r="AC30" i="258"/>
  <c r="AG29" i="258"/>
  <c r="AF29" i="258"/>
  <c r="AE29" i="258"/>
  <c r="AD29" i="258"/>
  <c r="AC29" i="258"/>
  <c r="AG28" i="258"/>
  <c r="AF28" i="258"/>
  <c r="AE28" i="258"/>
  <c r="AD28" i="258"/>
  <c r="AC28" i="258"/>
  <c r="AG27" i="258"/>
  <c r="AF27" i="258"/>
  <c r="AE27" i="258"/>
  <c r="AD27" i="258"/>
  <c r="AC27" i="258"/>
  <c r="AG26" i="258"/>
  <c r="AF26" i="258"/>
  <c r="AE26" i="258"/>
  <c r="AD26" i="258"/>
  <c r="AC26" i="258"/>
  <c r="AG25" i="258"/>
  <c r="AF25" i="258"/>
  <c r="AE25" i="258"/>
  <c r="AD25" i="258"/>
  <c r="AC25" i="258"/>
  <c r="AG24" i="258"/>
  <c r="AF24" i="258"/>
  <c r="AE24" i="258"/>
  <c r="AD24" i="258"/>
  <c r="AC24" i="258"/>
  <c r="AG23" i="258"/>
  <c r="AF23" i="258"/>
  <c r="AE23" i="258"/>
  <c r="AD23" i="258"/>
  <c r="AC23" i="258"/>
  <c r="AG22" i="258"/>
  <c r="AF22" i="258"/>
  <c r="AE22" i="258"/>
  <c r="AD22" i="258"/>
  <c r="AC22" i="258"/>
  <c r="A22" i="258"/>
  <c r="AG21" i="258"/>
  <c r="AF21" i="258"/>
  <c r="AE21" i="258"/>
  <c r="AD21" i="258"/>
  <c r="AC21" i="258"/>
  <c r="L2" i="258"/>
  <c r="K2" i="258"/>
  <c r="K1" i="258"/>
  <c r="Q123" i="245" l="1"/>
  <c r="B123" i="245"/>
  <c r="C123" i="246"/>
  <c r="P123" i="245"/>
  <c r="P121" i="245"/>
  <c r="Q121" i="245"/>
  <c r="C121" i="246"/>
  <c r="B121" i="245"/>
  <c r="P124" i="245"/>
  <c r="Q124" i="245"/>
  <c r="Q125" i="245"/>
  <c r="P125" i="245"/>
  <c r="P122" i="245"/>
  <c r="U122" i="245"/>
  <c r="J122" i="245"/>
  <c r="Q122" i="245"/>
  <c r="K122" i="245"/>
  <c r="D122" i="246" s="1"/>
  <c r="G122" i="245"/>
  <c r="E122" i="246" s="1"/>
  <c r="L122" i="245"/>
  <c r="Q127" i="245"/>
  <c r="P127" i="245"/>
  <c r="L128" i="245"/>
  <c r="Q128" i="245"/>
  <c r="J128" i="245"/>
  <c r="U128" i="245"/>
  <c r="K128" i="245"/>
  <c r="D128" i="246" s="1"/>
  <c r="P128" i="245"/>
  <c r="G128" i="245"/>
  <c r="E128" i="246" s="1"/>
  <c r="P132" i="245"/>
  <c r="Q132" i="245"/>
  <c r="P129" i="245"/>
  <c r="Q129" i="245"/>
  <c r="P131" i="245"/>
  <c r="Q131" i="245"/>
  <c r="Q126" i="245"/>
  <c r="P126" i="245"/>
  <c r="Q130" i="245"/>
  <c r="J130" i="245"/>
  <c r="U130" i="245"/>
  <c r="K130" i="245"/>
  <c r="D130" i="246" s="1"/>
  <c r="P130" i="245"/>
  <c r="G130" i="245"/>
  <c r="E130" i="246" s="1"/>
  <c r="L130" i="245"/>
  <c r="C124" i="246"/>
  <c r="B124" i="245"/>
  <c r="C125" i="246"/>
  <c r="B125" i="245"/>
  <c r="D122" i="245"/>
  <c r="R122" i="245" s="1"/>
  <c r="C122" i="246"/>
  <c r="B122" i="245"/>
  <c r="B127" i="245"/>
  <c r="C127" i="246"/>
  <c r="B128" i="245"/>
  <c r="C128" i="246"/>
  <c r="D128" i="245"/>
  <c r="R128" i="245" s="1"/>
  <c r="C132" i="246"/>
  <c r="B132" i="245"/>
  <c r="B129" i="245"/>
  <c r="C129" i="246"/>
  <c r="B131" i="245"/>
  <c r="C131" i="246"/>
  <c r="B126" i="245"/>
  <c r="C126" i="246"/>
  <c r="C130" i="246"/>
  <c r="B130" i="245"/>
  <c r="D130" i="245"/>
  <c r="R130" i="245" s="1"/>
  <c r="AB117" i="258"/>
  <c r="AB114" i="258"/>
  <c r="AB119" i="258"/>
  <c r="AB116" i="258"/>
  <c r="AT20" i="258" a="1"/>
  <c r="AT20" i="258" s="1"/>
  <c r="A23" i="258"/>
  <c r="B10" i="190"/>
  <c r="A10" i="189" s="1"/>
  <c r="A14" i="242" s="1"/>
  <c r="A10" i="237" s="1"/>
  <c r="A14" i="239" s="1"/>
  <c r="AK120" i="258"/>
  <c r="AK55" i="258"/>
  <c r="AK59" i="258"/>
  <c r="AK63" i="258"/>
  <c r="AK67" i="258"/>
  <c r="AK71" i="258"/>
  <c r="AK75" i="258"/>
  <c r="AK21" i="258"/>
  <c r="AK79" i="258"/>
  <c r="AK83" i="258"/>
  <c r="AK87" i="258"/>
  <c r="AK91" i="258"/>
  <c r="AK95" i="258"/>
  <c r="AK99" i="258"/>
  <c r="AK103" i="258"/>
  <c r="AK37" i="258"/>
  <c r="AK39" i="258"/>
  <c r="AK41" i="258"/>
  <c r="AK43" i="258"/>
  <c r="AK47" i="258"/>
  <c r="AK51" i="258"/>
  <c r="AK107" i="258"/>
  <c r="AK111" i="258"/>
  <c r="AK115" i="258"/>
  <c r="AK119" i="258"/>
  <c r="AA119" i="258" s="1"/>
  <c r="C107" i="190" s="1"/>
  <c r="AK25" i="258"/>
  <c r="AK29" i="258"/>
  <c r="AK33" i="258"/>
  <c r="AK28" i="258"/>
  <c r="AK30" i="258"/>
  <c r="AK32" i="258"/>
  <c r="AK34" i="258"/>
  <c r="AK36" i="258"/>
  <c r="AK44" i="258"/>
  <c r="AK46" i="258"/>
  <c r="AK48" i="258"/>
  <c r="AK50" i="258"/>
  <c r="AK52" i="258"/>
  <c r="AK54" i="258"/>
  <c r="AK56" i="258"/>
  <c r="AK58" i="258"/>
  <c r="AK60" i="258"/>
  <c r="AK62" i="258"/>
  <c r="AK64" i="258"/>
  <c r="AK66" i="258"/>
  <c r="AK68" i="258"/>
  <c r="AK70" i="258"/>
  <c r="AK72" i="258"/>
  <c r="AK74" i="258"/>
  <c r="AK76" i="258"/>
  <c r="AK78" i="258"/>
  <c r="AK80" i="258"/>
  <c r="AK82" i="258"/>
  <c r="AK84" i="258"/>
  <c r="AK86" i="258"/>
  <c r="AK88" i="258"/>
  <c r="AK90" i="258"/>
  <c r="AK92" i="258"/>
  <c r="AK94" i="258"/>
  <c r="AK96" i="258"/>
  <c r="AK98" i="258"/>
  <c r="AK100" i="258"/>
  <c r="AK102" i="258"/>
  <c r="AK104" i="258"/>
  <c r="AK106" i="258"/>
  <c r="AK108" i="258"/>
  <c r="AK110" i="258"/>
  <c r="AK112" i="258"/>
  <c r="AK114" i="258"/>
  <c r="AA114" i="258" s="1"/>
  <c r="C102" i="190" s="1"/>
  <c r="AK116" i="258"/>
  <c r="AA116" i="258" s="1"/>
  <c r="C104" i="190" s="1"/>
  <c r="F104" i="190" s="1"/>
  <c r="AK118" i="258"/>
  <c r="AK24" i="258"/>
  <c r="AK26" i="258"/>
  <c r="AK23" i="258"/>
  <c r="AK27" i="258"/>
  <c r="AK31" i="258"/>
  <c r="AK35" i="258"/>
  <c r="AK38" i="258"/>
  <c r="AK40" i="258"/>
  <c r="AK45" i="258"/>
  <c r="AK49" i="258"/>
  <c r="AK53" i="258"/>
  <c r="AK57" i="258"/>
  <c r="AK61" i="258"/>
  <c r="AK65" i="258"/>
  <c r="AK69" i="258"/>
  <c r="AK73" i="258"/>
  <c r="AK77" i="258"/>
  <c r="AK81" i="258"/>
  <c r="AK85" i="258"/>
  <c r="AK89" i="258"/>
  <c r="AK93" i="258"/>
  <c r="AK97" i="258"/>
  <c r="AK101" i="258"/>
  <c r="AK105" i="258"/>
  <c r="AK109" i="258"/>
  <c r="AK113" i="258"/>
  <c r="AK117" i="258"/>
  <c r="AA117" i="258" s="1"/>
  <c r="C105" i="190" s="1"/>
  <c r="F105" i="190" s="1"/>
  <c r="AM20" i="258" a="1"/>
  <c r="AO20" i="258" s="1"/>
  <c r="AK42" i="258"/>
  <c r="AK22" i="258"/>
  <c r="E2" i="257"/>
  <c r="D2" i="257"/>
  <c r="E1" i="257"/>
  <c r="D1" i="257"/>
  <c r="D2" i="256"/>
  <c r="C2" i="256"/>
  <c r="D1" i="256"/>
  <c r="C1" i="256"/>
  <c r="C20" i="256"/>
  <c r="C20" i="257" s="1"/>
  <c r="B18" i="255"/>
  <c r="C2" i="255"/>
  <c r="B2" i="255"/>
  <c r="C1" i="255"/>
  <c r="B1" i="255"/>
  <c r="B18" i="252"/>
  <c r="C2" i="252"/>
  <c r="B2" i="252"/>
  <c r="C1" i="252"/>
  <c r="B1" i="252"/>
  <c r="E2" i="251"/>
  <c r="E1" i="251"/>
  <c r="R120" i="249"/>
  <c r="Q120" i="249"/>
  <c r="R119" i="249"/>
  <c r="Q119" i="249"/>
  <c r="R118" i="249"/>
  <c r="Q118" i="249"/>
  <c r="R117" i="249"/>
  <c r="Q117" i="249"/>
  <c r="R116" i="249"/>
  <c r="Q116" i="249"/>
  <c r="R115" i="249"/>
  <c r="Q115" i="249"/>
  <c r="R114" i="249"/>
  <c r="Q114" i="249"/>
  <c r="R113" i="249"/>
  <c r="Q113" i="249"/>
  <c r="R112" i="249"/>
  <c r="Q112" i="249"/>
  <c r="R111" i="249"/>
  <c r="Q111" i="249"/>
  <c r="R110" i="249"/>
  <c r="Q110" i="249"/>
  <c r="R109" i="249"/>
  <c r="Q109" i="249"/>
  <c r="R108" i="249"/>
  <c r="Q108" i="249"/>
  <c r="R107" i="249"/>
  <c r="Q107" i="249"/>
  <c r="R106" i="249"/>
  <c r="Q106" i="249"/>
  <c r="R105" i="249"/>
  <c r="Q105" i="249"/>
  <c r="R104" i="249"/>
  <c r="Q104" i="249"/>
  <c r="R103" i="249"/>
  <c r="Q103" i="249"/>
  <c r="R102" i="249"/>
  <c r="Q102" i="249"/>
  <c r="R101" i="249"/>
  <c r="Q101" i="249"/>
  <c r="R100" i="249"/>
  <c r="Q100" i="249"/>
  <c r="R99" i="249"/>
  <c r="Q99" i="249"/>
  <c r="R98" i="249"/>
  <c r="Q98" i="249"/>
  <c r="R97" i="249"/>
  <c r="Q97" i="249"/>
  <c r="R96" i="249"/>
  <c r="Q96" i="249"/>
  <c r="R95" i="249"/>
  <c r="Q95" i="249"/>
  <c r="R94" i="249"/>
  <c r="Q94" i="249"/>
  <c r="R93" i="249"/>
  <c r="Q93" i="249"/>
  <c r="R92" i="249"/>
  <c r="Q92" i="249"/>
  <c r="R91" i="249"/>
  <c r="Q91" i="249"/>
  <c r="R90" i="249"/>
  <c r="Q90" i="249"/>
  <c r="R89" i="249"/>
  <c r="Q89" i="249"/>
  <c r="R88" i="249"/>
  <c r="Q88" i="249"/>
  <c r="R87" i="249"/>
  <c r="Q87" i="249"/>
  <c r="R86" i="249"/>
  <c r="Q86" i="249"/>
  <c r="R85" i="249"/>
  <c r="Q85" i="249"/>
  <c r="R84" i="249"/>
  <c r="Q84" i="249"/>
  <c r="R83" i="249"/>
  <c r="Q83" i="249"/>
  <c r="R82" i="249"/>
  <c r="Q82" i="249"/>
  <c r="R81" i="249"/>
  <c r="Q81" i="249"/>
  <c r="R80" i="249"/>
  <c r="Q80" i="249"/>
  <c r="R79" i="249"/>
  <c r="Q79" i="249"/>
  <c r="R78" i="249"/>
  <c r="Q78" i="249"/>
  <c r="R77" i="249"/>
  <c r="Q77" i="249"/>
  <c r="R76" i="249"/>
  <c r="Q76" i="249"/>
  <c r="R75" i="249"/>
  <c r="Q75" i="249"/>
  <c r="R74" i="249"/>
  <c r="Q74" i="249"/>
  <c r="R73" i="249"/>
  <c r="Q73" i="249"/>
  <c r="R72" i="249"/>
  <c r="Q72" i="249"/>
  <c r="R71" i="249"/>
  <c r="Q71" i="249"/>
  <c r="R70" i="249"/>
  <c r="Q70" i="249"/>
  <c r="R69" i="249"/>
  <c r="Q69" i="249"/>
  <c r="R68" i="249"/>
  <c r="Q68" i="249"/>
  <c r="R67" i="249"/>
  <c r="Q67" i="249"/>
  <c r="R66" i="249"/>
  <c r="Q66" i="249"/>
  <c r="R65" i="249"/>
  <c r="Q65" i="249"/>
  <c r="R64" i="249"/>
  <c r="Q64" i="249"/>
  <c r="R63" i="249"/>
  <c r="Q63" i="249"/>
  <c r="R62" i="249"/>
  <c r="Q62" i="249"/>
  <c r="R61" i="249"/>
  <c r="Q61" i="249"/>
  <c r="R60" i="249"/>
  <c r="Q60" i="249"/>
  <c r="R59" i="249"/>
  <c r="Q59" i="249"/>
  <c r="R58" i="249"/>
  <c r="Q58" i="249"/>
  <c r="R57" i="249"/>
  <c r="Q57" i="249"/>
  <c r="R56" i="249"/>
  <c r="Q56" i="249"/>
  <c r="R55" i="249"/>
  <c r="Q55" i="249"/>
  <c r="R54" i="249"/>
  <c r="Q54" i="249"/>
  <c r="R53" i="249"/>
  <c r="Q53" i="249"/>
  <c r="R52" i="249"/>
  <c r="Q52" i="249"/>
  <c r="R51" i="249"/>
  <c r="Q51" i="249"/>
  <c r="R50" i="249"/>
  <c r="Q50" i="249"/>
  <c r="R49" i="249"/>
  <c r="Q49" i="249"/>
  <c r="R48" i="249"/>
  <c r="Q48" i="249"/>
  <c r="R47" i="249"/>
  <c r="Q47" i="249"/>
  <c r="R46" i="249"/>
  <c r="Q46" i="249"/>
  <c r="R45" i="249"/>
  <c r="Q45" i="249"/>
  <c r="R44" i="249"/>
  <c r="Q44" i="249"/>
  <c r="R43" i="249"/>
  <c r="Q43" i="249"/>
  <c r="R42" i="249"/>
  <c r="Q42" i="249"/>
  <c r="R41" i="249"/>
  <c r="Q41" i="249"/>
  <c r="R40" i="249"/>
  <c r="Q40" i="249"/>
  <c r="R39" i="249"/>
  <c r="Q39" i="249"/>
  <c r="R38" i="249"/>
  <c r="Q38" i="249"/>
  <c r="R37" i="249"/>
  <c r="Q37" i="249"/>
  <c r="R36" i="249"/>
  <c r="Q36" i="249"/>
  <c r="R35" i="249"/>
  <c r="Q35" i="249"/>
  <c r="R34" i="249"/>
  <c r="Q34" i="249"/>
  <c r="R33" i="249"/>
  <c r="Q33" i="249"/>
  <c r="R32" i="249"/>
  <c r="Q32" i="249"/>
  <c r="R31" i="249"/>
  <c r="Q31" i="249"/>
  <c r="R30" i="249"/>
  <c r="Q30" i="249"/>
  <c r="R29" i="249"/>
  <c r="Q29" i="249"/>
  <c r="R28" i="249"/>
  <c r="Q28" i="249"/>
  <c r="R27" i="249"/>
  <c r="Q27" i="249"/>
  <c r="R26" i="249"/>
  <c r="Q26" i="249"/>
  <c r="R25" i="249"/>
  <c r="Q25" i="249"/>
  <c r="R24" i="249"/>
  <c r="Q24" i="249"/>
  <c r="R23" i="249"/>
  <c r="Q23" i="249"/>
  <c r="R22" i="249"/>
  <c r="Q22" i="249"/>
  <c r="R21" i="249"/>
  <c r="Q21" i="249"/>
  <c r="C7" i="249"/>
  <c r="D6" i="249"/>
  <c r="C6" i="249"/>
  <c r="D5" i="249"/>
  <c r="C5" i="249"/>
  <c r="C4" i="249"/>
  <c r="C2" i="249"/>
  <c r="B2" i="249"/>
  <c r="C1" i="249"/>
  <c r="B1" i="249"/>
  <c r="AD120" i="248"/>
  <c r="AC120" i="248"/>
  <c r="AB120" i="248"/>
  <c r="AA120" i="248"/>
  <c r="Z120" i="248"/>
  <c r="AD119" i="248"/>
  <c r="AC119" i="248"/>
  <c r="AB119" i="248"/>
  <c r="AA119" i="248"/>
  <c r="Z119" i="248"/>
  <c r="AD118" i="248"/>
  <c r="AC118" i="248"/>
  <c r="AB118" i="248"/>
  <c r="AA118" i="248"/>
  <c r="Z118" i="248"/>
  <c r="AD117" i="248"/>
  <c r="AC117" i="248"/>
  <c r="AB117" i="248"/>
  <c r="AA117" i="248"/>
  <c r="Z117" i="248"/>
  <c r="AD116" i="248"/>
  <c r="AC116" i="248"/>
  <c r="AB116" i="248"/>
  <c r="AA116" i="248"/>
  <c r="Z116" i="248"/>
  <c r="AD115" i="248"/>
  <c r="AC115" i="248"/>
  <c r="AB115" i="248"/>
  <c r="AA115" i="248"/>
  <c r="Z115" i="248"/>
  <c r="AD114" i="248"/>
  <c r="AC114" i="248"/>
  <c r="AB114" i="248"/>
  <c r="AA114" i="248"/>
  <c r="Z114" i="248"/>
  <c r="AD113" i="248"/>
  <c r="AC113" i="248"/>
  <c r="AB113" i="248"/>
  <c r="AA113" i="248"/>
  <c r="Z113" i="248"/>
  <c r="AD112" i="248"/>
  <c r="AC112" i="248"/>
  <c r="AB112" i="248"/>
  <c r="AA112" i="248"/>
  <c r="Z112" i="248"/>
  <c r="AD111" i="248"/>
  <c r="AC111" i="248"/>
  <c r="AB111" i="248"/>
  <c r="AA111" i="248"/>
  <c r="Z111" i="248"/>
  <c r="AD110" i="248"/>
  <c r="AC110" i="248"/>
  <c r="AB110" i="248"/>
  <c r="AA110" i="248"/>
  <c r="Z110" i="248"/>
  <c r="AD109" i="248"/>
  <c r="AC109" i="248"/>
  <c r="AB109" i="248"/>
  <c r="AA109" i="248"/>
  <c r="Z109" i="248"/>
  <c r="AD108" i="248"/>
  <c r="AC108" i="248"/>
  <c r="AB108" i="248"/>
  <c r="AA108" i="248"/>
  <c r="Z108" i="248"/>
  <c r="AD107" i="248"/>
  <c r="AC107" i="248"/>
  <c r="AB107" i="248"/>
  <c r="AA107" i="248"/>
  <c r="Z107" i="248"/>
  <c r="AD106" i="248"/>
  <c r="AC106" i="248"/>
  <c r="AB106" i="248"/>
  <c r="AA106" i="248"/>
  <c r="Z106" i="248"/>
  <c r="AD105" i="248"/>
  <c r="AC105" i="248"/>
  <c r="AB105" i="248"/>
  <c r="AA105" i="248"/>
  <c r="Z105" i="248"/>
  <c r="AD104" i="248"/>
  <c r="AC104" i="248"/>
  <c r="AB104" i="248"/>
  <c r="AA104" i="248"/>
  <c r="Z104" i="248"/>
  <c r="AD103" i="248"/>
  <c r="AC103" i="248"/>
  <c r="AB103" i="248"/>
  <c r="AA103" i="248"/>
  <c r="Z103" i="248"/>
  <c r="AD102" i="248"/>
  <c r="AC102" i="248"/>
  <c r="AB102" i="248"/>
  <c r="AA102" i="248"/>
  <c r="Z102" i="248"/>
  <c r="AD101" i="248"/>
  <c r="AC101" i="248"/>
  <c r="AB101" i="248"/>
  <c r="AA101" i="248"/>
  <c r="Z101" i="248"/>
  <c r="AD100" i="248"/>
  <c r="AC100" i="248"/>
  <c r="AB100" i="248"/>
  <c r="AA100" i="248"/>
  <c r="Z100" i="248"/>
  <c r="AD99" i="248"/>
  <c r="AC99" i="248"/>
  <c r="AB99" i="248"/>
  <c r="AA99" i="248"/>
  <c r="Z99" i="248"/>
  <c r="AD98" i="248"/>
  <c r="AC98" i="248"/>
  <c r="AB98" i="248"/>
  <c r="AA98" i="248"/>
  <c r="Z98" i="248"/>
  <c r="AD97" i="248"/>
  <c r="AC97" i="248"/>
  <c r="AB97" i="248"/>
  <c r="AA97" i="248"/>
  <c r="Z97" i="248"/>
  <c r="AD96" i="248"/>
  <c r="AC96" i="248"/>
  <c r="AB96" i="248"/>
  <c r="AA96" i="248"/>
  <c r="Z96" i="248"/>
  <c r="AD95" i="248"/>
  <c r="AC95" i="248"/>
  <c r="AB95" i="248"/>
  <c r="AA95" i="248"/>
  <c r="Z95" i="248"/>
  <c r="AD94" i="248"/>
  <c r="AC94" i="248"/>
  <c r="AB94" i="248"/>
  <c r="AA94" i="248"/>
  <c r="Z94" i="248"/>
  <c r="AD93" i="248"/>
  <c r="AC93" i="248"/>
  <c r="AB93" i="248"/>
  <c r="AA93" i="248"/>
  <c r="Z93" i="248"/>
  <c r="AD92" i="248"/>
  <c r="AC92" i="248"/>
  <c r="AB92" i="248"/>
  <c r="AA92" i="248"/>
  <c r="Z92" i="248"/>
  <c r="AD91" i="248"/>
  <c r="AC91" i="248"/>
  <c r="AB91" i="248"/>
  <c r="AA91" i="248"/>
  <c r="Z91" i="248"/>
  <c r="AD90" i="248"/>
  <c r="AC90" i="248"/>
  <c r="AB90" i="248"/>
  <c r="AA90" i="248"/>
  <c r="Z90" i="248"/>
  <c r="AD89" i="248"/>
  <c r="AC89" i="248"/>
  <c r="AB89" i="248"/>
  <c r="AA89" i="248"/>
  <c r="Z89" i="248"/>
  <c r="AD88" i="248"/>
  <c r="AC88" i="248"/>
  <c r="AB88" i="248"/>
  <c r="AA88" i="248"/>
  <c r="Z88" i="248"/>
  <c r="AD87" i="248"/>
  <c r="AC87" i="248"/>
  <c r="AB87" i="248"/>
  <c r="AA87" i="248"/>
  <c r="Z87" i="248"/>
  <c r="AD86" i="248"/>
  <c r="AC86" i="248"/>
  <c r="AB86" i="248"/>
  <c r="AA86" i="248"/>
  <c r="Z86" i="248"/>
  <c r="AD85" i="248"/>
  <c r="AC85" i="248"/>
  <c r="AB85" i="248"/>
  <c r="AA85" i="248"/>
  <c r="Z85" i="248"/>
  <c r="AD84" i="248"/>
  <c r="AC84" i="248"/>
  <c r="AB84" i="248"/>
  <c r="AA84" i="248"/>
  <c r="Z84" i="248"/>
  <c r="AD83" i="248"/>
  <c r="AC83" i="248"/>
  <c r="AB83" i="248"/>
  <c r="AA83" i="248"/>
  <c r="Z83" i="248"/>
  <c r="AD82" i="248"/>
  <c r="AC82" i="248"/>
  <c r="AB82" i="248"/>
  <c r="AA82" i="248"/>
  <c r="Z82" i="248"/>
  <c r="AD81" i="248"/>
  <c r="AC81" i="248"/>
  <c r="AB81" i="248"/>
  <c r="AA81" i="248"/>
  <c r="Z81" i="248"/>
  <c r="AD80" i="248"/>
  <c r="AC80" i="248"/>
  <c r="AB80" i="248"/>
  <c r="AA80" i="248"/>
  <c r="Z80" i="248"/>
  <c r="AD79" i="248"/>
  <c r="AC79" i="248"/>
  <c r="AB79" i="248"/>
  <c r="AA79" i="248"/>
  <c r="Z79" i="248"/>
  <c r="AD78" i="248"/>
  <c r="AC78" i="248"/>
  <c r="AB78" i="248"/>
  <c r="AA78" i="248"/>
  <c r="Z78" i="248"/>
  <c r="AD77" i="248"/>
  <c r="AC77" i="248"/>
  <c r="AB77" i="248"/>
  <c r="AA77" i="248"/>
  <c r="Z77" i="248"/>
  <c r="AD76" i="248"/>
  <c r="AC76" i="248"/>
  <c r="AB76" i="248"/>
  <c r="AA76" i="248"/>
  <c r="Z76" i="248"/>
  <c r="AD75" i="248"/>
  <c r="AC75" i="248"/>
  <c r="AB75" i="248"/>
  <c r="AA75" i="248"/>
  <c r="Z75" i="248"/>
  <c r="AD74" i="248"/>
  <c r="AC74" i="248"/>
  <c r="AB74" i="248"/>
  <c r="AA74" i="248"/>
  <c r="Z74" i="248"/>
  <c r="AD73" i="248"/>
  <c r="AC73" i="248"/>
  <c r="AB73" i="248"/>
  <c r="AA73" i="248"/>
  <c r="Z73" i="248"/>
  <c r="AD72" i="248"/>
  <c r="AC72" i="248"/>
  <c r="AB72" i="248"/>
  <c r="AA72" i="248"/>
  <c r="Z72" i="248"/>
  <c r="AD71" i="248"/>
  <c r="AC71" i="248"/>
  <c r="AB71" i="248"/>
  <c r="AA71" i="248"/>
  <c r="Z71" i="248"/>
  <c r="AD70" i="248"/>
  <c r="AC70" i="248"/>
  <c r="AB70" i="248"/>
  <c r="AA70" i="248"/>
  <c r="Z70" i="248"/>
  <c r="AD69" i="248"/>
  <c r="AC69" i="248"/>
  <c r="AB69" i="248"/>
  <c r="AA69" i="248"/>
  <c r="Z69" i="248"/>
  <c r="AD68" i="248"/>
  <c r="AC68" i="248"/>
  <c r="AB68" i="248"/>
  <c r="AA68" i="248"/>
  <c r="Z68" i="248"/>
  <c r="AD67" i="248"/>
  <c r="AC67" i="248"/>
  <c r="AB67" i="248"/>
  <c r="AA67" i="248"/>
  <c r="Z67" i="248"/>
  <c r="AD66" i="248"/>
  <c r="AC66" i="248"/>
  <c r="AB66" i="248"/>
  <c r="AA66" i="248"/>
  <c r="Z66" i="248"/>
  <c r="AD65" i="248"/>
  <c r="AC65" i="248"/>
  <c r="AB65" i="248"/>
  <c r="AA65" i="248"/>
  <c r="Z65" i="248"/>
  <c r="AD64" i="248"/>
  <c r="AC64" i="248"/>
  <c r="AB64" i="248"/>
  <c r="AA64" i="248"/>
  <c r="Z64" i="248"/>
  <c r="AD63" i="248"/>
  <c r="AC63" i="248"/>
  <c r="AB63" i="248"/>
  <c r="AA63" i="248"/>
  <c r="Z63" i="248"/>
  <c r="AD62" i="248"/>
  <c r="AC62" i="248"/>
  <c r="AB62" i="248"/>
  <c r="AA62" i="248"/>
  <c r="Z62" i="248"/>
  <c r="AD61" i="248"/>
  <c r="AC61" i="248"/>
  <c r="AB61" i="248"/>
  <c r="AA61" i="248"/>
  <c r="Z61" i="248"/>
  <c r="AD60" i="248"/>
  <c r="AC60" i="248"/>
  <c r="AB60" i="248"/>
  <c r="AA60" i="248"/>
  <c r="Z60" i="248"/>
  <c r="AD59" i="248"/>
  <c r="AC59" i="248"/>
  <c r="AB59" i="248"/>
  <c r="AA59" i="248"/>
  <c r="Z59" i="248"/>
  <c r="AD58" i="248"/>
  <c r="AC58" i="248"/>
  <c r="AB58" i="248"/>
  <c r="AA58" i="248"/>
  <c r="Z58" i="248"/>
  <c r="AD57" i="248"/>
  <c r="AC57" i="248"/>
  <c r="AB57" i="248"/>
  <c r="AA57" i="248"/>
  <c r="Z57" i="248"/>
  <c r="AD56" i="248"/>
  <c r="AC56" i="248"/>
  <c r="AB56" i="248"/>
  <c r="AA56" i="248"/>
  <c r="Z56" i="248"/>
  <c r="AD55" i="248"/>
  <c r="AC55" i="248"/>
  <c r="AB55" i="248"/>
  <c r="AA55" i="248"/>
  <c r="Z55" i="248"/>
  <c r="AD54" i="248"/>
  <c r="AC54" i="248"/>
  <c r="AB54" i="248"/>
  <c r="AA54" i="248"/>
  <c r="Z54" i="248"/>
  <c r="AD53" i="248"/>
  <c r="AC53" i="248"/>
  <c r="AB53" i="248"/>
  <c r="AA53" i="248"/>
  <c r="Z53" i="248"/>
  <c r="AD52" i="248"/>
  <c r="AC52" i="248"/>
  <c r="AB52" i="248"/>
  <c r="AA52" i="248"/>
  <c r="Z52" i="248"/>
  <c r="AD51" i="248"/>
  <c r="AC51" i="248"/>
  <c r="AB51" i="248"/>
  <c r="AA51" i="248"/>
  <c r="Z51" i="248"/>
  <c r="AD50" i="248"/>
  <c r="AC50" i="248"/>
  <c r="AB50" i="248"/>
  <c r="AA50" i="248"/>
  <c r="Z50" i="248"/>
  <c r="AD49" i="248"/>
  <c r="AC49" i="248"/>
  <c r="AB49" i="248"/>
  <c r="AA49" i="248"/>
  <c r="Z49" i="248"/>
  <c r="AD48" i="248"/>
  <c r="AC48" i="248"/>
  <c r="AB48" i="248"/>
  <c r="AA48" i="248"/>
  <c r="Z48" i="248"/>
  <c r="AD47" i="248"/>
  <c r="AC47" i="248"/>
  <c r="AB47" i="248"/>
  <c r="AA47" i="248"/>
  <c r="Z47" i="248"/>
  <c r="AD46" i="248"/>
  <c r="AC46" i="248"/>
  <c r="AB46" i="248"/>
  <c r="AA46" i="248"/>
  <c r="Z46" i="248"/>
  <c r="AD45" i="248"/>
  <c r="AC45" i="248"/>
  <c r="AB45" i="248"/>
  <c r="AA45" i="248"/>
  <c r="Z45" i="248"/>
  <c r="AD44" i="248"/>
  <c r="AC44" i="248"/>
  <c r="AB44" i="248"/>
  <c r="AA44" i="248"/>
  <c r="Z44" i="248"/>
  <c r="AD43" i="248"/>
  <c r="AC43" i="248"/>
  <c r="AB43" i="248"/>
  <c r="AA43" i="248"/>
  <c r="Z43" i="248"/>
  <c r="AD42" i="248"/>
  <c r="AC42" i="248"/>
  <c r="AB42" i="248"/>
  <c r="AA42" i="248"/>
  <c r="Z42" i="248"/>
  <c r="AD41" i="248"/>
  <c r="AC41" i="248"/>
  <c r="AB41" i="248"/>
  <c r="AA41" i="248"/>
  <c r="Z41" i="248"/>
  <c r="AD40" i="248"/>
  <c r="AC40" i="248"/>
  <c r="AB40" i="248"/>
  <c r="AA40" i="248"/>
  <c r="Z40" i="248"/>
  <c r="AD39" i="248"/>
  <c r="AC39" i="248"/>
  <c r="AB39" i="248"/>
  <c r="AA39" i="248"/>
  <c r="Z39" i="248"/>
  <c r="AD38" i="248"/>
  <c r="AC38" i="248"/>
  <c r="AB38" i="248"/>
  <c r="AA38" i="248"/>
  <c r="Z38" i="248"/>
  <c r="AD37" i="248"/>
  <c r="AC37" i="248"/>
  <c r="AB37" i="248"/>
  <c r="AA37" i="248"/>
  <c r="Z37" i="248"/>
  <c r="AD36" i="248"/>
  <c r="AC36" i="248"/>
  <c r="AB36" i="248"/>
  <c r="AA36" i="248"/>
  <c r="Z36" i="248"/>
  <c r="AD35" i="248"/>
  <c r="AC35" i="248"/>
  <c r="AB35" i="248"/>
  <c r="AA35" i="248"/>
  <c r="Z35" i="248"/>
  <c r="AD34" i="248"/>
  <c r="AC34" i="248"/>
  <c r="AB34" i="248"/>
  <c r="AA34" i="248"/>
  <c r="Z34" i="248"/>
  <c r="AD33" i="248"/>
  <c r="AC33" i="248"/>
  <c r="AB33" i="248"/>
  <c r="AA33" i="248"/>
  <c r="Z33" i="248"/>
  <c r="AD32" i="248"/>
  <c r="AC32" i="248"/>
  <c r="AB32" i="248"/>
  <c r="AA32" i="248"/>
  <c r="Z32" i="248"/>
  <c r="AD31" i="248"/>
  <c r="AC31" i="248"/>
  <c r="AB31" i="248"/>
  <c r="AA31" i="248"/>
  <c r="Z31" i="248"/>
  <c r="AD30" i="248"/>
  <c r="AC30" i="248"/>
  <c r="AB30" i="248"/>
  <c r="AA30" i="248"/>
  <c r="Z30" i="248"/>
  <c r="AD29" i="248"/>
  <c r="AC29" i="248"/>
  <c r="AB29" i="248"/>
  <c r="AA29" i="248"/>
  <c r="Z29" i="248"/>
  <c r="AD28" i="248"/>
  <c r="AC28" i="248"/>
  <c r="AB28" i="248"/>
  <c r="AA28" i="248"/>
  <c r="Z28" i="248"/>
  <c r="AD27" i="248"/>
  <c r="AC27" i="248"/>
  <c r="AB27" i="248"/>
  <c r="AA27" i="248"/>
  <c r="Z27" i="248"/>
  <c r="AD26" i="248"/>
  <c r="AC26" i="248"/>
  <c r="AB26" i="248"/>
  <c r="AA26" i="248"/>
  <c r="Z26" i="248"/>
  <c r="AD25" i="248"/>
  <c r="AC25" i="248"/>
  <c r="AB25" i="248"/>
  <c r="AA25" i="248"/>
  <c r="Z25" i="248"/>
  <c r="AD24" i="248"/>
  <c r="AC24" i="248"/>
  <c r="AB24" i="248"/>
  <c r="AA24" i="248"/>
  <c r="Z24" i="248"/>
  <c r="AD23" i="248"/>
  <c r="AC23" i="248"/>
  <c r="AB23" i="248"/>
  <c r="AA23" i="248"/>
  <c r="Z23" i="248"/>
  <c r="AD22" i="248"/>
  <c r="AC22" i="248"/>
  <c r="AB22" i="248"/>
  <c r="AA22" i="248"/>
  <c r="Z22" i="248"/>
  <c r="AD21" i="248"/>
  <c r="AC21" i="248"/>
  <c r="AB21" i="248"/>
  <c r="AA21" i="248"/>
  <c r="Z21" i="248"/>
  <c r="L7" i="248"/>
  <c r="K7" i="248"/>
  <c r="L6" i="248"/>
  <c r="K6" i="248"/>
  <c r="D5" i="248"/>
  <c r="C5" i="248"/>
  <c r="K4" i="248"/>
  <c r="J4" i="248"/>
  <c r="D4" i="248"/>
  <c r="C4" i="248"/>
  <c r="L3" i="248"/>
  <c r="K3" i="248"/>
  <c r="J3" i="248"/>
  <c r="E3" i="248"/>
  <c r="D3" i="248"/>
  <c r="C3" i="248"/>
  <c r="L2" i="248"/>
  <c r="K2" i="248"/>
  <c r="J2" i="248"/>
  <c r="E2" i="248"/>
  <c r="D2" i="248"/>
  <c r="C2" i="248"/>
  <c r="J1" i="248"/>
  <c r="C1" i="248"/>
  <c r="B18" i="246"/>
  <c r="E6" i="246"/>
  <c r="C6" i="246"/>
  <c r="E5" i="246"/>
  <c r="C5" i="246"/>
  <c r="C2" i="246"/>
  <c r="B2" i="246"/>
  <c r="C1" i="246"/>
  <c r="B1" i="246"/>
  <c r="C19" i="245"/>
  <c r="C19" i="246" s="1"/>
  <c r="C19" i="252" s="1"/>
  <c r="C2" i="245"/>
  <c r="B2" i="245"/>
  <c r="C1" i="245"/>
  <c r="B1" i="245"/>
  <c r="R120" i="244"/>
  <c r="Q120" i="244"/>
  <c r="R119" i="244"/>
  <c r="Q119" i="244"/>
  <c r="R118" i="244"/>
  <c r="Q118" i="244"/>
  <c r="R117" i="244"/>
  <c r="Q117" i="244"/>
  <c r="R116" i="244"/>
  <c r="Q116" i="244"/>
  <c r="R115" i="244"/>
  <c r="Q115" i="244"/>
  <c r="R114" i="244"/>
  <c r="Q114" i="244"/>
  <c r="R113" i="244"/>
  <c r="Q113" i="244"/>
  <c r="R112" i="244"/>
  <c r="Q112" i="244"/>
  <c r="R111" i="244"/>
  <c r="Q111" i="244"/>
  <c r="R110" i="244"/>
  <c r="Q110" i="244"/>
  <c r="R109" i="244"/>
  <c r="Q109" i="244"/>
  <c r="R108" i="244"/>
  <c r="Q108" i="244"/>
  <c r="R107" i="244"/>
  <c r="Q107" i="244"/>
  <c r="R106" i="244"/>
  <c r="Q106" i="244"/>
  <c r="R105" i="244"/>
  <c r="Q105" i="244"/>
  <c r="R104" i="244"/>
  <c r="Q104" i="244"/>
  <c r="R103" i="244"/>
  <c r="Q103" i="244"/>
  <c r="R102" i="244"/>
  <c r="Q102" i="244"/>
  <c r="R101" i="244"/>
  <c r="Q101" i="244"/>
  <c r="R100" i="244"/>
  <c r="Q100" i="244"/>
  <c r="R99" i="244"/>
  <c r="Q99" i="244"/>
  <c r="R98" i="244"/>
  <c r="Q98" i="244"/>
  <c r="R97" i="244"/>
  <c r="Q97" i="244"/>
  <c r="R96" i="244"/>
  <c r="Q96" i="244"/>
  <c r="R95" i="244"/>
  <c r="Q95" i="244"/>
  <c r="R94" i="244"/>
  <c r="Q94" i="244"/>
  <c r="R93" i="244"/>
  <c r="Q93" i="244"/>
  <c r="R92" i="244"/>
  <c r="Q92" i="244"/>
  <c r="R91" i="244"/>
  <c r="Q91" i="244"/>
  <c r="R90" i="244"/>
  <c r="Q90" i="244"/>
  <c r="R89" i="244"/>
  <c r="Q89" i="244"/>
  <c r="R88" i="244"/>
  <c r="Q88" i="244"/>
  <c r="R87" i="244"/>
  <c r="Q87" i="244"/>
  <c r="R86" i="244"/>
  <c r="Q86" i="244"/>
  <c r="R85" i="244"/>
  <c r="Q85" i="244"/>
  <c r="R84" i="244"/>
  <c r="Q84" i="244"/>
  <c r="R83" i="244"/>
  <c r="Q83" i="244"/>
  <c r="R82" i="244"/>
  <c r="Q82" i="244"/>
  <c r="R81" i="244"/>
  <c r="Q81" i="244"/>
  <c r="R80" i="244"/>
  <c r="Q80" i="244"/>
  <c r="R79" i="244"/>
  <c r="Q79" i="244"/>
  <c r="R78" i="244"/>
  <c r="Q78" i="244"/>
  <c r="R77" i="244"/>
  <c r="Q77" i="244"/>
  <c r="R76" i="244"/>
  <c r="Q76" i="244"/>
  <c r="R75" i="244"/>
  <c r="Q75" i="244"/>
  <c r="R74" i="244"/>
  <c r="Q74" i="244"/>
  <c r="R73" i="244"/>
  <c r="Q73" i="244"/>
  <c r="R72" i="244"/>
  <c r="Q72" i="244"/>
  <c r="R71" i="244"/>
  <c r="Q71" i="244"/>
  <c r="R70" i="244"/>
  <c r="Q70" i="244"/>
  <c r="R69" i="244"/>
  <c r="Q69" i="244"/>
  <c r="R68" i="244"/>
  <c r="Q68" i="244"/>
  <c r="R67" i="244"/>
  <c r="Q67" i="244"/>
  <c r="R66" i="244"/>
  <c r="Q66" i="244"/>
  <c r="R65" i="244"/>
  <c r="Q65" i="244"/>
  <c r="R64" i="244"/>
  <c r="Q64" i="244"/>
  <c r="R63" i="244"/>
  <c r="Q63" i="244"/>
  <c r="R62" i="244"/>
  <c r="Q62" i="244"/>
  <c r="R61" i="244"/>
  <c r="Q61" i="244"/>
  <c r="R60" i="244"/>
  <c r="Q60" i="244"/>
  <c r="R59" i="244"/>
  <c r="Q59" i="244"/>
  <c r="R58" i="244"/>
  <c r="Q58" i="244"/>
  <c r="R57" i="244"/>
  <c r="Q57" i="244"/>
  <c r="R56" i="244"/>
  <c r="Q56" i="244"/>
  <c r="R55" i="244"/>
  <c r="Q55" i="244"/>
  <c r="R54" i="244"/>
  <c r="Q54" i="244"/>
  <c r="R53" i="244"/>
  <c r="Q53" i="244"/>
  <c r="R52" i="244"/>
  <c r="Q52" i="244"/>
  <c r="R51" i="244"/>
  <c r="Q51" i="244"/>
  <c r="R50" i="244"/>
  <c r="Q50" i="244"/>
  <c r="R49" i="244"/>
  <c r="Q49" i="244"/>
  <c r="R48" i="244"/>
  <c r="Q48" i="244"/>
  <c r="R47" i="244"/>
  <c r="Q47" i="244"/>
  <c r="R46" i="244"/>
  <c r="Q46" i="244"/>
  <c r="R45" i="244"/>
  <c r="Q45" i="244"/>
  <c r="R44" i="244"/>
  <c r="Q44" i="244"/>
  <c r="R43" i="244"/>
  <c r="Q43" i="244"/>
  <c r="R42" i="244"/>
  <c r="Q42" i="244"/>
  <c r="R41" i="244"/>
  <c r="Q41" i="244"/>
  <c r="R40" i="244"/>
  <c r="Q40" i="244"/>
  <c r="R39" i="244"/>
  <c r="Q39" i="244"/>
  <c r="R38" i="244"/>
  <c r="Q38" i="244"/>
  <c r="R37" i="244"/>
  <c r="Q37" i="244"/>
  <c r="R36" i="244"/>
  <c r="Q36" i="244"/>
  <c r="R35" i="244"/>
  <c r="Q35" i="244"/>
  <c r="R34" i="244"/>
  <c r="Q34" i="244"/>
  <c r="R33" i="244"/>
  <c r="Q33" i="244"/>
  <c r="R32" i="244"/>
  <c r="Q32" i="244"/>
  <c r="R31" i="244"/>
  <c r="Q31" i="244"/>
  <c r="R30" i="244"/>
  <c r="Q30" i="244"/>
  <c r="R29" i="244"/>
  <c r="Q29" i="244"/>
  <c r="R28" i="244"/>
  <c r="Q28" i="244"/>
  <c r="R27" i="244"/>
  <c r="Q27" i="244"/>
  <c r="R26" i="244"/>
  <c r="Q26" i="244"/>
  <c r="R25" i="244"/>
  <c r="Q25" i="244"/>
  <c r="R24" i="244"/>
  <c r="Q24" i="244"/>
  <c r="R23" i="244"/>
  <c r="Q23" i="244"/>
  <c r="R22" i="244"/>
  <c r="Q22" i="244"/>
  <c r="R21" i="244"/>
  <c r="Q21" i="244"/>
  <c r="E4" i="244"/>
  <c r="D4" i="244"/>
  <c r="C4" i="244"/>
  <c r="G3" i="244"/>
  <c r="F3" i="244"/>
  <c r="E3" i="244"/>
  <c r="D3" i="244"/>
  <c r="C3" i="244"/>
  <c r="K2" i="244"/>
  <c r="I2" i="244"/>
  <c r="G2" i="244"/>
  <c r="F2" i="244"/>
  <c r="E2" i="244"/>
  <c r="D2" i="244"/>
  <c r="C2" i="244"/>
  <c r="K1" i="244"/>
  <c r="I1" i="244"/>
  <c r="F1" i="244"/>
  <c r="C1" i="244"/>
  <c r="C121" i="251" l="1"/>
  <c r="BA121" i="246"/>
  <c r="BB121" i="246"/>
  <c r="B121" i="246"/>
  <c r="BB123" i="246"/>
  <c r="C123" i="251"/>
  <c r="BA123" i="246"/>
  <c r="B123" i="246"/>
  <c r="BA131" i="246"/>
  <c r="C131" i="251"/>
  <c r="B131" i="246"/>
  <c r="BB131" i="246"/>
  <c r="BA129" i="246"/>
  <c r="B129" i="246"/>
  <c r="BB129" i="246"/>
  <c r="C129" i="251"/>
  <c r="C132" i="251"/>
  <c r="BA132" i="246"/>
  <c r="BB132" i="246"/>
  <c r="B132" i="246"/>
  <c r="AV128" i="246"/>
  <c r="I128" i="251" s="1"/>
  <c r="E128" i="252" s="1"/>
  <c r="U128" i="252" s="1"/>
  <c r="D138" i="262" s="1"/>
  <c r="Q128" i="246"/>
  <c r="AB128" i="246"/>
  <c r="AF128" i="246"/>
  <c r="K128" i="246"/>
  <c r="N128" i="246" s="1"/>
  <c r="C128" i="251"/>
  <c r="U128" i="246"/>
  <c r="M128" i="246"/>
  <c r="S128" i="246"/>
  <c r="V128" i="246" s="1"/>
  <c r="B128" i="246"/>
  <c r="X128" i="246"/>
  <c r="AG128" i="246"/>
  <c r="AN128" i="246"/>
  <c r="AO128" i="246"/>
  <c r="P128" i="246"/>
  <c r="BA128" i="246"/>
  <c r="AK128" i="246"/>
  <c r="AE128" i="246"/>
  <c r="AH128" i="246" s="1"/>
  <c r="AC128" i="246"/>
  <c r="H128" i="246"/>
  <c r="AJ128" i="246"/>
  <c r="AS128" i="246"/>
  <c r="L128" i="246"/>
  <c r="O128" i="246"/>
  <c r="R128" i="246" s="1"/>
  <c r="W128" i="246"/>
  <c r="Z128" i="246" s="1"/>
  <c r="Y128" i="246"/>
  <c r="G128" i="246"/>
  <c r="J128" i="246" s="1"/>
  <c r="AI128" i="246"/>
  <c r="AL128" i="246" s="1"/>
  <c r="AU128" i="246"/>
  <c r="H128" i="251" s="1"/>
  <c r="BB128" i="246"/>
  <c r="AQ128" i="246"/>
  <c r="AT128" i="246" s="1"/>
  <c r="T128" i="246"/>
  <c r="AA128" i="246"/>
  <c r="AD128" i="246" s="1"/>
  <c r="AM128" i="246"/>
  <c r="AP128" i="246" s="1"/>
  <c r="I128" i="246"/>
  <c r="AR128" i="246"/>
  <c r="C124" i="251"/>
  <c r="BB124" i="246"/>
  <c r="B124" i="246"/>
  <c r="BA124" i="246"/>
  <c r="BB127" i="246"/>
  <c r="BA127" i="246"/>
  <c r="C127" i="251"/>
  <c r="B127" i="246"/>
  <c r="M130" i="246"/>
  <c r="AK130" i="246"/>
  <c r="AJ130" i="246"/>
  <c r="BB130" i="246"/>
  <c r="AE130" i="246"/>
  <c r="AH130" i="246" s="1"/>
  <c r="AR130" i="246"/>
  <c r="AS130" i="246"/>
  <c r="Q130" i="246"/>
  <c r="Y130" i="246"/>
  <c r="B130" i="246"/>
  <c r="AG130" i="246"/>
  <c r="X130" i="246"/>
  <c r="AF130" i="246"/>
  <c r="T130" i="246"/>
  <c r="AN130" i="246"/>
  <c r="AA130" i="246"/>
  <c r="AD130" i="246" s="1"/>
  <c r="I130" i="246"/>
  <c r="AM130" i="246"/>
  <c r="AP130" i="246" s="1"/>
  <c r="K130" i="246"/>
  <c r="N130" i="246" s="1"/>
  <c r="AI130" i="246"/>
  <c r="AL130" i="246" s="1"/>
  <c r="W130" i="246"/>
  <c r="Z130" i="246" s="1"/>
  <c r="AV130" i="246"/>
  <c r="I130" i="251" s="1"/>
  <c r="E130" i="252" s="1"/>
  <c r="U130" i="252" s="1"/>
  <c r="D140" i="262" s="1"/>
  <c r="S130" i="246"/>
  <c r="V130" i="246" s="1"/>
  <c r="O130" i="246"/>
  <c r="R130" i="246" s="1"/>
  <c r="AC130" i="246"/>
  <c r="G130" i="246"/>
  <c r="J130" i="246" s="1"/>
  <c r="C130" i="251"/>
  <c r="AB130" i="246"/>
  <c r="U130" i="246"/>
  <c r="AU130" i="246"/>
  <c r="H130" i="251" s="1"/>
  <c r="AQ130" i="246"/>
  <c r="AT130" i="246" s="1"/>
  <c r="AO130" i="246"/>
  <c r="L130" i="246"/>
  <c r="BA130" i="246"/>
  <c r="H130" i="246"/>
  <c r="P130" i="246"/>
  <c r="C126" i="251"/>
  <c r="BB126" i="246"/>
  <c r="BA126" i="246"/>
  <c r="B126" i="246"/>
  <c r="H122" i="246"/>
  <c r="AR122" i="246"/>
  <c r="AA122" i="246"/>
  <c r="AD122" i="246" s="1"/>
  <c r="BB122" i="246"/>
  <c r="AJ122" i="246"/>
  <c r="M122" i="246"/>
  <c r="B122" i="246"/>
  <c r="AV122" i="246"/>
  <c r="I122" i="251" s="1"/>
  <c r="E122" i="252" s="1"/>
  <c r="U122" i="252" s="1"/>
  <c r="D132" i="262" s="1"/>
  <c r="Q122" i="246"/>
  <c r="P122" i="246"/>
  <c r="AM122" i="246"/>
  <c r="AP122" i="246" s="1"/>
  <c r="AE122" i="246"/>
  <c r="AH122" i="246" s="1"/>
  <c r="X122" i="246"/>
  <c r="U122" i="246"/>
  <c r="AU122" i="246"/>
  <c r="H122" i="251" s="1"/>
  <c r="L122" i="246"/>
  <c r="G122" i="246"/>
  <c r="J122" i="246" s="1"/>
  <c r="Y122" i="246"/>
  <c r="C122" i="251"/>
  <c r="AK122" i="246"/>
  <c r="S122" i="246"/>
  <c r="V122" i="246" s="1"/>
  <c r="AF122" i="246"/>
  <c r="W122" i="246"/>
  <c r="Z122" i="246" s="1"/>
  <c r="AN122" i="246"/>
  <c r="AB122" i="246"/>
  <c r="AI122" i="246"/>
  <c r="AL122" i="246" s="1"/>
  <c r="AG122" i="246"/>
  <c r="O122" i="246"/>
  <c r="R122" i="246" s="1"/>
  <c r="K122" i="246"/>
  <c r="N122" i="246" s="1"/>
  <c r="AO122" i="246"/>
  <c r="I122" i="246"/>
  <c r="AS122" i="246"/>
  <c r="AQ122" i="246"/>
  <c r="AT122" i="246" s="1"/>
  <c r="T122" i="246"/>
  <c r="BA122" i="246"/>
  <c r="AC122" i="246"/>
  <c r="BB125" i="246"/>
  <c r="C125" i="251"/>
  <c r="B125" i="246"/>
  <c r="BA125" i="246"/>
  <c r="G107" i="189"/>
  <c r="E111" i="239"/>
  <c r="E107" i="190"/>
  <c r="F107" i="190" s="1"/>
  <c r="G105" i="189"/>
  <c r="E109" i="239"/>
  <c r="E105" i="190"/>
  <c r="G104" i="189"/>
  <c r="E108" i="239"/>
  <c r="E104" i="190"/>
  <c r="G102" i="189"/>
  <c r="E106" i="239"/>
  <c r="E102" i="190"/>
  <c r="F102" i="190" s="1"/>
  <c r="E104" i="237"/>
  <c r="E102" i="237"/>
  <c r="E105" i="237"/>
  <c r="E107" i="237"/>
  <c r="H111" i="242"/>
  <c r="AO114" i="258"/>
  <c r="AO118" i="258"/>
  <c r="AO111" i="258"/>
  <c r="AO115" i="258"/>
  <c r="AO119" i="258"/>
  <c r="AO117" i="258"/>
  <c r="AO112" i="258"/>
  <c r="AO116" i="258"/>
  <c r="AO120" i="258"/>
  <c r="AO113" i="258"/>
  <c r="H109" i="242"/>
  <c r="H108" i="242"/>
  <c r="H106" i="242"/>
  <c r="B105" i="189"/>
  <c r="B104" i="189"/>
  <c r="B102" i="189"/>
  <c r="B107" i="189"/>
  <c r="AO109" i="258"/>
  <c r="AO110" i="258"/>
  <c r="AO108" i="258"/>
  <c r="AO105" i="258"/>
  <c r="AO103" i="258"/>
  <c r="AO106" i="258"/>
  <c r="AO107" i="258"/>
  <c r="AU20" i="258"/>
  <c r="Y118" i="258" s="1"/>
  <c r="E3" i="245"/>
  <c r="AO102" i="258"/>
  <c r="AO104" i="258"/>
  <c r="AV20" i="258"/>
  <c r="AO94" i="258"/>
  <c r="AO95" i="258"/>
  <c r="AO99" i="258"/>
  <c r="AO92" i="258"/>
  <c r="AO96" i="258"/>
  <c r="AO100" i="258"/>
  <c r="AO98" i="258"/>
  <c r="AO93" i="258"/>
  <c r="AO97" i="258"/>
  <c r="AO101" i="258"/>
  <c r="A24" i="258"/>
  <c r="B11" i="190"/>
  <c r="A11" i="189" s="1"/>
  <c r="A15" i="242" s="1"/>
  <c r="A11" i="237" s="1"/>
  <c r="A15" i="239" s="1"/>
  <c r="AO87" i="258"/>
  <c r="AO91" i="258"/>
  <c r="AO84" i="258"/>
  <c r="AO88" i="258"/>
  <c r="AO85" i="258"/>
  <c r="AO89" i="258"/>
  <c r="AO86" i="258"/>
  <c r="AO90" i="258"/>
  <c r="AO25" i="258"/>
  <c r="AO29" i="258"/>
  <c r="AO33" i="258"/>
  <c r="AO37" i="258"/>
  <c r="AO41" i="258"/>
  <c r="AO45" i="258"/>
  <c r="AO49" i="258"/>
  <c r="AO53" i="258"/>
  <c r="AO22" i="258"/>
  <c r="AO26" i="258"/>
  <c r="AO30" i="258"/>
  <c r="AO34" i="258"/>
  <c r="AO38" i="258"/>
  <c r="AO42" i="258"/>
  <c r="AO46" i="258"/>
  <c r="AO50" i="258"/>
  <c r="AO23" i="258"/>
  <c r="AO27" i="258"/>
  <c r="AO31" i="258"/>
  <c r="AO35" i="258"/>
  <c r="AO39" i="258"/>
  <c r="AO43" i="258"/>
  <c r="AO47" i="258"/>
  <c r="AO51" i="258"/>
  <c r="AO24" i="258"/>
  <c r="AO28" i="258"/>
  <c r="AO32" i="258"/>
  <c r="AO36" i="258"/>
  <c r="AO40" i="258"/>
  <c r="AO44" i="258"/>
  <c r="AO48" i="258"/>
  <c r="AO52" i="258"/>
  <c r="AO57" i="258"/>
  <c r="AO61" i="258"/>
  <c r="AO65" i="258"/>
  <c r="AO69" i="258"/>
  <c r="AO73" i="258"/>
  <c r="AO77" i="258"/>
  <c r="AO81" i="258"/>
  <c r="AO54" i="258"/>
  <c r="AO58" i="258"/>
  <c r="AO62" i="258"/>
  <c r="AO66" i="258"/>
  <c r="AO70" i="258"/>
  <c r="AO74" i="258"/>
  <c r="AO78" i="258"/>
  <c r="AO82" i="258"/>
  <c r="AO55" i="258"/>
  <c r="AO59" i="258"/>
  <c r="AO63" i="258"/>
  <c r="AO67" i="258"/>
  <c r="AO71" i="258"/>
  <c r="AO75" i="258"/>
  <c r="AO79" i="258"/>
  <c r="AO83" i="258"/>
  <c r="AO56" i="258"/>
  <c r="AO60" i="258"/>
  <c r="AO64" i="258"/>
  <c r="AO68" i="258"/>
  <c r="AO72" i="258"/>
  <c r="AO76" i="258"/>
  <c r="AO80" i="258"/>
  <c r="AN20" i="258"/>
  <c r="AM20" i="258"/>
  <c r="AO21" i="258"/>
  <c r="S133" i="256"/>
  <c r="B123" i="251" l="1"/>
  <c r="C123" i="252"/>
  <c r="D123" i="251"/>
  <c r="F123" i="251"/>
  <c r="D121" i="251"/>
  <c r="C121" i="252"/>
  <c r="B121" i="251"/>
  <c r="F121" i="251"/>
  <c r="D125" i="251"/>
  <c r="C125" i="252"/>
  <c r="F125" i="251"/>
  <c r="B125" i="251"/>
  <c r="D122" i="251"/>
  <c r="J122" i="251"/>
  <c r="F122" i="251"/>
  <c r="E122" i="251"/>
  <c r="C122" i="252"/>
  <c r="G122" i="251"/>
  <c r="K122" i="251"/>
  <c r="B122" i="251"/>
  <c r="C130" i="252"/>
  <c r="D130" i="251"/>
  <c r="K130" i="251"/>
  <c r="F130" i="251"/>
  <c r="G130" i="251"/>
  <c r="B130" i="251"/>
  <c r="E130" i="251"/>
  <c r="J130" i="251"/>
  <c r="B127" i="251"/>
  <c r="C127" i="252"/>
  <c r="F127" i="251"/>
  <c r="D127" i="251"/>
  <c r="D129" i="251"/>
  <c r="F129" i="251"/>
  <c r="C129" i="252"/>
  <c r="B129" i="251"/>
  <c r="G128" i="251"/>
  <c r="D128" i="251"/>
  <c r="F128" i="251"/>
  <c r="B128" i="251"/>
  <c r="C128" i="252"/>
  <c r="K128" i="251"/>
  <c r="J128" i="251"/>
  <c r="E128" i="251"/>
  <c r="C131" i="252"/>
  <c r="F131" i="251"/>
  <c r="B131" i="251"/>
  <c r="D131" i="251"/>
  <c r="D126" i="251"/>
  <c r="B126" i="251"/>
  <c r="C126" i="252"/>
  <c r="F126" i="251"/>
  <c r="C124" i="252"/>
  <c r="F124" i="251"/>
  <c r="B124" i="251"/>
  <c r="D124" i="251"/>
  <c r="D132" i="251"/>
  <c r="F132" i="251"/>
  <c r="B132" i="251"/>
  <c r="C132" i="252"/>
  <c r="Y120" i="258"/>
  <c r="C112" i="239" s="1"/>
  <c r="Y23" i="258"/>
  <c r="Y111" i="258"/>
  <c r="C103" i="239" s="1"/>
  <c r="Y115" i="258"/>
  <c r="Y113" i="258"/>
  <c r="C110" i="239"/>
  <c r="AB118" i="258"/>
  <c r="AA118" i="258"/>
  <c r="C106" i="190" s="1"/>
  <c r="B106" i="189" s="1"/>
  <c r="B110" i="242" s="1"/>
  <c r="B106" i="237" s="1"/>
  <c r="B110" i="239" s="1"/>
  <c r="H102" i="189"/>
  <c r="B106" i="242"/>
  <c r="B102" i="237" s="1"/>
  <c r="B106" i="239" s="1"/>
  <c r="H104" i="189"/>
  <c r="B108" i="242"/>
  <c r="B104" i="237" s="1"/>
  <c r="B108" i="239" s="1"/>
  <c r="Y112" i="258"/>
  <c r="Y110" i="258"/>
  <c r="Y109" i="258"/>
  <c r="H107" i="189"/>
  <c r="B111" i="242"/>
  <c r="B107" i="237" s="1"/>
  <c r="B111" i="239" s="1"/>
  <c r="H105" i="189"/>
  <c r="B109" i="242"/>
  <c r="B105" i="237" s="1"/>
  <c r="B109" i="239" s="1"/>
  <c r="AN111" i="258"/>
  <c r="AN115" i="258"/>
  <c r="AN119" i="258"/>
  <c r="AN112" i="258"/>
  <c r="AN116" i="258"/>
  <c r="AN120" i="258"/>
  <c r="AN114" i="258"/>
  <c r="AN113" i="258"/>
  <c r="AN117" i="258"/>
  <c r="AN118" i="258"/>
  <c r="AM112" i="258"/>
  <c r="AM116" i="258"/>
  <c r="AM120" i="258"/>
  <c r="AM113" i="258"/>
  <c r="AM117" i="258"/>
  <c r="AM111" i="258"/>
  <c r="AM119" i="258"/>
  <c r="AM114" i="258"/>
  <c r="AM118" i="258"/>
  <c r="AM115" i="258"/>
  <c r="AN109" i="258"/>
  <c r="AN110" i="258"/>
  <c r="AM109" i="258"/>
  <c r="AM110" i="258"/>
  <c r="AM103" i="258"/>
  <c r="AM106" i="258"/>
  <c r="AM107" i="258"/>
  <c r="AM108" i="258"/>
  <c r="AM105" i="258"/>
  <c r="Y21" i="258"/>
  <c r="C13" i="239" s="1"/>
  <c r="Y107" i="258"/>
  <c r="C99" i="239" s="1"/>
  <c r="Y103" i="258"/>
  <c r="C95" i="239" s="1"/>
  <c r="Y108" i="258"/>
  <c r="C100" i="239" s="1"/>
  <c r="Y105" i="258"/>
  <c r="C97" i="239" s="1"/>
  <c r="Y102" i="258"/>
  <c r="C94" i="239" s="1"/>
  <c r="Y101" i="258"/>
  <c r="C93" i="239" s="1"/>
  <c r="Y106" i="258"/>
  <c r="C98" i="239" s="1"/>
  <c r="AN105" i="258"/>
  <c r="AN103" i="258"/>
  <c r="AN106" i="258"/>
  <c r="AN107" i="258"/>
  <c r="AN108" i="258"/>
  <c r="Y97" i="258"/>
  <c r="C89" i="239" s="1"/>
  <c r="Y46" i="258"/>
  <c r="C38" i="239" s="1"/>
  <c r="Y98" i="258"/>
  <c r="C90" i="239" s="1"/>
  <c r="Y32" i="258"/>
  <c r="C24" i="239" s="1"/>
  <c r="Y104" i="258"/>
  <c r="Y100" i="258"/>
  <c r="C92" i="239" s="1"/>
  <c r="AM102" i="258"/>
  <c r="AM104" i="258"/>
  <c r="AN102" i="258"/>
  <c r="AN104" i="258"/>
  <c r="AM21" i="258"/>
  <c r="AM92" i="258"/>
  <c r="AM96" i="258"/>
  <c r="AM93" i="258"/>
  <c r="AM97" i="258"/>
  <c r="AM101" i="258"/>
  <c r="AM94" i="258"/>
  <c r="AM98" i="258"/>
  <c r="AM95" i="258"/>
  <c r="AM99" i="258"/>
  <c r="AM100" i="258"/>
  <c r="AN95" i="258"/>
  <c r="AN92" i="258"/>
  <c r="AN96" i="258"/>
  <c r="AN100" i="258"/>
  <c r="AN99" i="258"/>
  <c r="AN93" i="258"/>
  <c r="AN97" i="258"/>
  <c r="AN101" i="258"/>
  <c r="AN94" i="258"/>
  <c r="AN98" i="258"/>
  <c r="A25" i="258"/>
  <c r="B12" i="190"/>
  <c r="A12" i="189" s="1"/>
  <c r="A16" i="242" s="1"/>
  <c r="A12" i="237" s="1"/>
  <c r="A16" i="239" s="1"/>
  <c r="AN84" i="258"/>
  <c r="AN88" i="258"/>
  <c r="AN85" i="258"/>
  <c r="AN89" i="258"/>
  <c r="AN86" i="258"/>
  <c r="AN90" i="258"/>
  <c r="AN87" i="258"/>
  <c r="AN91" i="258"/>
  <c r="AM85" i="258"/>
  <c r="AM89" i="258"/>
  <c r="AM86" i="258"/>
  <c r="AM90" i="258"/>
  <c r="AM87" i="258"/>
  <c r="AM84" i="258"/>
  <c r="AM88" i="258"/>
  <c r="AM91" i="258"/>
  <c r="AM23" i="258"/>
  <c r="AM27" i="258"/>
  <c r="AM31" i="258"/>
  <c r="AM35" i="258"/>
  <c r="AM39" i="258"/>
  <c r="AM43" i="258"/>
  <c r="AM47" i="258"/>
  <c r="AM51" i="258"/>
  <c r="AM24" i="258"/>
  <c r="AM28" i="258"/>
  <c r="AM32" i="258"/>
  <c r="AM36" i="258"/>
  <c r="AM40" i="258"/>
  <c r="AM44" i="258"/>
  <c r="AM48" i="258"/>
  <c r="AM52" i="258"/>
  <c r="AM25" i="258"/>
  <c r="AM29" i="258"/>
  <c r="AM33" i="258"/>
  <c r="AM37" i="258"/>
  <c r="AM41" i="258"/>
  <c r="AM45" i="258"/>
  <c r="AM49" i="258"/>
  <c r="AM53" i="258"/>
  <c r="AM22" i="258"/>
  <c r="AM26" i="258"/>
  <c r="AM30" i="258"/>
  <c r="AM34" i="258"/>
  <c r="AM38" i="258"/>
  <c r="AM42" i="258"/>
  <c r="AM46" i="258"/>
  <c r="AM50" i="258"/>
  <c r="AM55" i="258"/>
  <c r="AM59" i="258"/>
  <c r="AM63" i="258"/>
  <c r="AM67" i="258"/>
  <c r="AM71" i="258"/>
  <c r="AM75" i="258"/>
  <c r="AM79" i="258"/>
  <c r="AM83" i="258"/>
  <c r="AM56" i="258"/>
  <c r="AM60" i="258"/>
  <c r="AM64" i="258"/>
  <c r="AM68" i="258"/>
  <c r="AM72" i="258"/>
  <c r="AM76" i="258"/>
  <c r="AM80" i="258"/>
  <c r="AM57" i="258"/>
  <c r="AM61" i="258"/>
  <c r="AM65" i="258"/>
  <c r="AM69" i="258"/>
  <c r="AM73" i="258"/>
  <c r="AM77" i="258"/>
  <c r="AM81" i="258"/>
  <c r="AM54" i="258"/>
  <c r="AM58" i="258"/>
  <c r="AM62" i="258"/>
  <c r="AM66" i="258"/>
  <c r="AM70" i="258"/>
  <c r="AM74" i="258"/>
  <c r="AM78" i="258"/>
  <c r="AM82" i="258"/>
  <c r="AN22" i="258"/>
  <c r="AN26" i="258"/>
  <c r="AN30" i="258"/>
  <c r="AN34" i="258"/>
  <c r="AN38" i="258"/>
  <c r="AN42" i="258"/>
  <c r="AN46" i="258"/>
  <c r="AN50" i="258"/>
  <c r="AN23" i="258"/>
  <c r="AN27" i="258"/>
  <c r="AN31" i="258"/>
  <c r="AN35" i="258"/>
  <c r="AN39" i="258"/>
  <c r="AN43" i="258"/>
  <c r="AN47" i="258"/>
  <c r="AN51" i="258"/>
  <c r="AN24" i="258"/>
  <c r="AN28" i="258"/>
  <c r="AN32" i="258"/>
  <c r="AN36" i="258"/>
  <c r="AN40" i="258"/>
  <c r="AN44" i="258"/>
  <c r="AN48" i="258"/>
  <c r="AN52" i="258"/>
  <c r="AN25" i="258"/>
  <c r="AN29" i="258"/>
  <c r="AN33" i="258"/>
  <c r="AN37" i="258"/>
  <c r="AN41" i="258"/>
  <c r="AN45" i="258"/>
  <c r="AN49" i="258"/>
  <c r="AN53" i="258"/>
  <c r="AN54" i="258"/>
  <c r="AN58" i="258"/>
  <c r="AN62" i="258"/>
  <c r="AN66" i="258"/>
  <c r="AN70" i="258"/>
  <c r="AN74" i="258"/>
  <c r="AN78" i="258"/>
  <c r="AN82" i="258"/>
  <c r="AN55" i="258"/>
  <c r="AN59" i="258"/>
  <c r="AN63" i="258"/>
  <c r="AN67" i="258"/>
  <c r="AN71" i="258"/>
  <c r="AN75" i="258"/>
  <c r="AN79" i="258"/>
  <c r="AN83" i="258"/>
  <c r="AN56" i="258"/>
  <c r="AN60" i="258"/>
  <c r="AN64" i="258"/>
  <c r="AN68" i="258"/>
  <c r="AN72" i="258"/>
  <c r="AN76" i="258"/>
  <c r="AN80" i="258"/>
  <c r="AN57" i="258"/>
  <c r="AN61" i="258"/>
  <c r="AN65" i="258"/>
  <c r="AN69" i="258"/>
  <c r="AN73" i="258"/>
  <c r="AN77" i="258"/>
  <c r="AN81" i="258"/>
  <c r="AN21" i="258"/>
  <c r="B121" i="252" l="1"/>
  <c r="B131" i="262" s="1"/>
  <c r="B131" i="263" s="1"/>
  <c r="C131" i="262"/>
  <c r="C133" i="262"/>
  <c r="B123" i="252"/>
  <c r="B133" i="262" s="1"/>
  <c r="B133" i="263" s="1"/>
  <c r="B132" i="252"/>
  <c r="B142" i="262" s="1"/>
  <c r="B142" i="263" s="1"/>
  <c r="C142" i="262"/>
  <c r="B129" i="252"/>
  <c r="B139" i="262" s="1"/>
  <c r="B139" i="263" s="1"/>
  <c r="C139" i="262"/>
  <c r="C134" i="262"/>
  <c r="B124" i="252"/>
  <c r="B134" i="262" s="1"/>
  <c r="B134" i="263" s="1"/>
  <c r="C136" i="262"/>
  <c r="B126" i="252"/>
  <c r="B136" i="262" s="1"/>
  <c r="B136" i="263" s="1"/>
  <c r="C141" i="262"/>
  <c r="B131" i="252"/>
  <c r="B141" i="262" s="1"/>
  <c r="B141" i="263" s="1"/>
  <c r="F128" i="252"/>
  <c r="H128" i="252"/>
  <c r="J128" i="252"/>
  <c r="T128" i="252"/>
  <c r="N128" i="252"/>
  <c r="C138" i="262"/>
  <c r="G128" i="252"/>
  <c r="V128" i="252"/>
  <c r="B128" i="252"/>
  <c r="B138" i="262" s="1"/>
  <c r="B138" i="263" s="1"/>
  <c r="P128" i="252"/>
  <c r="K128" i="252"/>
  <c r="S128" i="252"/>
  <c r="M128" i="252"/>
  <c r="Q128" i="252"/>
  <c r="B127" i="252"/>
  <c r="B137" i="262" s="1"/>
  <c r="B137" i="263" s="1"/>
  <c r="C137" i="262"/>
  <c r="B125" i="252"/>
  <c r="B135" i="262" s="1"/>
  <c r="B135" i="263" s="1"/>
  <c r="C135" i="262"/>
  <c r="F130" i="252"/>
  <c r="M130" i="252"/>
  <c r="N130" i="252"/>
  <c r="G130" i="252"/>
  <c r="B130" i="252"/>
  <c r="B140" i="262" s="1"/>
  <c r="B140" i="263" s="1"/>
  <c r="Q130" i="252"/>
  <c r="P130" i="252"/>
  <c r="J130" i="252"/>
  <c r="H130" i="252"/>
  <c r="V130" i="252"/>
  <c r="S130" i="252"/>
  <c r="C140" i="262"/>
  <c r="T130" i="252"/>
  <c r="K130" i="252"/>
  <c r="J122" i="252"/>
  <c r="M122" i="252"/>
  <c r="S122" i="252"/>
  <c r="K122" i="252"/>
  <c r="T122" i="252"/>
  <c r="H122" i="252"/>
  <c r="G122" i="252"/>
  <c r="N122" i="252"/>
  <c r="P122" i="252"/>
  <c r="Q122" i="252"/>
  <c r="F122" i="252"/>
  <c r="C132" i="262"/>
  <c r="B122" i="252"/>
  <c r="B132" i="262" s="1"/>
  <c r="B132" i="263" s="1"/>
  <c r="V122" i="252"/>
  <c r="AA111" i="258"/>
  <c r="C99" i="190" s="1"/>
  <c r="B99" i="189" s="1"/>
  <c r="B103" i="242" s="1"/>
  <c r="B99" i="237" s="1"/>
  <c r="B103" i="239" s="1"/>
  <c r="C97" i="201" s="1"/>
  <c r="AA120" i="258"/>
  <c r="C108" i="190" s="1"/>
  <c r="B108" i="189" s="1"/>
  <c r="B112" i="242" s="1"/>
  <c r="B108" i="237" s="1"/>
  <c r="B112" i="239" s="1"/>
  <c r="D112" i="239" s="1"/>
  <c r="AB120" i="258"/>
  <c r="E112" i="239" s="1"/>
  <c r="AB111" i="258"/>
  <c r="G99" i="189" s="1"/>
  <c r="G106" i="189"/>
  <c r="E106" i="237"/>
  <c r="E110" i="239"/>
  <c r="E106" i="190"/>
  <c r="H110" i="242"/>
  <c r="C105" i="239"/>
  <c r="AB113" i="258"/>
  <c r="AA113" i="258"/>
  <c r="C101" i="190" s="1"/>
  <c r="B101" i="189" s="1"/>
  <c r="C107" i="239"/>
  <c r="AB115" i="258"/>
  <c r="AA115" i="258"/>
  <c r="C103" i="190" s="1"/>
  <c r="C102" i="239"/>
  <c r="AB110" i="258"/>
  <c r="AA110" i="258"/>
  <c r="C98" i="190" s="1"/>
  <c r="B98" i="189" s="1"/>
  <c r="C100" i="201"/>
  <c r="D106" i="239"/>
  <c r="F106" i="239" s="1"/>
  <c r="C105" i="201"/>
  <c r="D111" i="239"/>
  <c r="F111" i="239" s="1"/>
  <c r="C104" i="239"/>
  <c r="AB112" i="258"/>
  <c r="AA112" i="258"/>
  <c r="C100" i="190" s="1"/>
  <c r="C102" i="201"/>
  <c r="D108" i="239"/>
  <c r="F108" i="239" s="1"/>
  <c r="C104" i="201"/>
  <c r="D110" i="239"/>
  <c r="C103" i="201"/>
  <c r="D109" i="239"/>
  <c r="F109" i="239" s="1"/>
  <c r="C101" i="239"/>
  <c r="AB109" i="258"/>
  <c r="AA109" i="258"/>
  <c r="C97" i="190" s="1"/>
  <c r="B97" i="189" s="1"/>
  <c r="AB104" i="258"/>
  <c r="E96" i="239" s="1"/>
  <c r="C96" i="239"/>
  <c r="AB101" i="258"/>
  <c r="E93" i="239" s="1"/>
  <c r="AA101" i="258"/>
  <c r="C89" i="190" s="1"/>
  <c r="D89" i="190" s="1"/>
  <c r="AB103" i="258"/>
  <c r="E95" i="239" s="1"/>
  <c r="AA103" i="258"/>
  <c r="C91" i="190" s="1"/>
  <c r="AB107" i="258"/>
  <c r="E99" i="239" s="1"/>
  <c r="AA107" i="258"/>
  <c r="C95" i="190" s="1"/>
  <c r="AB105" i="258"/>
  <c r="E97" i="239" s="1"/>
  <c r="AA105" i="258"/>
  <c r="C93" i="190" s="1"/>
  <c r="AB106" i="258"/>
  <c r="E98" i="239" s="1"/>
  <c r="AA106" i="258"/>
  <c r="C94" i="190" s="1"/>
  <c r="AB108" i="258"/>
  <c r="E100" i="239" s="1"/>
  <c r="AA108" i="258"/>
  <c r="C96" i="190" s="1"/>
  <c r="AA104" i="258"/>
  <c r="C92" i="190" s="1"/>
  <c r="AB100" i="258"/>
  <c r="E92" i="239" s="1"/>
  <c r="AA100" i="258"/>
  <c r="C88" i="190" s="1"/>
  <c r="AA21" i="258"/>
  <c r="C9" i="190" s="1"/>
  <c r="AA46" i="258"/>
  <c r="C34" i="190" s="1"/>
  <c r="AB46" i="258"/>
  <c r="E38" i="239" s="1"/>
  <c r="AB97" i="258"/>
  <c r="E89" i="239" s="1"/>
  <c r="AA97" i="258"/>
  <c r="C85" i="190" s="1"/>
  <c r="AA32" i="258"/>
  <c r="C20" i="190" s="1"/>
  <c r="AB32" i="258"/>
  <c r="E24" i="239" s="1"/>
  <c r="AB102" i="258"/>
  <c r="E94" i="239" s="1"/>
  <c r="AA102" i="258"/>
  <c r="C90" i="190" s="1"/>
  <c r="AB98" i="258"/>
  <c r="E90" i="239" s="1"/>
  <c r="AA98" i="258"/>
  <c r="C86" i="190" s="1"/>
  <c r="A26" i="258"/>
  <c r="B13" i="190"/>
  <c r="A13" i="189" s="1"/>
  <c r="A17" i="242" s="1"/>
  <c r="A13" i="237" s="1"/>
  <c r="A17" i="239" s="1"/>
  <c r="B7" i="190"/>
  <c r="C133" i="263" l="1"/>
  <c r="J133" i="262"/>
  <c r="K133" i="262"/>
  <c r="L133" i="262"/>
  <c r="J131" i="262"/>
  <c r="L131" i="262" s="1"/>
  <c r="C131" i="263"/>
  <c r="K131" i="262"/>
  <c r="I130" i="252"/>
  <c r="L130" i="252" s="1"/>
  <c r="O130" i="252" s="1"/>
  <c r="R130" i="252" s="1"/>
  <c r="I128" i="252"/>
  <c r="L128" i="252" s="1"/>
  <c r="O128" i="252" s="1"/>
  <c r="R128" i="252" s="1"/>
  <c r="I122" i="252"/>
  <c r="L122" i="252" s="1"/>
  <c r="O122" i="252" s="1"/>
  <c r="R122" i="252" s="1"/>
  <c r="C140" i="263"/>
  <c r="M140" i="262"/>
  <c r="J140" i="262"/>
  <c r="K140" i="262"/>
  <c r="F140" i="262"/>
  <c r="R130" i="256" s="1"/>
  <c r="R130" i="257" s="1"/>
  <c r="G140" i="262"/>
  <c r="L140" i="262"/>
  <c r="H140" i="262"/>
  <c r="D140" i="263" s="1"/>
  <c r="M138" i="262"/>
  <c r="F138" i="262"/>
  <c r="R128" i="256" s="1"/>
  <c r="R128" i="257" s="1"/>
  <c r="H138" i="262"/>
  <c r="D138" i="263" s="1"/>
  <c r="L138" i="262"/>
  <c r="G138" i="262"/>
  <c r="C138" i="263"/>
  <c r="J138" i="262"/>
  <c r="K138" i="262"/>
  <c r="J135" i="262"/>
  <c r="C135" i="263"/>
  <c r="K135" i="262"/>
  <c r="K132" i="262"/>
  <c r="L132" i="262"/>
  <c r="F132" i="262"/>
  <c r="R122" i="256" s="1"/>
  <c r="R122" i="257" s="1"/>
  <c r="C132" i="263"/>
  <c r="G132" i="262"/>
  <c r="H132" i="262"/>
  <c r="D132" i="263" s="1"/>
  <c r="M132" i="262"/>
  <c r="J132" i="262"/>
  <c r="J137" i="262"/>
  <c r="K137" i="262"/>
  <c r="C137" i="263"/>
  <c r="J142" i="262"/>
  <c r="C142" i="263"/>
  <c r="K142" i="262"/>
  <c r="K141" i="262"/>
  <c r="C141" i="263"/>
  <c r="J141" i="262"/>
  <c r="C136" i="263"/>
  <c r="K136" i="262"/>
  <c r="J136" i="262"/>
  <c r="K134" i="262"/>
  <c r="C134" i="263"/>
  <c r="J134" i="262"/>
  <c r="C139" i="263"/>
  <c r="J139" i="262"/>
  <c r="K139" i="262"/>
  <c r="L139" i="262" s="1"/>
  <c r="D103" i="239"/>
  <c r="C106" i="201"/>
  <c r="D106" i="201" s="1"/>
  <c r="E108" i="237"/>
  <c r="G108" i="189"/>
  <c r="E108" i="190"/>
  <c r="H112" i="242"/>
  <c r="H103" i="242"/>
  <c r="E99" i="190"/>
  <c r="F112" i="239"/>
  <c r="E103" i="239"/>
  <c r="F110" i="239"/>
  <c r="E99" i="237"/>
  <c r="B103" i="189"/>
  <c r="H107" i="242"/>
  <c r="G103" i="189"/>
  <c r="E107" i="239"/>
  <c r="E103" i="190"/>
  <c r="E103" i="237"/>
  <c r="B105" i="242"/>
  <c r="B101" i="237" s="1"/>
  <c r="B105" i="239" s="1"/>
  <c r="G101" i="189"/>
  <c r="H105" i="242"/>
  <c r="E105" i="239"/>
  <c r="E101" i="190"/>
  <c r="E101" i="237"/>
  <c r="H96" i="242"/>
  <c r="E92" i="190"/>
  <c r="E92" i="237"/>
  <c r="D100" i="201"/>
  <c r="B101" i="242"/>
  <c r="B97" i="237" s="1"/>
  <c r="B101" i="239" s="1"/>
  <c r="D103" i="201"/>
  <c r="D97" i="201"/>
  <c r="D102" i="201"/>
  <c r="B102" i="242"/>
  <c r="B98" i="237" s="1"/>
  <c r="B102" i="239" s="1"/>
  <c r="H101" i="242"/>
  <c r="G97" i="189"/>
  <c r="E101" i="239"/>
  <c r="E97" i="237"/>
  <c r="E97" i="190"/>
  <c r="B100" i="189"/>
  <c r="D105" i="201"/>
  <c r="E102" i="239"/>
  <c r="E98" i="237"/>
  <c r="E98" i="190"/>
  <c r="G98" i="189"/>
  <c r="H102" i="242"/>
  <c r="D104" i="201"/>
  <c r="E100" i="190"/>
  <c r="G100" i="189"/>
  <c r="E100" i="237"/>
  <c r="H104" i="242"/>
  <c r="E104" i="239"/>
  <c r="G92" i="189"/>
  <c r="H89" i="242"/>
  <c r="H90" i="242"/>
  <c r="H38" i="242"/>
  <c r="H94" i="242"/>
  <c r="H24" i="242"/>
  <c r="B20" i="189"/>
  <c r="B88" i="189"/>
  <c r="B9" i="189"/>
  <c r="B13" i="242" s="1"/>
  <c r="B9" i="237" s="1"/>
  <c r="B13" i="239" s="1"/>
  <c r="C7" i="201" s="1"/>
  <c r="B92" i="189"/>
  <c r="B34" i="189"/>
  <c r="B96" i="189"/>
  <c r="B93" i="189"/>
  <c r="B91" i="189"/>
  <c r="H100" i="242"/>
  <c r="E96" i="237"/>
  <c r="E96" i="190"/>
  <c r="G96" i="189"/>
  <c r="H97" i="242"/>
  <c r="G93" i="189"/>
  <c r="E93" i="237"/>
  <c r="E93" i="190"/>
  <c r="H95" i="242"/>
  <c r="G91" i="189"/>
  <c r="E91" i="190"/>
  <c r="E91" i="237"/>
  <c r="B94" i="189"/>
  <c r="B95" i="189"/>
  <c r="B89" i="189"/>
  <c r="H98" i="242"/>
  <c r="G94" i="189"/>
  <c r="E94" i="237"/>
  <c r="E94" i="190"/>
  <c r="E95" i="190"/>
  <c r="E95" i="237"/>
  <c r="G95" i="189"/>
  <c r="H99" i="242"/>
  <c r="E89" i="237"/>
  <c r="G89" i="189"/>
  <c r="H93" i="242"/>
  <c r="E89" i="190"/>
  <c r="H92" i="242"/>
  <c r="E88" i="237"/>
  <c r="E88" i="190"/>
  <c r="G88" i="189"/>
  <c r="E86" i="190"/>
  <c r="E86" i="237"/>
  <c r="G86" i="189"/>
  <c r="E90" i="190"/>
  <c r="E90" i="237"/>
  <c r="G90" i="189"/>
  <c r="B85" i="189"/>
  <c r="E85" i="237"/>
  <c r="G85" i="189"/>
  <c r="E85" i="190"/>
  <c r="B86" i="189"/>
  <c r="B90" i="189"/>
  <c r="A27" i="258"/>
  <c r="B14" i="190"/>
  <c r="A14" i="189" s="1"/>
  <c r="A18" i="242" s="1"/>
  <c r="A14" i="237" s="1"/>
  <c r="A18" i="239" s="1"/>
  <c r="G2" i="242"/>
  <c r="E2" i="242"/>
  <c r="G1" i="242"/>
  <c r="E1" i="242"/>
  <c r="I12" i="242"/>
  <c r="A10" i="242"/>
  <c r="L135" i="262" l="1"/>
  <c r="L136" i="262"/>
  <c r="J131" i="263"/>
  <c r="K131" i="263" s="1"/>
  <c r="I131" i="263"/>
  <c r="C121" i="255"/>
  <c r="I133" i="263"/>
  <c r="J133" i="263"/>
  <c r="C123" i="255"/>
  <c r="F103" i="239"/>
  <c r="L141" i="262"/>
  <c r="L134" i="262"/>
  <c r="L137" i="262"/>
  <c r="J142" i="263"/>
  <c r="I142" i="263"/>
  <c r="C132" i="255"/>
  <c r="I137" i="263"/>
  <c r="C127" i="255"/>
  <c r="J137" i="263"/>
  <c r="L132" i="263"/>
  <c r="J132" i="263"/>
  <c r="F132" i="263"/>
  <c r="G132" i="263"/>
  <c r="I132" i="263"/>
  <c r="C122" i="255"/>
  <c r="K132" i="263"/>
  <c r="I138" i="263"/>
  <c r="F138" i="263"/>
  <c r="K138" i="263"/>
  <c r="C128" i="255"/>
  <c r="L138" i="263"/>
  <c r="J138" i="263"/>
  <c r="G138" i="263"/>
  <c r="J141" i="263"/>
  <c r="I141" i="263"/>
  <c r="C131" i="255"/>
  <c r="J139" i="263"/>
  <c r="I139" i="263"/>
  <c r="C129" i="255"/>
  <c r="C124" i="255"/>
  <c r="J134" i="263"/>
  <c r="I134" i="263"/>
  <c r="G140" i="263"/>
  <c r="J140" i="263"/>
  <c r="I140" i="263"/>
  <c r="K140" i="263"/>
  <c r="L140" i="263"/>
  <c r="C130" i="255"/>
  <c r="F140" i="263"/>
  <c r="C126" i="255"/>
  <c r="I136" i="263"/>
  <c r="J136" i="263"/>
  <c r="K136" i="263" s="1"/>
  <c r="L142" i="262"/>
  <c r="J135" i="263"/>
  <c r="C125" i="255"/>
  <c r="I135" i="263"/>
  <c r="C99" i="201"/>
  <c r="D99" i="201" s="1"/>
  <c r="D105" i="239"/>
  <c r="F105" i="239" s="1"/>
  <c r="B107" i="242"/>
  <c r="B103" i="237" s="1"/>
  <c r="B107" i="239" s="1"/>
  <c r="B94" i="242"/>
  <c r="B90" i="237" s="1"/>
  <c r="B94" i="239" s="1"/>
  <c r="B97" i="242"/>
  <c r="B93" i="237" s="1"/>
  <c r="B97" i="239" s="1"/>
  <c r="H92" i="189"/>
  <c r="B96" i="242"/>
  <c r="B92" i="237" s="1"/>
  <c r="B96" i="239" s="1"/>
  <c r="C96" i="201"/>
  <c r="D96" i="201" s="1"/>
  <c r="D102" i="239"/>
  <c r="F102" i="239" s="1"/>
  <c r="H86" i="189"/>
  <c r="B90" i="242"/>
  <c r="B86" i="237" s="1"/>
  <c r="B90" i="239" s="1"/>
  <c r="H85" i="189"/>
  <c r="B89" i="242"/>
  <c r="B85" i="237" s="1"/>
  <c r="B89" i="239" s="1"/>
  <c r="B99" i="242"/>
  <c r="B95" i="237" s="1"/>
  <c r="B99" i="239" s="1"/>
  <c r="B100" i="242"/>
  <c r="B96" i="237" s="1"/>
  <c r="B100" i="239" s="1"/>
  <c r="B104" i="242"/>
  <c r="B100" i="237" s="1"/>
  <c r="B104" i="239" s="1"/>
  <c r="B98" i="242"/>
  <c r="B94" i="237" s="1"/>
  <c r="B98" i="239" s="1"/>
  <c r="B38" i="242"/>
  <c r="B34" i="237" s="1"/>
  <c r="B38" i="239" s="1"/>
  <c r="H88" i="189"/>
  <c r="B92" i="242"/>
  <c r="B88" i="237" s="1"/>
  <c r="B92" i="239" s="1"/>
  <c r="C95" i="201"/>
  <c r="D95" i="201" s="1"/>
  <c r="D101" i="239"/>
  <c r="F101" i="239" s="1"/>
  <c r="B95" i="242"/>
  <c r="B91" i="237" s="1"/>
  <c r="B95" i="239" s="1"/>
  <c r="B24" i="242"/>
  <c r="B20" i="237" s="1"/>
  <c r="B24" i="239" s="1"/>
  <c r="B93" i="242"/>
  <c r="B89" i="237" s="1"/>
  <c r="B93" i="239" s="1"/>
  <c r="A28" i="258"/>
  <c r="B15" i="190"/>
  <c r="A15" i="189" s="1"/>
  <c r="A19" i="242" s="1"/>
  <c r="A15" i="237" s="1"/>
  <c r="A19" i="239" s="1"/>
  <c r="K139" i="263" l="1"/>
  <c r="K135" i="263"/>
  <c r="D123" i="255"/>
  <c r="B123" i="255"/>
  <c r="C123" i="256"/>
  <c r="B121" i="255"/>
  <c r="C121" i="256"/>
  <c r="D121" i="255"/>
  <c r="K133" i="263"/>
  <c r="K142" i="263"/>
  <c r="K137" i="263"/>
  <c r="K141" i="263"/>
  <c r="K134" i="263"/>
  <c r="D126" i="255"/>
  <c r="B126" i="255"/>
  <c r="C126" i="256"/>
  <c r="G122" i="255"/>
  <c r="B128" i="255"/>
  <c r="R128" i="255"/>
  <c r="O128" i="255"/>
  <c r="D128" i="255"/>
  <c r="L128" i="255"/>
  <c r="E128" i="255"/>
  <c r="V128" i="255"/>
  <c r="W128" i="255" s="1"/>
  <c r="P128" i="256" s="1"/>
  <c r="S128" i="255"/>
  <c r="C128" i="256"/>
  <c r="H128" i="255"/>
  <c r="P128" i="255"/>
  <c r="F128" i="255"/>
  <c r="X128" i="255" s="1"/>
  <c r="I128" i="255"/>
  <c r="J128" i="255"/>
  <c r="M128" i="255"/>
  <c r="U128" i="255"/>
  <c r="B132" i="255"/>
  <c r="C132" i="256"/>
  <c r="D132" i="255"/>
  <c r="M130" i="255"/>
  <c r="O130" i="255"/>
  <c r="S130" i="255"/>
  <c r="R130" i="255"/>
  <c r="D130" i="255"/>
  <c r="I130" i="255"/>
  <c r="H130" i="255"/>
  <c r="U130" i="255"/>
  <c r="C130" i="256"/>
  <c r="J130" i="255"/>
  <c r="P130" i="255"/>
  <c r="B130" i="255"/>
  <c r="E130" i="255"/>
  <c r="F130" i="255"/>
  <c r="X130" i="255" s="1"/>
  <c r="L130" i="255"/>
  <c r="V130" i="255"/>
  <c r="W130" i="255" s="1"/>
  <c r="P130" i="256" s="1"/>
  <c r="D124" i="255"/>
  <c r="C124" i="256"/>
  <c r="B124" i="255"/>
  <c r="B129" i="255"/>
  <c r="C129" i="256"/>
  <c r="D129" i="255"/>
  <c r="B131" i="255"/>
  <c r="C131" i="256"/>
  <c r="D131" i="255"/>
  <c r="G128" i="255"/>
  <c r="S122" i="255"/>
  <c r="M122" i="255"/>
  <c r="E122" i="255"/>
  <c r="O122" i="255"/>
  <c r="V122" i="255"/>
  <c r="W122" i="255" s="1"/>
  <c r="P122" i="256" s="1"/>
  <c r="P122" i="255"/>
  <c r="D122" i="255"/>
  <c r="U122" i="255"/>
  <c r="H122" i="255"/>
  <c r="I122" i="255"/>
  <c r="B122" i="255"/>
  <c r="J122" i="255"/>
  <c r="R122" i="255"/>
  <c r="C122" i="256"/>
  <c r="F122" i="255"/>
  <c r="X122" i="255" s="1"/>
  <c r="L122" i="255"/>
  <c r="D127" i="255"/>
  <c r="C127" i="256"/>
  <c r="B127" i="255"/>
  <c r="B125" i="255"/>
  <c r="D125" i="255"/>
  <c r="C125" i="256"/>
  <c r="G130" i="255"/>
  <c r="C101" i="201"/>
  <c r="D101" i="201" s="1"/>
  <c r="D107" i="239"/>
  <c r="F107" i="239" s="1"/>
  <c r="C86" i="201"/>
  <c r="D86" i="201" s="1"/>
  <c r="D92" i="239"/>
  <c r="F92" i="239" s="1"/>
  <c r="C98" i="201"/>
  <c r="D98" i="201" s="1"/>
  <c r="D104" i="239"/>
  <c r="F104" i="239" s="1"/>
  <c r="C93" i="201"/>
  <c r="D93" i="201" s="1"/>
  <c r="D99" i="239"/>
  <c r="F99" i="239" s="1"/>
  <c r="C84" i="201"/>
  <c r="D90" i="239"/>
  <c r="F90" i="239" s="1"/>
  <c r="C91" i="201"/>
  <c r="D91" i="201" s="1"/>
  <c r="D97" i="239"/>
  <c r="F97" i="239" s="1"/>
  <c r="C92" i="201"/>
  <c r="D92" i="201" s="1"/>
  <c r="D98" i="239"/>
  <c r="F98" i="239" s="1"/>
  <c r="C89" i="201"/>
  <c r="D89" i="201" s="1"/>
  <c r="D95" i="239"/>
  <c r="F95" i="239" s="1"/>
  <c r="C32" i="201"/>
  <c r="D32" i="201" s="1"/>
  <c r="D38" i="239"/>
  <c r="F38" i="239" s="1"/>
  <c r="C94" i="201"/>
  <c r="D94" i="201" s="1"/>
  <c r="D100" i="239"/>
  <c r="F100" i="239" s="1"/>
  <c r="C83" i="201"/>
  <c r="D89" i="239"/>
  <c r="F89" i="239" s="1"/>
  <c r="C90" i="201"/>
  <c r="D90" i="201" s="1"/>
  <c r="D96" i="239"/>
  <c r="F96" i="239" s="1"/>
  <c r="C88" i="201"/>
  <c r="D88" i="201" s="1"/>
  <c r="D94" i="239"/>
  <c r="F94" i="239" s="1"/>
  <c r="C18" i="201"/>
  <c r="D18" i="201" s="1"/>
  <c r="D24" i="239"/>
  <c r="F24" i="239" s="1"/>
  <c r="C87" i="201"/>
  <c r="D93" i="239"/>
  <c r="F93" i="239" s="1"/>
  <c r="A29" i="258"/>
  <c r="B16" i="190"/>
  <c r="A16" i="189" s="1"/>
  <c r="A20" i="242" s="1"/>
  <c r="A16" i="237" s="1"/>
  <c r="A20" i="239" s="1"/>
  <c r="G123" i="256" l="1"/>
  <c r="B123" i="256"/>
  <c r="C123" i="257"/>
  <c r="B123" i="257" s="1"/>
  <c r="C121" i="257"/>
  <c r="B121" i="257" s="1"/>
  <c r="G121" i="256"/>
  <c r="B121" i="256"/>
  <c r="P122" i="257"/>
  <c r="Q122" i="256"/>
  <c r="Q122" i="257" s="1"/>
  <c r="P130" i="257"/>
  <c r="Q130" i="256"/>
  <c r="Q130" i="257" s="1"/>
  <c r="P128" i="257"/>
  <c r="Q128" i="256"/>
  <c r="Q128" i="257" s="1"/>
  <c r="C125" i="257"/>
  <c r="G125" i="256"/>
  <c r="C124" i="257"/>
  <c r="G124" i="256"/>
  <c r="C132" i="257"/>
  <c r="G132" i="256"/>
  <c r="C126" i="257"/>
  <c r="G126" i="256"/>
  <c r="C127" i="257"/>
  <c r="G127" i="256"/>
  <c r="C122" i="257"/>
  <c r="G122" i="256"/>
  <c r="C131" i="257"/>
  <c r="G131" i="256"/>
  <c r="C129" i="257"/>
  <c r="G129" i="256"/>
  <c r="C130" i="257"/>
  <c r="G130" i="256"/>
  <c r="C128" i="257"/>
  <c r="G128" i="256"/>
  <c r="B125" i="256"/>
  <c r="B126" i="256"/>
  <c r="B127" i="256"/>
  <c r="B122" i="256"/>
  <c r="B124" i="256"/>
  <c r="K130" i="255"/>
  <c r="N130" i="255" s="1"/>
  <c r="B131" i="256"/>
  <c r="B129" i="256"/>
  <c r="B130" i="256"/>
  <c r="B132" i="256"/>
  <c r="K128" i="255"/>
  <c r="N128" i="255" s="1"/>
  <c r="K122" i="255"/>
  <c r="N122" i="255" s="1"/>
  <c r="Q122" i="255" s="1"/>
  <c r="B128" i="256"/>
  <c r="D84" i="201"/>
  <c r="N83" i="201"/>
  <c r="D83" i="201"/>
  <c r="M83" i="201" s="1"/>
  <c r="D87" i="201"/>
  <c r="A30" i="258"/>
  <c r="B17" i="190"/>
  <c r="A17" i="189" s="1"/>
  <c r="A21" i="242" s="1"/>
  <c r="A17" i="237" s="1"/>
  <c r="A21" i="239" s="1"/>
  <c r="G121" i="257" l="1"/>
  <c r="F121" i="246"/>
  <c r="BD121" i="246" s="1"/>
  <c r="G123" i="257"/>
  <c r="F123" i="246"/>
  <c r="BD123" i="246" s="1"/>
  <c r="G132" i="257"/>
  <c r="F132" i="246"/>
  <c r="BD132" i="246" s="1"/>
  <c r="G131" i="257"/>
  <c r="F131" i="246"/>
  <c r="BD131" i="246" s="1"/>
  <c r="G130" i="257"/>
  <c r="F130" i="246"/>
  <c r="BD130" i="246" s="1"/>
  <c r="G129" i="257"/>
  <c r="F129" i="246"/>
  <c r="BD129" i="246" s="1"/>
  <c r="G128" i="257"/>
  <c r="F128" i="246"/>
  <c r="BD128" i="246" s="1"/>
  <c r="G127" i="257"/>
  <c r="F127" i="246"/>
  <c r="BD127" i="246" s="1"/>
  <c r="G126" i="257"/>
  <c r="F126" i="246"/>
  <c r="BD126" i="246" s="1"/>
  <c r="G125" i="257"/>
  <c r="F125" i="246"/>
  <c r="BD125" i="246" s="1"/>
  <c r="G124" i="257"/>
  <c r="F124" i="246"/>
  <c r="BD124" i="246" s="1"/>
  <c r="G122" i="257"/>
  <c r="F122" i="246"/>
  <c r="BD122" i="246" s="1"/>
  <c r="B128" i="257"/>
  <c r="B122" i="257"/>
  <c r="B125" i="257"/>
  <c r="B132" i="257"/>
  <c r="B126" i="257"/>
  <c r="B130" i="257"/>
  <c r="T122" i="255"/>
  <c r="Q128" i="255"/>
  <c r="T128" i="255" s="1"/>
  <c r="B124" i="257"/>
  <c r="B127" i="257"/>
  <c r="B129" i="257"/>
  <c r="B131" i="257"/>
  <c r="Q130" i="255"/>
  <c r="T130" i="255" s="1"/>
  <c r="O83" i="201"/>
  <c r="D97" i="244" s="1"/>
  <c r="A31" i="258"/>
  <c r="B18" i="190"/>
  <c r="A18" i="189" s="1"/>
  <c r="A22" i="242" s="1"/>
  <c r="A18" i="237" s="1"/>
  <c r="A22" i="239" s="1"/>
  <c r="A32" i="258" l="1"/>
  <c r="B19" i="190"/>
  <c r="A19" i="189" s="1"/>
  <c r="A23" i="242" s="1"/>
  <c r="A19" i="237" s="1"/>
  <c r="A23" i="239" s="1"/>
  <c r="A7" i="189"/>
  <c r="A7" i="237"/>
  <c r="A11" i="239"/>
  <c r="K4" i="239"/>
  <c r="L4" i="239"/>
  <c r="K5" i="239"/>
  <c r="L5" i="239"/>
  <c r="L3" i="239"/>
  <c r="K3" i="239"/>
  <c r="A1" i="239"/>
  <c r="G2" i="239"/>
  <c r="E2" i="239"/>
  <c r="G1" i="239"/>
  <c r="E1" i="239"/>
  <c r="A33" i="258" l="1"/>
  <c r="B20" i="190"/>
  <c r="A20" i="189" s="1"/>
  <c r="A24" i="242" s="1"/>
  <c r="A20" i="237" s="1"/>
  <c r="A24" i="239" s="1"/>
  <c r="B4" i="237"/>
  <c r="C4" i="237"/>
  <c r="C3" i="237"/>
  <c r="B3" i="237"/>
  <c r="C2" i="237"/>
  <c r="B2" i="237"/>
  <c r="B1" i="237"/>
  <c r="G2" i="237"/>
  <c r="E2" i="237"/>
  <c r="G1" i="237"/>
  <c r="E1" i="237"/>
  <c r="A34" i="258" l="1"/>
  <c r="B21" i="190"/>
  <c r="A21" i="189" s="1"/>
  <c r="A25" i="242" s="1"/>
  <c r="A21" i="237" s="1"/>
  <c r="A25" i="239" s="1"/>
  <c r="A35" i="258" l="1"/>
  <c r="B22" i="190"/>
  <c r="A22" i="189" s="1"/>
  <c r="A26" i="242" s="1"/>
  <c r="A22" i="237" s="1"/>
  <c r="A26" i="239" s="1"/>
  <c r="A36" i="258" l="1"/>
  <c r="B23" i="190"/>
  <c r="A23" i="189" s="1"/>
  <c r="A27" i="242" s="1"/>
  <c r="A23" i="237" s="1"/>
  <c r="A27" i="239" s="1"/>
  <c r="A37" i="258" l="1"/>
  <c r="B24" i="190"/>
  <c r="A24" i="189" s="1"/>
  <c r="A28" i="242" s="1"/>
  <c r="A24" i="237" s="1"/>
  <c r="A28" i="239" s="1"/>
  <c r="A38" i="258" l="1"/>
  <c r="B25" i="190"/>
  <c r="A25" i="189" s="1"/>
  <c r="A29" i="242" s="1"/>
  <c r="A25" i="237" s="1"/>
  <c r="A29" i="239" s="1"/>
  <c r="A39" i="258" l="1"/>
  <c r="B26" i="190"/>
  <c r="A26" i="189" s="1"/>
  <c r="A30" i="242" s="1"/>
  <c r="A26" i="237" s="1"/>
  <c r="A30" i="239" s="1"/>
  <c r="A40" i="258" l="1"/>
  <c r="B27" i="190"/>
  <c r="A27" i="189" s="1"/>
  <c r="A31" i="242" s="1"/>
  <c r="A27" i="237" s="1"/>
  <c r="A31" i="239" s="1"/>
  <c r="A41" i="258" l="1"/>
  <c r="B28" i="190"/>
  <c r="A28" i="189" s="1"/>
  <c r="A32" i="242" s="1"/>
  <c r="A28" i="237" s="1"/>
  <c r="A32" i="239" s="1"/>
  <c r="A42" i="258" l="1"/>
  <c r="B29" i="190"/>
  <c r="A29" i="189" s="1"/>
  <c r="A33" i="242" s="1"/>
  <c r="A29" i="237" s="1"/>
  <c r="A33" i="239" s="1"/>
  <c r="A43" i="258" l="1"/>
  <c r="B30" i="190"/>
  <c r="A30" i="189" s="1"/>
  <c r="A34" i="242" s="1"/>
  <c r="A30" i="237" s="1"/>
  <c r="A34" i="239" s="1"/>
  <c r="A44" i="258" l="1"/>
  <c r="B31" i="190"/>
  <c r="A31" i="189" s="1"/>
  <c r="A35" i="242" s="1"/>
  <c r="A31" i="237" s="1"/>
  <c r="A35" i="239" s="1"/>
  <c r="A45" i="258" l="1"/>
  <c r="B32" i="190"/>
  <c r="A32" i="189" s="1"/>
  <c r="A36" i="242" s="1"/>
  <c r="A32" i="237" s="1"/>
  <c r="A36" i="239" s="1"/>
  <c r="AA110" i="242"/>
  <c r="A46" i="258" l="1"/>
  <c r="B33" i="190"/>
  <c r="A33" i="189" s="1"/>
  <c r="A37" i="242" s="1"/>
  <c r="A33" i="237" s="1"/>
  <c r="A37" i="239" s="1"/>
  <c r="AA104" i="242"/>
  <c r="P104" i="242"/>
  <c r="Q104" i="242"/>
  <c r="R104" i="242"/>
  <c r="O104" i="242"/>
  <c r="F101" i="189"/>
  <c r="AA105" i="242"/>
  <c r="Q105" i="242"/>
  <c r="R105" i="242"/>
  <c r="O105" i="242"/>
  <c r="P105" i="242"/>
  <c r="AA90" i="242"/>
  <c r="P90" i="242"/>
  <c r="Q90" i="242"/>
  <c r="R90" i="242"/>
  <c r="O90" i="242"/>
  <c r="F85" i="189"/>
  <c r="F86" i="189"/>
  <c r="AA89" i="242"/>
  <c r="Q89" i="242"/>
  <c r="P89" i="242"/>
  <c r="O89" i="242"/>
  <c r="R89" i="242"/>
  <c r="F100" i="189"/>
  <c r="AA96" i="242"/>
  <c r="AA24" i="242"/>
  <c r="AA97" i="242"/>
  <c r="AA102" i="242"/>
  <c r="AA98" i="242"/>
  <c r="AA100" i="242"/>
  <c r="AA111" i="242"/>
  <c r="F106" i="189"/>
  <c r="AA93" i="242"/>
  <c r="AA101" i="242"/>
  <c r="AA109" i="242"/>
  <c r="AA94" i="242"/>
  <c r="AA112" i="242"/>
  <c r="AA103" i="242"/>
  <c r="AA108" i="242"/>
  <c r="P110" i="242"/>
  <c r="R110" i="242"/>
  <c r="O110" i="242"/>
  <c r="Q110" i="242"/>
  <c r="AA99" i="242"/>
  <c r="AA95" i="242"/>
  <c r="AA92" i="242"/>
  <c r="AA107" i="242"/>
  <c r="AA106" i="242"/>
  <c r="S104" i="242" l="1" a="1"/>
  <c r="S104" i="242" s="1"/>
  <c r="I104" i="242" s="1"/>
  <c r="S110" i="242" a="1"/>
  <c r="S110" i="242" s="1"/>
  <c r="I110" i="242" s="1"/>
  <c r="S89" i="242" a="1"/>
  <c r="S89" i="242" s="1"/>
  <c r="I89" i="242" s="1"/>
  <c r="S105" i="242" a="1"/>
  <c r="S105" i="242" s="1"/>
  <c r="I105" i="242" s="1"/>
  <c r="S90" i="242" a="1"/>
  <c r="S90" i="242" s="1"/>
  <c r="I90" i="242" s="1"/>
  <c r="F85" i="237"/>
  <c r="F86" i="237"/>
  <c r="F101" i="237"/>
  <c r="F100" i="237"/>
  <c r="F106" i="237"/>
  <c r="A47" i="258"/>
  <c r="B34" i="190"/>
  <c r="A34" i="189" s="1"/>
  <c r="A38" i="242" s="1"/>
  <c r="A34" i="237" s="1"/>
  <c r="A38" i="239" s="1"/>
  <c r="F34" i="189"/>
  <c r="AA38" i="242"/>
  <c r="Q38" i="242"/>
  <c r="R38" i="242"/>
  <c r="O38" i="242"/>
  <c r="P38" i="242"/>
  <c r="O92" i="242"/>
  <c r="Q92" i="242"/>
  <c r="P92" i="242"/>
  <c r="R92" i="242"/>
  <c r="O99" i="242"/>
  <c r="Q99" i="242"/>
  <c r="P99" i="242"/>
  <c r="R99" i="242"/>
  <c r="F103" i="189"/>
  <c r="O95" i="242"/>
  <c r="Q95" i="242"/>
  <c r="P95" i="242"/>
  <c r="R95" i="242"/>
  <c r="P103" i="242"/>
  <c r="R103" i="242"/>
  <c r="O103" i="242"/>
  <c r="Q103" i="242"/>
  <c r="O102" i="242"/>
  <c r="Q102" i="242"/>
  <c r="P102" i="242"/>
  <c r="R102" i="242"/>
  <c r="P97" i="242"/>
  <c r="R97" i="242"/>
  <c r="O97" i="242"/>
  <c r="Q97" i="242"/>
  <c r="P24" i="242"/>
  <c r="R24" i="242"/>
  <c r="O24" i="242"/>
  <c r="Q24" i="242"/>
  <c r="F95" i="189"/>
  <c r="F104" i="189"/>
  <c r="O112" i="242"/>
  <c r="Q112" i="242"/>
  <c r="P112" i="242"/>
  <c r="R112" i="242"/>
  <c r="P94" i="242"/>
  <c r="R94" i="242"/>
  <c r="O94" i="242"/>
  <c r="Q94" i="242"/>
  <c r="F97" i="189"/>
  <c r="P93" i="242"/>
  <c r="R93" i="242"/>
  <c r="O93" i="242"/>
  <c r="Q93" i="242"/>
  <c r="O111" i="242"/>
  <c r="Q111" i="242"/>
  <c r="P111" i="242"/>
  <c r="R111" i="242"/>
  <c r="P100" i="242"/>
  <c r="R100" i="242"/>
  <c r="O100" i="242"/>
  <c r="Q100" i="242"/>
  <c r="O98" i="242"/>
  <c r="Q98" i="242"/>
  <c r="P98" i="242"/>
  <c r="R98" i="242"/>
  <c r="P107" i="242"/>
  <c r="R107" i="242"/>
  <c r="O107" i="242"/>
  <c r="Q107" i="242"/>
  <c r="F99" i="189"/>
  <c r="F105" i="189"/>
  <c r="O101" i="242"/>
  <c r="Q101" i="242"/>
  <c r="P101" i="242"/>
  <c r="R101" i="242"/>
  <c r="F98" i="189"/>
  <c r="O96" i="242"/>
  <c r="Q96" i="242"/>
  <c r="P96" i="242"/>
  <c r="R96" i="242"/>
  <c r="P106" i="242"/>
  <c r="R106" i="242"/>
  <c r="O106" i="242"/>
  <c r="Q106" i="242"/>
  <c r="F88" i="189"/>
  <c r="F102" i="189"/>
  <c r="F91" i="189"/>
  <c r="O108" i="242"/>
  <c r="Q108" i="242"/>
  <c r="P108" i="242"/>
  <c r="R108" i="242"/>
  <c r="F108" i="189"/>
  <c r="F90" i="189"/>
  <c r="P109" i="242"/>
  <c r="R109" i="242"/>
  <c r="O109" i="242"/>
  <c r="Q109" i="242"/>
  <c r="F89" i="189"/>
  <c r="F107" i="189"/>
  <c r="F96" i="189"/>
  <c r="F94" i="189"/>
  <c r="F93" i="189"/>
  <c r="F20" i="189"/>
  <c r="F92" i="189"/>
  <c r="S96" i="242" l="1" a="1"/>
  <c r="S96" i="242" s="1"/>
  <c r="I96" i="242" s="1"/>
  <c r="S111" i="242" a="1"/>
  <c r="S111" i="242" s="1"/>
  <c r="I111" i="242" s="1"/>
  <c r="S103" i="242" a="1"/>
  <c r="S103" i="242" s="1"/>
  <c r="I103" i="242" s="1"/>
  <c r="S38" i="242" a="1"/>
  <c r="S38" i="242" s="1"/>
  <c r="I38" i="242" s="1"/>
  <c r="S109" i="242" a="1"/>
  <c r="S109" i="242" s="1"/>
  <c r="I109" i="242" s="1"/>
  <c r="S101" i="242" a="1"/>
  <c r="S101" i="242" s="1"/>
  <c r="I101" i="242" s="1"/>
  <c r="S97" i="242" a="1"/>
  <c r="S97" i="242" s="1"/>
  <c r="I97" i="242" s="1"/>
  <c r="S102" i="242" a="1"/>
  <c r="S102" i="242" s="1"/>
  <c r="I102" i="242" s="1"/>
  <c r="S108" i="242" a="1"/>
  <c r="S108" i="242" s="1"/>
  <c r="I108" i="242" s="1"/>
  <c r="S107" i="242" a="1"/>
  <c r="S107" i="242" s="1"/>
  <c r="I107" i="242" s="1"/>
  <c r="S98" i="242" a="1"/>
  <c r="S98" i="242" s="1"/>
  <c r="I98" i="242" s="1"/>
  <c r="S93" i="242" a="1"/>
  <c r="S93" i="242" s="1"/>
  <c r="I93" i="242" s="1"/>
  <c r="S99" i="242" a="1"/>
  <c r="S99" i="242" s="1"/>
  <c r="I99" i="242" s="1"/>
  <c r="S92" i="242" a="1"/>
  <c r="S92" i="242" s="1"/>
  <c r="I92" i="242" s="1"/>
  <c r="S106" i="242" a="1"/>
  <c r="S106" i="242" s="1"/>
  <c r="I106" i="242" s="1"/>
  <c r="S100" i="242" a="1"/>
  <c r="S100" i="242" s="1"/>
  <c r="I100" i="242" s="1"/>
  <c r="S94" i="242" a="1"/>
  <c r="S94" i="242" s="1"/>
  <c r="I94" i="242" s="1"/>
  <c r="S112" i="242" a="1"/>
  <c r="S112" i="242" s="1"/>
  <c r="I112" i="242" s="1"/>
  <c r="S24" i="242" a="1"/>
  <c r="S24" i="242" s="1"/>
  <c r="I24" i="242" s="1"/>
  <c r="S95" i="242" a="1"/>
  <c r="S95" i="242" s="1"/>
  <c r="I95" i="242" s="1"/>
  <c r="F94" i="237"/>
  <c r="F92" i="237"/>
  <c r="F96" i="237"/>
  <c r="F98" i="237"/>
  <c r="F107" i="237"/>
  <c r="F88" i="237"/>
  <c r="F105" i="237"/>
  <c r="F104" i="237"/>
  <c r="F97" i="237"/>
  <c r="F103" i="237"/>
  <c r="F108" i="237"/>
  <c r="F99" i="237"/>
  <c r="F91" i="237"/>
  <c r="F95" i="237"/>
  <c r="F102" i="237"/>
  <c r="F89" i="237"/>
  <c r="F90" i="237"/>
  <c r="F93" i="237"/>
  <c r="A48" i="258"/>
  <c r="B35" i="190"/>
  <c r="A35" i="189" s="1"/>
  <c r="A39" i="242" s="1"/>
  <c r="A35" i="237" s="1"/>
  <c r="A39" i="239" s="1"/>
  <c r="A49" i="258" l="1"/>
  <c r="B36" i="190"/>
  <c r="A36" i="189" s="1"/>
  <c r="A40" i="242" s="1"/>
  <c r="A36" i="237" s="1"/>
  <c r="A40" i="239" s="1"/>
  <c r="A50" i="258" l="1"/>
  <c r="B37" i="190"/>
  <c r="A37" i="189" s="1"/>
  <c r="A41" i="242" s="1"/>
  <c r="A37" i="237" s="1"/>
  <c r="A41" i="239" s="1"/>
  <c r="C113" i="244" l="1"/>
  <c r="C112" i="244"/>
  <c r="C97" i="244"/>
  <c r="C98" i="244"/>
  <c r="C118" i="244"/>
  <c r="A51" i="258"/>
  <c r="B38" i="190"/>
  <c r="A38" i="189" s="1"/>
  <c r="A42" i="242" s="1"/>
  <c r="A38" i="237" s="1"/>
  <c r="A42" i="239" s="1"/>
  <c r="C32" i="244" l="1"/>
  <c r="S32" i="244" s="1"/>
  <c r="C46" i="244"/>
  <c r="S46" i="244" s="1"/>
  <c r="C107" i="244"/>
  <c r="C116" i="244"/>
  <c r="C117" i="244"/>
  <c r="C98" i="245"/>
  <c r="E98" i="245" s="1"/>
  <c r="S98" i="245" s="1"/>
  <c r="O98" i="244"/>
  <c r="N98" i="244"/>
  <c r="H98" i="244"/>
  <c r="S98" i="244"/>
  <c r="B98" i="244"/>
  <c r="C106" i="244"/>
  <c r="B97" i="244"/>
  <c r="H97" i="244"/>
  <c r="S97" i="244"/>
  <c r="N97" i="244"/>
  <c r="O97" i="244"/>
  <c r="C97" i="245"/>
  <c r="E97" i="245" s="1"/>
  <c r="S97" i="245" s="1"/>
  <c r="S112" i="244"/>
  <c r="C112" i="245"/>
  <c r="E112" i="245" s="1"/>
  <c r="S112" i="245" s="1"/>
  <c r="O112" i="244"/>
  <c r="N112" i="244"/>
  <c r="B112" i="244"/>
  <c r="H112" i="244"/>
  <c r="C100" i="244"/>
  <c r="S113" i="244"/>
  <c r="H113" i="244"/>
  <c r="C113" i="245"/>
  <c r="E113" i="245" s="1"/>
  <c r="S113" i="245" s="1"/>
  <c r="B113" i="244"/>
  <c r="N113" i="244"/>
  <c r="O113" i="244"/>
  <c r="C119" i="244"/>
  <c r="C111" i="244"/>
  <c r="C110" i="244"/>
  <c r="C102" i="244"/>
  <c r="C101" i="244"/>
  <c r="C104" i="244"/>
  <c r="C109" i="244"/>
  <c r="C103" i="244"/>
  <c r="N118" i="244"/>
  <c r="B118" i="244"/>
  <c r="C118" i="245"/>
  <c r="E118" i="245" s="1"/>
  <c r="S118" i="245" s="1"/>
  <c r="O118" i="244"/>
  <c r="S118" i="244"/>
  <c r="H118" i="244"/>
  <c r="C105" i="244"/>
  <c r="C108" i="244"/>
  <c r="C120" i="244"/>
  <c r="C114" i="244"/>
  <c r="C115" i="244"/>
  <c r="A52" i="258"/>
  <c r="B39" i="190"/>
  <c r="A39" i="189" s="1"/>
  <c r="A43" i="242" s="1"/>
  <c r="A39" i="237" s="1"/>
  <c r="A43" i="239" s="1"/>
  <c r="C32" i="245" l="1"/>
  <c r="N32" i="244"/>
  <c r="O32" i="244"/>
  <c r="B32" i="244"/>
  <c r="H32" i="244"/>
  <c r="B46" i="244"/>
  <c r="H46" i="244"/>
  <c r="N46" i="244"/>
  <c r="O46" i="244"/>
  <c r="C46" i="245"/>
  <c r="E46" i="245" s="1"/>
  <c r="S46" i="245" s="1"/>
  <c r="S101" i="244"/>
  <c r="N101" i="244"/>
  <c r="B101" i="244"/>
  <c r="O101" i="244"/>
  <c r="C101" i="245"/>
  <c r="E101" i="245" s="1"/>
  <c r="S101" i="245" s="1"/>
  <c r="H101" i="244"/>
  <c r="O102" i="244"/>
  <c r="B102" i="244"/>
  <c r="C102" i="245"/>
  <c r="E102" i="245" s="1"/>
  <c r="S102" i="245" s="1"/>
  <c r="S102" i="244"/>
  <c r="N102" i="244"/>
  <c r="H102" i="244"/>
  <c r="S100" i="244"/>
  <c r="C100" i="245"/>
  <c r="E100" i="245" s="1"/>
  <c r="S100" i="245" s="1"/>
  <c r="O100" i="244"/>
  <c r="N100" i="244"/>
  <c r="H100" i="244"/>
  <c r="B100" i="244"/>
  <c r="C117" i="245"/>
  <c r="E117" i="245" s="1"/>
  <c r="S117" i="245" s="1"/>
  <c r="B117" i="244"/>
  <c r="S117" i="244"/>
  <c r="O117" i="244"/>
  <c r="H117" i="244"/>
  <c r="N117" i="244"/>
  <c r="H114" i="244"/>
  <c r="S114" i="244"/>
  <c r="O114" i="244"/>
  <c r="B114" i="244"/>
  <c r="C114" i="245"/>
  <c r="E114" i="245" s="1"/>
  <c r="S114" i="245" s="1"/>
  <c r="N114" i="244"/>
  <c r="C32" i="246"/>
  <c r="C32" i="251" s="1"/>
  <c r="O119" i="244"/>
  <c r="N119" i="244"/>
  <c r="H119" i="244"/>
  <c r="S119" i="244"/>
  <c r="C119" i="245"/>
  <c r="B119" i="244"/>
  <c r="P112" i="245"/>
  <c r="B112" i="245"/>
  <c r="Q112" i="245"/>
  <c r="C112" i="246"/>
  <c r="C112" i="251" s="1"/>
  <c r="Q97" i="245"/>
  <c r="P97" i="245"/>
  <c r="C97" i="246"/>
  <c r="C97" i="251" s="1"/>
  <c r="B97" i="245"/>
  <c r="B107" i="244"/>
  <c r="N107" i="244"/>
  <c r="H107" i="244"/>
  <c r="S107" i="244"/>
  <c r="C107" i="245"/>
  <c r="E107" i="245" s="1"/>
  <c r="S107" i="245" s="1"/>
  <c r="O107" i="244"/>
  <c r="O103" i="244"/>
  <c r="N103" i="244"/>
  <c r="B103" i="244"/>
  <c r="H103" i="244"/>
  <c r="S103" i="244"/>
  <c r="C103" i="245"/>
  <c r="E103" i="245" s="1"/>
  <c r="S103" i="245" s="1"/>
  <c r="B109" i="244"/>
  <c r="C109" i="245"/>
  <c r="E109" i="245" s="1"/>
  <c r="S109" i="245" s="1"/>
  <c r="N109" i="244"/>
  <c r="H109" i="244"/>
  <c r="S109" i="244"/>
  <c r="O109" i="244"/>
  <c r="N110" i="244"/>
  <c r="B110" i="244"/>
  <c r="H110" i="244"/>
  <c r="C110" i="245"/>
  <c r="E110" i="245" s="1"/>
  <c r="S110" i="245" s="1"/>
  <c r="S110" i="244"/>
  <c r="O110" i="244"/>
  <c r="O111" i="244"/>
  <c r="C111" i="245"/>
  <c r="E111" i="245" s="1"/>
  <c r="S111" i="245" s="1"/>
  <c r="H111" i="244"/>
  <c r="S111" i="244"/>
  <c r="B111" i="244"/>
  <c r="N111" i="244"/>
  <c r="P98" i="245"/>
  <c r="Q98" i="245"/>
  <c r="B98" i="245"/>
  <c r="C98" i="246"/>
  <c r="C98" i="251" s="1"/>
  <c r="S116" i="244"/>
  <c r="N116" i="244"/>
  <c r="B116" i="244"/>
  <c r="C116" i="245"/>
  <c r="E116" i="245" s="1"/>
  <c r="S116" i="245" s="1"/>
  <c r="H116" i="244"/>
  <c r="O116" i="244"/>
  <c r="H115" i="244"/>
  <c r="B115" i="244"/>
  <c r="S115" i="244"/>
  <c r="N115" i="244"/>
  <c r="C115" i="245"/>
  <c r="E115" i="245" s="1"/>
  <c r="S115" i="245" s="1"/>
  <c r="O115" i="244"/>
  <c r="C120" i="245"/>
  <c r="E120" i="245" s="1"/>
  <c r="S120" i="245" s="1"/>
  <c r="B120" i="244"/>
  <c r="N120" i="244"/>
  <c r="S120" i="244"/>
  <c r="O120" i="244"/>
  <c r="H120" i="244"/>
  <c r="N108" i="244"/>
  <c r="H108" i="244"/>
  <c r="B108" i="244"/>
  <c r="S108" i="244"/>
  <c r="C108" i="245"/>
  <c r="E108" i="245" s="1"/>
  <c r="S108" i="245" s="1"/>
  <c r="O108" i="244"/>
  <c r="C105" i="245"/>
  <c r="E105" i="245" s="1"/>
  <c r="S105" i="245" s="1"/>
  <c r="B105" i="244"/>
  <c r="N105" i="244"/>
  <c r="O105" i="244"/>
  <c r="S105" i="244"/>
  <c r="H105" i="244"/>
  <c r="P118" i="245"/>
  <c r="C118" i="246"/>
  <c r="B118" i="245"/>
  <c r="Q118" i="245"/>
  <c r="C104" i="245"/>
  <c r="E104" i="245" s="1"/>
  <c r="S104" i="245" s="1"/>
  <c r="N104" i="244"/>
  <c r="O104" i="244"/>
  <c r="H104" i="244"/>
  <c r="S104" i="244"/>
  <c r="B104" i="244"/>
  <c r="B113" i="245"/>
  <c r="P113" i="245"/>
  <c r="Q113" i="245"/>
  <c r="C113" i="246"/>
  <c r="S106" i="244"/>
  <c r="O106" i="244"/>
  <c r="H106" i="244"/>
  <c r="N106" i="244"/>
  <c r="C106" i="245"/>
  <c r="E106" i="245" s="1"/>
  <c r="S106" i="245" s="1"/>
  <c r="B106" i="244"/>
  <c r="A53" i="258"/>
  <c r="B40" i="190"/>
  <c r="A40" i="189" s="1"/>
  <c r="A44" i="242" s="1"/>
  <c r="A40" i="237" s="1"/>
  <c r="A44" i="239" s="1"/>
  <c r="C119" i="246" l="1"/>
  <c r="E119" i="245"/>
  <c r="S119" i="245" s="1"/>
  <c r="Q32" i="245"/>
  <c r="E32" i="245"/>
  <c r="S32" i="245" s="1"/>
  <c r="B120" i="245"/>
  <c r="C120" i="246"/>
  <c r="BB119" i="246"/>
  <c r="C119" i="251"/>
  <c r="BA119" i="246"/>
  <c r="B119" i="246"/>
  <c r="BB118" i="246"/>
  <c r="BA118" i="246"/>
  <c r="C113" i="251"/>
  <c r="H113" i="246"/>
  <c r="M113" i="246"/>
  <c r="S113" i="246"/>
  <c r="V113" i="246" s="1"/>
  <c r="X113" i="246"/>
  <c r="AC113" i="246"/>
  <c r="AI113" i="246"/>
  <c r="AL113" i="246" s="1"/>
  <c r="AN113" i="246"/>
  <c r="AS113" i="246"/>
  <c r="I113" i="246"/>
  <c r="O113" i="246"/>
  <c r="R113" i="246" s="1"/>
  <c r="T113" i="246"/>
  <c r="Y113" i="246"/>
  <c r="AE113" i="246"/>
  <c r="AH113" i="246" s="1"/>
  <c r="AJ113" i="246"/>
  <c r="AO113" i="246"/>
  <c r="AU113" i="246"/>
  <c r="L113" i="246"/>
  <c r="W113" i="246"/>
  <c r="Z113" i="246" s="1"/>
  <c r="AG113" i="246"/>
  <c r="AR113" i="246"/>
  <c r="U113" i="246"/>
  <c r="P113" i="246"/>
  <c r="AA113" i="246"/>
  <c r="AD113" i="246" s="1"/>
  <c r="AK113" i="246"/>
  <c r="AV113" i="246"/>
  <c r="G113" i="246"/>
  <c r="J113" i="246" s="1"/>
  <c r="Q113" i="246"/>
  <c r="AB113" i="246"/>
  <c r="AM113" i="246"/>
  <c r="AP113" i="246" s="1"/>
  <c r="K113" i="246"/>
  <c r="N113" i="246" s="1"/>
  <c r="AF113" i="246"/>
  <c r="AQ113" i="246"/>
  <c r="AT113" i="246" s="1"/>
  <c r="C118" i="251"/>
  <c r="J97" i="251"/>
  <c r="G97" i="251"/>
  <c r="P32" i="245"/>
  <c r="B32" i="245"/>
  <c r="P46" i="245"/>
  <c r="B46" i="245"/>
  <c r="C46" i="246"/>
  <c r="Q46" i="245"/>
  <c r="C105" i="246"/>
  <c r="C105" i="251" s="1"/>
  <c r="Q105" i="245"/>
  <c r="B105" i="245"/>
  <c r="P105" i="245"/>
  <c r="C115" i="246"/>
  <c r="Q115" i="245"/>
  <c r="P115" i="245"/>
  <c r="B115" i="245"/>
  <c r="B110" i="245"/>
  <c r="P110" i="245"/>
  <c r="Q110" i="245"/>
  <c r="C110" i="246"/>
  <c r="C110" i="251" s="1"/>
  <c r="Q109" i="245"/>
  <c r="B109" i="245"/>
  <c r="C109" i="246"/>
  <c r="C109" i="251" s="1"/>
  <c r="P109" i="245"/>
  <c r="Q103" i="245"/>
  <c r="P103" i="245"/>
  <c r="B103" i="245"/>
  <c r="C103" i="246"/>
  <c r="C103" i="251" s="1"/>
  <c r="P107" i="245"/>
  <c r="Q107" i="245"/>
  <c r="C107" i="246"/>
  <c r="C107" i="251" s="1"/>
  <c r="B107" i="245"/>
  <c r="B117" i="245"/>
  <c r="Q117" i="245"/>
  <c r="C117" i="246"/>
  <c r="P117" i="245"/>
  <c r="C100" i="246"/>
  <c r="C100" i="251" s="1"/>
  <c r="B100" i="245"/>
  <c r="P100" i="245"/>
  <c r="Q100" i="245"/>
  <c r="Q102" i="245"/>
  <c r="B102" i="245"/>
  <c r="C102" i="246"/>
  <c r="C102" i="251" s="1"/>
  <c r="P102" i="245"/>
  <c r="B118" i="246"/>
  <c r="C108" i="246"/>
  <c r="C108" i="251" s="1"/>
  <c r="Q108" i="245"/>
  <c r="P108" i="245"/>
  <c r="B108" i="245"/>
  <c r="C116" i="246"/>
  <c r="B116" i="245"/>
  <c r="P116" i="245"/>
  <c r="Q116" i="245"/>
  <c r="B98" i="246"/>
  <c r="BA98" i="246"/>
  <c r="BB98" i="246"/>
  <c r="B97" i="246"/>
  <c r="BA97" i="246"/>
  <c r="BB97" i="246"/>
  <c r="BB112" i="246"/>
  <c r="BA112" i="246"/>
  <c r="B112" i="246"/>
  <c r="C104" i="246"/>
  <c r="C104" i="251" s="1"/>
  <c r="B104" i="245"/>
  <c r="P104" i="245"/>
  <c r="Q104" i="245"/>
  <c r="P120" i="245"/>
  <c r="Q120" i="245"/>
  <c r="C114" i="246"/>
  <c r="P114" i="245"/>
  <c r="B114" i="245"/>
  <c r="Q114" i="245"/>
  <c r="Q101" i="245"/>
  <c r="P101" i="245"/>
  <c r="C101" i="246"/>
  <c r="C101" i="251" s="1"/>
  <c r="B101" i="245"/>
  <c r="Q106" i="245"/>
  <c r="C106" i="246"/>
  <c r="C106" i="251" s="1"/>
  <c r="P106" i="245"/>
  <c r="B106" i="245"/>
  <c r="B113" i="246"/>
  <c r="BA113" i="246"/>
  <c r="BB113" i="246"/>
  <c r="Q111" i="245"/>
  <c r="C111" i="246"/>
  <c r="C111" i="251" s="1"/>
  <c r="P111" i="245"/>
  <c r="B111" i="245"/>
  <c r="B119" i="245"/>
  <c r="Q119" i="245"/>
  <c r="P119" i="245"/>
  <c r="BB32" i="246"/>
  <c r="B32" i="246"/>
  <c r="BA32" i="246"/>
  <c r="A54" i="258"/>
  <c r="B41" i="190"/>
  <c r="A41" i="189" s="1"/>
  <c r="A45" i="242" s="1"/>
  <c r="A41" i="237" s="1"/>
  <c r="A45" i="239" s="1"/>
  <c r="B119" i="251" l="1"/>
  <c r="D119" i="251"/>
  <c r="C119" i="252"/>
  <c r="F119" i="251"/>
  <c r="BA117" i="246"/>
  <c r="K117" i="246"/>
  <c r="N117" i="246" s="1"/>
  <c r="P117" i="246"/>
  <c r="U117" i="246"/>
  <c r="AA117" i="246"/>
  <c r="AD117" i="246" s="1"/>
  <c r="AF117" i="246"/>
  <c r="AK117" i="246"/>
  <c r="AQ117" i="246"/>
  <c r="AT117" i="246" s="1"/>
  <c r="BB117" i="246"/>
  <c r="G117" i="246"/>
  <c r="J117" i="246" s="1"/>
  <c r="L117" i="246"/>
  <c r="Q117" i="246"/>
  <c r="W117" i="246"/>
  <c r="Z117" i="246" s="1"/>
  <c r="AB117" i="246"/>
  <c r="AG117" i="246"/>
  <c r="AM117" i="246"/>
  <c r="AP117" i="246" s="1"/>
  <c r="AR117" i="246"/>
  <c r="O117" i="246"/>
  <c r="R117" i="246" s="1"/>
  <c r="Y117" i="246"/>
  <c r="AJ117" i="246"/>
  <c r="AU117" i="246"/>
  <c r="AV117" i="246"/>
  <c r="X117" i="246"/>
  <c r="H117" i="246"/>
  <c r="S117" i="246"/>
  <c r="V117" i="246" s="1"/>
  <c r="AC117" i="246"/>
  <c r="AN117" i="246"/>
  <c r="I117" i="246"/>
  <c r="T117" i="246"/>
  <c r="AE117" i="246"/>
  <c r="AH117" i="246" s="1"/>
  <c r="AO117" i="246"/>
  <c r="M117" i="246"/>
  <c r="AS117" i="246"/>
  <c r="AI117" i="246"/>
  <c r="AL117" i="246" s="1"/>
  <c r="BA116" i="246"/>
  <c r="I116" i="246"/>
  <c r="O116" i="246"/>
  <c r="R116" i="246" s="1"/>
  <c r="T116" i="246"/>
  <c r="Y116" i="246"/>
  <c r="AE116" i="246"/>
  <c r="AH116" i="246" s="1"/>
  <c r="AJ116" i="246"/>
  <c r="AO116" i="246"/>
  <c r="AU116" i="246"/>
  <c r="BB116" i="246"/>
  <c r="K116" i="246"/>
  <c r="N116" i="246" s="1"/>
  <c r="P116" i="246"/>
  <c r="U116" i="246"/>
  <c r="AA116" i="246"/>
  <c r="AD116" i="246" s="1"/>
  <c r="AF116" i="246"/>
  <c r="AK116" i="246"/>
  <c r="AQ116" i="246"/>
  <c r="AT116" i="246" s="1"/>
  <c r="M116" i="246"/>
  <c r="X116" i="246"/>
  <c r="AI116" i="246"/>
  <c r="AL116" i="246" s="1"/>
  <c r="AS116" i="246"/>
  <c r="L116" i="246"/>
  <c r="AR116" i="246"/>
  <c r="AV116" i="246"/>
  <c r="G116" i="246"/>
  <c r="J116" i="246" s="1"/>
  <c r="Q116" i="246"/>
  <c r="AB116" i="246"/>
  <c r="AM116" i="246"/>
  <c r="AP116" i="246" s="1"/>
  <c r="H116" i="246"/>
  <c r="S116" i="246"/>
  <c r="V116" i="246" s="1"/>
  <c r="AC116" i="246"/>
  <c r="AN116" i="246"/>
  <c r="AG116" i="246"/>
  <c r="W116" i="246"/>
  <c r="Z116" i="246" s="1"/>
  <c r="BB120" i="246"/>
  <c r="C120" i="251"/>
  <c r="BA120" i="246"/>
  <c r="B120" i="246"/>
  <c r="C114" i="251"/>
  <c r="BA114" i="246"/>
  <c r="BB114" i="246"/>
  <c r="C115" i="251"/>
  <c r="BA115" i="246"/>
  <c r="BB115" i="246"/>
  <c r="G113" i="251"/>
  <c r="J113" i="251"/>
  <c r="C116" i="251"/>
  <c r="C117" i="251"/>
  <c r="BA46" i="246"/>
  <c r="C46" i="251"/>
  <c r="BB46" i="246"/>
  <c r="B46" i="246"/>
  <c r="BA111" i="246"/>
  <c r="B111" i="246"/>
  <c r="BB111" i="246"/>
  <c r="B114" i="246"/>
  <c r="AE112" i="248"/>
  <c r="AE98" i="248"/>
  <c r="BB102" i="246"/>
  <c r="BA102" i="246"/>
  <c r="B102" i="246"/>
  <c r="BB100" i="246"/>
  <c r="BA100" i="246"/>
  <c r="B100" i="246"/>
  <c r="B103" i="246"/>
  <c r="BA103" i="246"/>
  <c r="BB103" i="246"/>
  <c r="BB106" i="246"/>
  <c r="BA106" i="246"/>
  <c r="B106" i="246"/>
  <c r="AE32" i="248"/>
  <c r="B101" i="246"/>
  <c r="BB101" i="246"/>
  <c r="BA101" i="246"/>
  <c r="BB104" i="246"/>
  <c r="B104" i="246"/>
  <c r="BA104" i="246"/>
  <c r="AE97" i="248"/>
  <c r="B108" i="246"/>
  <c r="BA108" i="246"/>
  <c r="BB108" i="246"/>
  <c r="BB110" i="246"/>
  <c r="B110" i="246"/>
  <c r="BA110" i="246"/>
  <c r="AE113" i="248"/>
  <c r="B116" i="246"/>
  <c r="AE118" i="248"/>
  <c r="B117" i="246"/>
  <c r="B107" i="246"/>
  <c r="BB107" i="246"/>
  <c r="BA107" i="246"/>
  <c r="B109" i="246"/>
  <c r="BB109" i="246"/>
  <c r="BA109" i="246"/>
  <c r="B115" i="246"/>
  <c r="BA105" i="246"/>
  <c r="BB105" i="246"/>
  <c r="B105" i="246"/>
  <c r="A55" i="258"/>
  <c r="B42" i="190"/>
  <c r="A42" i="189" s="1"/>
  <c r="A46" i="242" s="1"/>
  <c r="A42" i="237" s="1"/>
  <c r="A46" i="239" s="1"/>
  <c r="G117" i="251" l="1"/>
  <c r="J117" i="251"/>
  <c r="G116" i="251"/>
  <c r="J116" i="251"/>
  <c r="D120" i="251"/>
  <c r="C120" i="252"/>
  <c r="F120" i="251"/>
  <c r="B120" i="251"/>
  <c r="B119" i="252"/>
  <c r="B129" i="262" s="1"/>
  <c r="B129" i="263" s="1"/>
  <c r="C129" i="262"/>
  <c r="X112" i="248"/>
  <c r="AE46" i="248"/>
  <c r="B98" i="251"/>
  <c r="F98" i="251"/>
  <c r="D98" i="251"/>
  <c r="D97" i="251"/>
  <c r="B97" i="251"/>
  <c r="F97" i="251"/>
  <c r="Y97" i="248"/>
  <c r="AE105" i="248"/>
  <c r="AE115" i="248"/>
  <c r="S97" i="249"/>
  <c r="AE104" i="248"/>
  <c r="S32" i="249"/>
  <c r="AE114" i="248"/>
  <c r="AE111" i="248"/>
  <c r="AE117" i="248"/>
  <c r="AE110" i="248"/>
  <c r="AE101" i="248"/>
  <c r="AE119" i="248"/>
  <c r="AE120" i="248"/>
  <c r="AE103" i="248"/>
  <c r="AE109" i="248"/>
  <c r="AE107" i="248"/>
  <c r="AE106" i="248"/>
  <c r="S98" i="249"/>
  <c r="Y112" i="248"/>
  <c r="S112" i="249"/>
  <c r="S118" i="249"/>
  <c r="AE116" i="248"/>
  <c r="S113" i="249"/>
  <c r="AE108" i="248"/>
  <c r="AE100" i="248"/>
  <c r="AE102" i="248"/>
  <c r="A56" i="258"/>
  <c r="B43" i="190"/>
  <c r="A43" i="189" s="1"/>
  <c r="A47" i="242" s="1"/>
  <c r="A43" i="237" s="1"/>
  <c r="A47" i="239" s="1"/>
  <c r="B120" i="252" l="1"/>
  <c r="B130" i="262" s="1"/>
  <c r="B130" i="263" s="1"/>
  <c r="C130" i="262"/>
  <c r="J129" i="262"/>
  <c r="K129" i="262"/>
  <c r="C129" i="263"/>
  <c r="Y118" i="248"/>
  <c r="X118" i="248"/>
  <c r="Y109" i="248"/>
  <c r="S46" i="249"/>
  <c r="Y46" i="248"/>
  <c r="F104" i="251"/>
  <c r="B104" i="251"/>
  <c r="D104" i="251"/>
  <c r="F102" i="251"/>
  <c r="B102" i="251"/>
  <c r="D102" i="251"/>
  <c r="B100" i="251"/>
  <c r="F100" i="251"/>
  <c r="D100" i="251"/>
  <c r="D103" i="251"/>
  <c r="B103" i="251"/>
  <c r="F103" i="251"/>
  <c r="D101" i="251"/>
  <c r="F101" i="251"/>
  <c r="B101" i="251"/>
  <c r="F32" i="251"/>
  <c r="F112" i="251"/>
  <c r="F46" i="251"/>
  <c r="F113" i="251"/>
  <c r="F118" i="251"/>
  <c r="X97" i="248"/>
  <c r="X98" i="248"/>
  <c r="Y98" i="248"/>
  <c r="S106" i="249"/>
  <c r="S101" i="249"/>
  <c r="C97" i="252"/>
  <c r="X115" i="248"/>
  <c r="Y115" i="248"/>
  <c r="S108" i="249"/>
  <c r="B113" i="251"/>
  <c r="C113" i="252"/>
  <c r="D113" i="251"/>
  <c r="S116" i="249"/>
  <c r="B118" i="251"/>
  <c r="C118" i="252"/>
  <c r="D118" i="251"/>
  <c r="X109" i="248"/>
  <c r="S120" i="249"/>
  <c r="S110" i="249"/>
  <c r="S111" i="249"/>
  <c r="S115" i="249"/>
  <c r="S105" i="249"/>
  <c r="S100" i="249"/>
  <c r="C98" i="252"/>
  <c r="S107" i="249"/>
  <c r="S114" i="249"/>
  <c r="D32" i="251"/>
  <c r="C32" i="252"/>
  <c r="C42" i="262" s="1"/>
  <c r="C42" i="263" s="1"/>
  <c r="B32" i="251"/>
  <c r="S104" i="249"/>
  <c r="S102" i="249"/>
  <c r="C112" i="252"/>
  <c r="B112" i="251"/>
  <c r="D112" i="251"/>
  <c r="S109" i="249"/>
  <c r="S103" i="249"/>
  <c r="X119" i="248"/>
  <c r="Y119" i="248"/>
  <c r="S119" i="249"/>
  <c r="X110" i="248"/>
  <c r="Y110" i="248"/>
  <c r="C46" i="252"/>
  <c r="C56" i="262" s="1"/>
  <c r="C56" i="263" s="1"/>
  <c r="D46" i="251"/>
  <c r="B46" i="251"/>
  <c r="S117" i="249"/>
  <c r="A57" i="258"/>
  <c r="B44" i="190"/>
  <c r="A44" i="189" s="1"/>
  <c r="A48" i="242" s="1"/>
  <c r="A44" i="237" s="1"/>
  <c r="A48" i="239" s="1"/>
  <c r="L129" i="262" l="1"/>
  <c r="F113" i="252"/>
  <c r="K113" i="252"/>
  <c r="Q113" i="252"/>
  <c r="G113" i="252"/>
  <c r="M113" i="252"/>
  <c r="S113" i="252"/>
  <c r="N113" i="252"/>
  <c r="H113" i="252"/>
  <c r="P113" i="252"/>
  <c r="T113" i="252"/>
  <c r="J113" i="252"/>
  <c r="V113" i="252"/>
  <c r="I129" i="263"/>
  <c r="J129" i="263"/>
  <c r="C119" i="255"/>
  <c r="C130" i="263"/>
  <c r="J130" i="262"/>
  <c r="K130" i="262"/>
  <c r="C128" i="262"/>
  <c r="C107" i="262"/>
  <c r="C107" i="263" s="1"/>
  <c r="V97" i="252"/>
  <c r="C122" i="262"/>
  <c r="C122" i="263" s="1"/>
  <c r="C108" i="262"/>
  <c r="C108" i="263" s="1"/>
  <c r="C123" i="262"/>
  <c r="C123" i="263" s="1"/>
  <c r="Y114" i="248"/>
  <c r="X114" i="248"/>
  <c r="Y111" i="248"/>
  <c r="X111" i="248"/>
  <c r="X120" i="248"/>
  <c r="Y120" i="248"/>
  <c r="X113" i="248"/>
  <c r="Y113" i="248"/>
  <c r="X106" i="248"/>
  <c r="Y103" i="248"/>
  <c r="X108" i="248"/>
  <c r="X107" i="248"/>
  <c r="K42" i="262"/>
  <c r="J42" i="262"/>
  <c r="J56" i="262"/>
  <c r="K56" i="262"/>
  <c r="X46" i="248"/>
  <c r="F109" i="251"/>
  <c r="F107" i="251"/>
  <c r="F108" i="251"/>
  <c r="F106" i="251"/>
  <c r="F114" i="251"/>
  <c r="F105" i="251"/>
  <c r="F115" i="251"/>
  <c r="F111" i="251"/>
  <c r="F110" i="251"/>
  <c r="F117" i="251"/>
  <c r="F116" i="251"/>
  <c r="X101" i="248"/>
  <c r="B46" i="252"/>
  <c r="B56" i="262" s="1"/>
  <c r="B56" i="263" s="1"/>
  <c r="C104" i="252"/>
  <c r="C100" i="252"/>
  <c r="C110" i="262" s="1"/>
  <c r="C110" i="263" s="1"/>
  <c r="Y32" i="248"/>
  <c r="X32" i="248"/>
  <c r="B113" i="252"/>
  <c r="B123" i="262" s="1"/>
  <c r="B123" i="263" s="1"/>
  <c r="C108" i="252"/>
  <c r="C118" i="262" s="1"/>
  <c r="C118" i="263" s="1"/>
  <c r="D108" i="251"/>
  <c r="B108" i="251"/>
  <c r="B98" i="252"/>
  <c r="B108" i="262" s="1"/>
  <c r="B108" i="263" s="1"/>
  <c r="B97" i="252"/>
  <c r="B107" i="262" s="1"/>
  <c r="B107" i="263" s="1"/>
  <c r="C106" i="252"/>
  <c r="C116" i="262" s="1"/>
  <c r="C116" i="263" s="1"/>
  <c r="B106" i="251"/>
  <c r="D106" i="251"/>
  <c r="B117" i="251"/>
  <c r="C117" i="252"/>
  <c r="D117" i="251"/>
  <c r="C103" i="252"/>
  <c r="C113" i="262" s="1"/>
  <c r="C113" i="263" s="1"/>
  <c r="B112" i="252"/>
  <c r="B122" i="262" s="1"/>
  <c r="B122" i="263" s="1"/>
  <c r="D107" i="251"/>
  <c r="C107" i="252"/>
  <c r="C117" i="262" s="1"/>
  <c r="C117" i="263" s="1"/>
  <c r="B107" i="251"/>
  <c r="B118" i="252"/>
  <c r="B128" i="262" s="1"/>
  <c r="B128" i="263" s="1"/>
  <c r="D116" i="251"/>
  <c r="C116" i="252"/>
  <c r="B116" i="251"/>
  <c r="C101" i="252"/>
  <c r="C109" i="252"/>
  <c r="D109" i="251"/>
  <c r="B109" i="251"/>
  <c r="C102" i="252"/>
  <c r="C112" i="262" s="1"/>
  <c r="C112" i="263" s="1"/>
  <c r="B32" i="252"/>
  <c r="B42" i="262" s="1"/>
  <c r="B42" i="263" s="1"/>
  <c r="D114" i="251"/>
  <c r="C114" i="252"/>
  <c r="B114" i="251"/>
  <c r="B105" i="251"/>
  <c r="D105" i="251"/>
  <c r="C105" i="252"/>
  <c r="C115" i="262" s="1"/>
  <c r="C115" i="263" s="1"/>
  <c r="C115" i="252"/>
  <c r="B115" i="251"/>
  <c r="D115" i="251"/>
  <c r="C111" i="252"/>
  <c r="D111" i="251"/>
  <c r="B111" i="251"/>
  <c r="D110" i="251"/>
  <c r="B110" i="251"/>
  <c r="C110" i="252"/>
  <c r="A58" i="258"/>
  <c r="B45" i="190"/>
  <c r="A45" i="189" s="1"/>
  <c r="A49" i="242" s="1"/>
  <c r="A45" i="237" s="1"/>
  <c r="A49" i="239" s="1"/>
  <c r="K129" i="263" l="1"/>
  <c r="L130" i="262"/>
  <c r="I113" i="252"/>
  <c r="L113" i="252" s="1"/>
  <c r="O113" i="252" s="1"/>
  <c r="F116" i="252"/>
  <c r="K116" i="252"/>
  <c r="Q116" i="252"/>
  <c r="G116" i="252"/>
  <c r="M116" i="252"/>
  <c r="S116" i="252"/>
  <c r="N116" i="252"/>
  <c r="V116" i="252"/>
  <c r="P116" i="252"/>
  <c r="H116" i="252"/>
  <c r="T116" i="252"/>
  <c r="J116" i="252"/>
  <c r="C128" i="263"/>
  <c r="K128" i="262"/>
  <c r="J128" i="262"/>
  <c r="I130" i="263"/>
  <c r="J130" i="263"/>
  <c r="C120" i="255"/>
  <c r="F117" i="252"/>
  <c r="K117" i="252"/>
  <c r="Q117" i="252"/>
  <c r="G117" i="252"/>
  <c r="M117" i="252"/>
  <c r="S117" i="252"/>
  <c r="H117" i="252"/>
  <c r="T117" i="252"/>
  <c r="J117" i="252"/>
  <c r="V117" i="252"/>
  <c r="N117" i="252"/>
  <c r="P117" i="252"/>
  <c r="B119" i="255"/>
  <c r="D119" i="255"/>
  <c r="C119" i="256"/>
  <c r="K107" i="262"/>
  <c r="C111" i="262"/>
  <c r="C111" i="263" s="1"/>
  <c r="J108" i="262"/>
  <c r="C120" i="262"/>
  <c r="C120" i="263" s="1"/>
  <c r="K108" i="262"/>
  <c r="C121" i="262"/>
  <c r="C121" i="263" s="1"/>
  <c r="C124" i="262"/>
  <c r="C124" i="263" s="1"/>
  <c r="C126" i="262"/>
  <c r="C127" i="262"/>
  <c r="J107" i="262"/>
  <c r="C119" i="262"/>
  <c r="C119" i="263" s="1"/>
  <c r="C114" i="262"/>
  <c r="C114" i="263" s="1"/>
  <c r="C125" i="262"/>
  <c r="C125" i="263" s="1"/>
  <c r="Y106" i="248"/>
  <c r="X116" i="248"/>
  <c r="Y116" i="248"/>
  <c r="Y117" i="248"/>
  <c r="X117" i="248"/>
  <c r="Y108" i="248"/>
  <c r="X103" i="248"/>
  <c r="Y105" i="248"/>
  <c r="X105" i="248"/>
  <c r="Y107" i="248"/>
  <c r="L107" i="262"/>
  <c r="K117" i="262"/>
  <c r="J117" i="262"/>
  <c r="C46" i="255"/>
  <c r="J56" i="263"/>
  <c r="I56" i="263"/>
  <c r="C98" i="255"/>
  <c r="J108" i="263"/>
  <c r="I108" i="263"/>
  <c r="C32" i="255"/>
  <c r="J42" i="263"/>
  <c r="I42" i="263"/>
  <c r="K110" i="262"/>
  <c r="J110" i="262"/>
  <c r="K123" i="262"/>
  <c r="J123" i="262"/>
  <c r="K112" i="262"/>
  <c r="J112" i="262"/>
  <c r="K118" i="262"/>
  <c r="J118" i="262"/>
  <c r="J122" i="262"/>
  <c r="K122" i="262"/>
  <c r="C97" i="255"/>
  <c r="J107" i="263"/>
  <c r="I107" i="263"/>
  <c r="L56" i="262"/>
  <c r="L42" i="262"/>
  <c r="X104" i="248"/>
  <c r="Y104" i="248"/>
  <c r="Y101" i="248"/>
  <c r="Y102" i="248"/>
  <c r="X102" i="248"/>
  <c r="Y100" i="248"/>
  <c r="X100" i="248"/>
  <c r="B110" i="252"/>
  <c r="B120" i="262" s="1"/>
  <c r="B120" i="263" s="1"/>
  <c r="B114" i="252"/>
  <c r="B124" i="262" s="1"/>
  <c r="B124" i="263" s="1"/>
  <c r="B101" i="252"/>
  <c r="B111" i="262" s="1"/>
  <c r="B111" i="263" s="1"/>
  <c r="B116" i="252"/>
  <c r="B126" i="262" s="1"/>
  <c r="B126" i="263" s="1"/>
  <c r="B107" i="252"/>
  <c r="B117" i="262" s="1"/>
  <c r="B117" i="263" s="1"/>
  <c r="B103" i="252"/>
  <c r="B113" i="262" s="1"/>
  <c r="B113" i="263" s="1"/>
  <c r="B108" i="252"/>
  <c r="B118" i="262" s="1"/>
  <c r="B118" i="263" s="1"/>
  <c r="B102" i="252"/>
  <c r="B112" i="262" s="1"/>
  <c r="B112" i="263" s="1"/>
  <c r="B109" i="252"/>
  <c r="B119" i="262" s="1"/>
  <c r="B119" i="263" s="1"/>
  <c r="B117" i="252"/>
  <c r="B127" i="262" s="1"/>
  <c r="B127" i="263" s="1"/>
  <c r="B104" i="252"/>
  <c r="B114" i="262" s="1"/>
  <c r="B114" i="263" s="1"/>
  <c r="B111" i="252"/>
  <c r="B121" i="262" s="1"/>
  <c r="B121" i="263" s="1"/>
  <c r="B106" i="252"/>
  <c r="B116" i="262" s="1"/>
  <c r="B116" i="263" s="1"/>
  <c r="B100" i="252"/>
  <c r="B110" i="262" s="1"/>
  <c r="B110" i="263" s="1"/>
  <c r="B115" i="252"/>
  <c r="B125" i="262" s="1"/>
  <c r="B125" i="263" s="1"/>
  <c r="B105" i="252"/>
  <c r="B115" i="262" s="1"/>
  <c r="B115" i="263" s="1"/>
  <c r="A59" i="258"/>
  <c r="B46" i="190"/>
  <c r="A46" i="189" s="1"/>
  <c r="A50" i="242" s="1"/>
  <c r="A46" i="237" s="1"/>
  <c r="A50" i="239" s="1"/>
  <c r="L108" i="262" l="1"/>
  <c r="C119" i="257"/>
  <c r="G119" i="256"/>
  <c r="B119" i="256"/>
  <c r="R113" i="252"/>
  <c r="I116" i="252"/>
  <c r="L116" i="252" s="1"/>
  <c r="C127" i="263"/>
  <c r="K127" i="262"/>
  <c r="G127" i="262"/>
  <c r="L127" i="262"/>
  <c r="M127" i="262"/>
  <c r="J127" i="262"/>
  <c r="H127" i="262"/>
  <c r="F127" i="262"/>
  <c r="B120" i="255"/>
  <c r="C120" i="256"/>
  <c r="D120" i="255"/>
  <c r="L128" i="262"/>
  <c r="C126" i="263"/>
  <c r="L126" i="262"/>
  <c r="H126" i="262"/>
  <c r="M126" i="262"/>
  <c r="F126" i="262"/>
  <c r="J126" i="262"/>
  <c r="K126" i="262"/>
  <c r="G126" i="262"/>
  <c r="I117" i="252"/>
  <c r="L117" i="252" s="1"/>
  <c r="O117" i="252" s="1"/>
  <c r="R117" i="252" s="1"/>
  <c r="K130" i="263"/>
  <c r="L123" i="262"/>
  <c r="K114" i="262"/>
  <c r="J114" i="262"/>
  <c r="L122" i="262"/>
  <c r="K108" i="263"/>
  <c r="L118" i="262"/>
  <c r="K56" i="263"/>
  <c r="L117" i="262"/>
  <c r="L112" i="262"/>
  <c r="K107" i="263"/>
  <c r="C108" i="255"/>
  <c r="I118" i="263"/>
  <c r="J118" i="263"/>
  <c r="K121" i="262"/>
  <c r="J121" i="262"/>
  <c r="C100" i="255"/>
  <c r="J110" i="263"/>
  <c r="I110" i="263"/>
  <c r="C104" i="255"/>
  <c r="I114" i="263"/>
  <c r="J114" i="263"/>
  <c r="J120" i="262"/>
  <c r="K120" i="262"/>
  <c r="K124" i="262"/>
  <c r="J124" i="262"/>
  <c r="K111" i="262"/>
  <c r="J111" i="262"/>
  <c r="C112" i="255"/>
  <c r="J122" i="263"/>
  <c r="I122" i="263"/>
  <c r="K119" i="262"/>
  <c r="J119" i="262"/>
  <c r="K115" i="262"/>
  <c r="J115" i="262"/>
  <c r="K125" i="262"/>
  <c r="J125" i="262"/>
  <c r="C113" i="255"/>
  <c r="J123" i="263"/>
  <c r="I123" i="263"/>
  <c r="L110" i="262"/>
  <c r="C107" i="255"/>
  <c r="J117" i="263"/>
  <c r="I117" i="263"/>
  <c r="C118" i="255"/>
  <c r="I128" i="263"/>
  <c r="J128" i="263"/>
  <c r="K116" i="262"/>
  <c r="J116" i="262"/>
  <c r="K113" i="262"/>
  <c r="J113" i="262"/>
  <c r="C102" i="255"/>
  <c r="J112" i="263"/>
  <c r="I112" i="263"/>
  <c r="K42" i="263"/>
  <c r="A60" i="258"/>
  <c r="B47" i="190"/>
  <c r="A47" i="189" s="1"/>
  <c r="A51" i="242" s="1"/>
  <c r="A47" i="237" s="1"/>
  <c r="A51" i="239" s="1"/>
  <c r="L114" i="262" l="1"/>
  <c r="G119" i="257"/>
  <c r="F119" i="246"/>
  <c r="BD119" i="246" s="1"/>
  <c r="C120" i="257"/>
  <c r="G120" i="256"/>
  <c r="B120" i="256"/>
  <c r="O116" i="252"/>
  <c r="R116" i="252" s="1"/>
  <c r="L121" i="262"/>
  <c r="K123" i="263"/>
  <c r="L124" i="262"/>
  <c r="L125" i="262"/>
  <c r="L119" i="262"/>
  <c r="K122" i="263"/>
  <c r="K128" i="263"/>
  <c r="L120" i="262"/>
  <c r="L116" i="262"/>
  <c r="K117" i="263"/>
  <c r="L113" i="262"/>
  <c r="K114" i="263"/>
  <c r="L115" i="262"/>
  <c r="K112" i="263"/>
  <c r="K118" i="263"/>
  <c r="L111" i="262"/>
  <c r="C109" i="255"/>
  <c r="I119" i="263"/>
  <c r="J119" i="263"/>
  <c r="C114" i="255"/>
  <c r="J124" i="263"/>
  <c r="I124" i="263"/>
  <c r="C105" i="255"/>
  <c r="J115" i="263"/>
  <c r="I115" i="263"/>
  <c r="C116" i="255"/>
  <c r="I126" i="263"/>
  <c r="J126" i="263"/>
  <c r="C110" i="255"/>
  <c r="I120" i="263"/>
  <c r="J120" i="263"/>
  <c r="C111" i="255"/>
  <c r="I121" i="263"/>
  <c r="J121" i="263"/>
  <c r="C115" i="255"/>
  <c r="J125" i="263"/>
  <c r="I125" i="263"/>
  <c r="C117" i="255"/>
  <c r="I127" i="263"/>
  <c r="J127" i="263"/>
  <c r="K110" i="263"/>
  <c r="C103" i="255"/>
  <c r="I113" i="263"/>
  <c r="J113" i="263"/>
  <c r="C106" i="255"/>
  <c r="J116" i="263"/>
  <c r="I116" i="263"/>
  <c r="C101" i="255"/>
  <c r="J111" i="263"/>
  <c r="I111" i="263"/>
  <c r="C118" i="256"/>
  <c r="D118" i="255"/>
  <c r="B118" i="255"/>
  <c r="D46" i="255"/>
  <c r="B46" i="255"/>
  <c r="C46" i="256"/>
  <c r="D97" i="255"/>
  <c r="C97" i="256"/>
  <c r="B97" i="255"/>
  <c r="B113" i="255"/>
  <c r="D113" i="255"/>
  <c r="C113" i="256"/>
  <c r="D98" i="255"/>
  <c r="B98" i="255"/>
  <c r="C98" i="256"/>
  <c r="B112" i="255"/>
  <c r="C112" i="256"/>
  <c r="D112" i="255"/>
  <c r="A61" i="258"/>
  <c r="B48" i="190"/>
  <c r="A48" i="189" s="1"/>
  <c r="A52" i="242" s="1"/>
  <c r="A48" i="237" s="1"/>
  <c r="A52" i="239" s="1"/>
  <c r="G120" i="257" l="1"/>
  <c r="F120" i="246"/>
  <c r="BD120" i="246" s="1"/>
  <c r="C112" i="257"/>
  <c r="G112" i="256"/>
  <c r="C113" i="257"/>
  <c r="G113" i="256"/>
  <c r="C46" i="257"/>
  <c r="G46" i="256"/>
  <c r="C118" i="257"/>
  <c r="G118" i="256"/>
  <c r="C97" i="257"/>
  <c r="G97" i="256"/>
  <c r="C98" i="257"/>
  <c r="G98" i="256"/>
  <c r="K127" i="263"/>
  <c r="K121" i="263"/>
  <c r="K120" i="263"/>
  <c r="K119" i="263"/>
  <c r="K116" i="263"/>
  <c r="K126" i="263"/>
  <c r="K125" i="263"/>
  <c r="K124" i="263"/>
  <c r="K113" i="263"/>
  <c r="K115" i="263"/>
  <c r="K111" i="263"/>
  <c r="B112" i="256"/>
  <c r="B98" i="256"/>
  <c r="B97" i="256"/>
  <c r="B106" i="255"/>
  <c r="C106" i="256"/>
  <c r="D106" i="255"/>
  <c r="D104" i="255"/>
  <c r="C104" i="256"/>
  <c r="B104" i="255"/>
  <c r="C117" i="256"/>
  <c r="B117" i="255"/>
  <c r="D117" i="255"/>
  <c r="B102" i="255"/>
  <c r="C102" i="256"/>
  <c r="D102" i="255"/>
  <c r="C107" i="256"/>
  <c r="D107" i="255"/>
  <c r="B107" i="255"/>
  <c r="D109" i="255"/>
  <c r="B109" i="255"/>
  <c r="C109" i="256"/>
  <c r="B101" i="255"/>
  <c r="C101" i="256"/>
  <c r="D101" i="255"/>
  <c r="B110" i="255"/>
  <c r="C110" i="256"/>
  <c r="D110" i="255"/>
  <c r="B113" i="256"/>
  <c r="C115" i="256"/>
  <c r="B115" i="255"/>
  <c r="D115" i="255"/>
  <c r="D111" i="255"/>
  <c r="C111" i="256"/>
  <c r="B111" i="255"/>
  <c r="C108" i="256"/>
  <c r="B108" i="255"/>
  <c r="D108" i="255"/>
  <c r="C116" i="256"/>
  <c r="D116" i="255"/>
  <c r="B116" i="255"/>
  <c r="C100" i="256"/>
  <c r="D100" i="255"/>
  <c r="B100" i="255"/>
  <c r="B114" i="255"/>
  <c r="C114" i="256"/>
  <c r="D114" i="255"/>
  <c r="D105" i="255"/>
  <c r="B105" i="255"/>
  <c r="C105" i="256"/>
  <c r="B46" i="256"/>
  <c r="B103" i="255"/>
  <c r="D103" i="255"/>
  <c r="C103" i="256"/>
  <c r="B118" i="256"/>
  <c r="A62" i="258"/>
  <c r="B49" i="190"/>
  <c r="A49" i="189" s="1"/>
  <c r="A53" i="242" s="1"/>
  <c r="A49" i="237" s="1"/>
  <c r="A53" i="239" s="1"/>
  <c r="G98" i="257" l="1"/>
  <c r="F98" i="246"/>
  <c r="BD98" i="246" s="1"/>
  <c r="G97" i="257"/>
  <c r="F97" i="246"/>
  <c r="BD97" i="246" s="1"/>
  <c r="G118" i="257"/>
  <c r="F118" i="246"/>
  <c r="BD118" i="246" s="1"/>
  <c r="G113" i="257"/>
  <c r="F113" i="246"/>
  <c r="BD113" i="246" s="1"/>
  <c r="G112" i="257"/>
  <c r="F112" i="246"/>
  <c r="BD112" i="246" s="1"/>
  <c r="G46" i="257"/>
  <c r="F46" i="246"/>
  <c r="BD46" i="246" s="1"/>
  <c r="C114" i="257"/>
  <c r="G114" i="256"/>
  <c r="C105" i="257"/>
  <c r="G105" i="256"/>
  <c r="C115" i="257"/>
  <c r="G115" i="256"/>
  <c r="C106" i="257"/>
  <c r="G106" i="256"/>
  <c r="C107" i="257"/>
  <c r="G107" i="256"/>
  <c r="C104" i="257"/>
  <c r="G104" i="256"/>
  <c r="C100" i="257"/>
  <c r="G100" i="256"/>
  <c r="C108" i="257"/>
  <c r="G108" i="256"/>
  <c r="C101" i="257"/>
  <c r="G101" i="256"/>
  <c r="C103" i="257"/>
  <c r="G103" i="256"/>
  <c r="C111" i="257"/>
  <c r="G111" i="256"/>
  <c r="C109" i="257"/>
  <c r="G109" i="256"/>
  <c r="C116" i="257"/>
  <c r="G116" i="256"/>
  <c r="C110" i="257"/>
  <c r="G110" i="256"/>
  <c r="C102" i="257"/>
  <c r="G102" i="256"/>
  <c r="C117" i="257"/>
  <c r="G117" i="256"/>
  <c r="B103" i="256"/>
  <c r="B100" i="256"/>
  <c r="B108" i="256"/>
  <c r="B46" i="257"/>
  <c r="B105" i="256"/>
  <c r="B114" i="256"/>
  <c r="B116" i="256"/>
  <c r="B102" i="256"/>
  <c r="B98" i="257"/>
  <c r="B111" i="256"/>
  <c r="B115" i="256"/>
  <c r="B110" i="256"/>
  <c r="B118" i="257"/>
  <c r="B113" i="257"/>
  <c r="B101" i="256"/>
  <c r="B109" i="256"/>
  <c r="B107" i="256"/>
  <c r="B117" i="256"/>
  <c r="B104" i="256"/>
  <c r="B106" i="256"/>
  <c r="B97" i="257"/>
  <c r="B112" i="257"/>
  <c r="A63" i="258"/>
  <c r="B50" i="190"/>
  <c r="A50" i="189" s="1"/>
  <c r="A54" i="242" s="1"/>
  <c r="A50" i="237" s="1"/>
  <c r="A54" i="239" s="1"/>
  <c r="G114" i="257" l="1"/>
  <c r="F114" i="246"/>
  <c r="BD114" i="246" s="1"/>
  <c r="G104" i="257"/>
  <c r="F104" i="246"/>
  <c r="BD104" i="246" s="1"/>
  <c r="G100" i="257"/>
  <c r="F100" i="246"/>
  <c r="BD100" i="246" s="1"/>
  <c r="G117" i="257"/>
  <c r="F117" i="246"/>
  <c r="BD117" i="246" s="1"/>
  <c r="G116" i="257"/>
  <c r="F116" i="246"/>
  <c r="BD116" i="246" s="1"/>
  <c r="G115" i="257"/>
  <c r="F115" i="246"/>
  <c r="BD115" i="246" s="1"/>
  <c r="G111" i="257"/>
  <c r="F111" i="246"/>
  <c r="BD111" i="246" s="1"/>
  <c r="G110" i="257"/>
  <c r="F110" i="246"/>
  <c r="BD110" i="246" s="1"/>
  <c r="G109" i="257"/>
  <c r="F109" i="246"/>
  <c r="BD109" i="246" s="1"/>
  <c r="G108" i="257"/>
  <c r="F108" i="246"/>
  <c r="BD108" i="246" s="1"/>
  <c r="G107" i="257"/>
  <c r="F107" i="246"/>
  <c r="BD107" i="246" s="1"/>
  <c r="G106" i="257"/>
  <c r="F106" i="246"/>
  <c r="BD106" i="246" s="1"/>
  <c r="G105" i="257"/>
  <c r="F105" i="246"/>
  <c r="BD105" i="246" s="1"/>
  <c r="G103" i="257"/>
  <c r="F103" i="246"/>
  <c r="BD103" i="246" s="1"/>
  <c r="G102" i="257"/>
  <c r="F102" i="246"/>
  <c r="BD102" i="246" s="1"/>
  <c r="G101" i="257"/>
  <c r="F101" i="246"/>
  <c r="BD101" i="246" s="1"/>
  <c r="B104" i="257"/>
  <c r="B110" i="257"/>
  <c r="B115" i="257"/>
  <c r="B102" i="257"/>
  <c r="B105" i="257"/>
  <c r="B108" i="257"/>
  <c r="B109" i="257"/>
  <c r="B120" i="257"/>
  <c r="B116" i="257"/>
  <c r="B114" i="257"/>
  <c r="B103" i="257"/>
  <c r="B106" i="257"/>
  <c r="B117" i="257"/>
  <c r="B101" i="257"/>
  <c r="B119" i="257"/>
  <c r="B107" i="257"/>
  <c r="B111" i="257"/>
  <c r="B100" i="257"/>
  <c r="A64" i="258"/>
  <c r="B51" i="190"/>
  <c r="A51" i="189" s="1"/>
  <c r="A55" i="242" s="1"/>
  <c r="A51" i="237" s="1"/>
  <c r="A55" i="239" s="1"/>
  <c r="A65" i="258" l="1"/>
  <c r="B52" i="190"/>
  <c r="A52" i="189" s="1"/>
  <c r="A56" i="242" s="1"/>
  <c r="A52" i="237" s="1"/>
  <c r="A56" i="239" s="1"/>
  <c r="A66" i="258" l="1"/>
  <c r="B53" i="190"/>
  <c r="A53" i="189" s="1"/>
  <c r="A57" i="242" s="1"/>
  <c r="A53" i="237" s="1"/>
  <c r="A57" i="239" s="1"/>
  <c r="A67" i="258" l="1"/>
  <c r="B54" i="190"/>
  <c r="A54" i="189" s="1"/>
  <c r="A58" i="242" s="1"/>
  <c r="A54" i="237" s="1"/>
  <c r="A58" i="239" s="1"/>
  <c r="A68" i="258" l="1"/>
  <c r="B55" i="190"/>
  <c r="A55" i="189" s="1"/>
  <c r="A59" i="242" s="1"/>
  <c r="A55" i="237" s="1"/>
  <c r="A59" i="239" s="1"/>
  <c r="A69" i="258" l="1"/>
  <c r="B56" i="190"/>
  <c r="A56" i="189" s="1"/>
  <c r="A60" i="242" s="1"/>
  <c r="A56" i="237" s="1"/>
  <c r="A60" i="239" s="1"/>
  <c r="A70" i="258" l="1"/>
  <c r="B57" i="190"/>
  <c r="A57" i="189" s="1"/>
  <c r="A61" i="242" s="1"/>
  <c r="A57" i="237" s="1"/>
  <c r="A61" i="239" s="1"/>
  <c r="A71" i="258" l="1"/>
  <c r="B58" i="190"/>
  <c r="A58" i="189" s="1"/>
  <c r="A62" i="242" s="1"/>
  <c r="A58" i="237" s="1"/>
  <c r="A62" i="239" s="1"/>
  <c r="A72" i="258" l="1"/>
  <c r="B59" i="190"/>
  <c r="A59" i="189" s="1"/>
  <c r="A63" i="242" s="1"/>
  <c r="A59" i="237" s="1"/>
  <c r="A63" i="239" s="1"/>
  <c r="A73" i="258" l="1"/>
  <c r="B60" i="190"/>
  <c r="A60" i="189" s="1"/>
  <c r="A64" i="242" s="1"/>
  <c r="A60" i="237" s="1"/>
  <c r="A64" i="239" s="1"/>
  <c r="A74" i="258" l="1"/>
  <c r="B61" i="190"/>
  <c r="A61" i="189" s="1"/>
  <c r="A65" i="242" s="1"/>
  <c r="A61" i="237" s="1"/>
  <c r="A65" i="239" s="1"/>
  <c r="A75" i="258" l="1"/>
  <c r="B62" i="190"/>
  <c r="A62" i="189" s="1"/>
  <c r="A66" i="242" s="1"/>
  <c r="A62" i="237" s="1"/>
  <c r="A66" i="239" s="1"/>
  <c r="A76" i="258" l="1"/>
  <c r="B63" i="190"/>
  <c r="A63" i="189" s="1"/>
  <c r="A67" i="242" s="1"/>
  <c r="A63" i="237" s="1"/>
  <c r="A67" i="239" s="1"/>
  <c r="A77" i="258" l="1"/>
  <c r="B64" i="190"/>
  <c r="A64" i="189" s="1"/>
  <c r="A68" i="242" s="1"/>
  <c r="A64" i="237" s="1"/>
  <c r="A68" i="239" s="1"/>
  <c r="A78" i="258" l="1"/>
  <c r="B65" i="190"/>
  <c r="A65" i="189" s="1"/>
  <c r="A69" i="242" s="1"/>
  <c r="A65" i="237" s="1"/>
  <c r="A69" i="239" s="1"/>
  <c r="A79" i="258" l="1"/>
  <c r="B66" i="190"/>
  <c r="A66" i="189" s="1"/>
  <c r="A70" i="242" s="1"/>
  <c r="A66" i="237" s="1"/>
  <c r="A70" i="239" s="1"/>
  <c r="A80" i="258" l="1"/>
  <c r="B67" i="190"/>
  <c r="A67" i="189" s="1"/>
  <c r="A71" i="242" s="1"/>
  <c r="A67" i="237" s="1"/>
  <c r="A71" i="239" s="1"/>
  <c r="A81" i="258" l="1"/>
  <c r="B68" i="190"/>
  <c r="A68" i="189" s="1"/>
  <c r="A72" i="242" s="1"/>
  <c r="A68" i="237" s="1"/>
  <c r="A72" i="239" s="1"/>
  <c r="A82" i="258" l="1"/>
  <c r="B69" i="190"/>
  <c r="A69" i="189" s="1"/>
  <c r="A73" i="242" s="1"/>
  <c r="A69" i="237" s="1"/>
  <c r="A73" i="239" s="1"/>
  <c r="A83" i="258" l="1"/>
  <c r="B70" i="190"/>
  <c r="A70" i="189" s="1"/>
  <c r="A74" i="242" s="1"/>
  <c r="A70" i="237" s="1"/>
  <c r="A74" i="239" s="1"/>
  <c r="A84" i="258" l="1"/>
  <c r="B71" i="190"/>
  <c r="A71" i="189" s="1"/>
  <c r="A75" i="242" s="1"/>
  <c r="A71" i="237" s="1"/>
  <c r="A75" i="239" s="1"/>
  <c r="A85" i="258" l="1"/>
  <c r="B72" i="190"/>
  <c r="A72" i="189" s="1"/>
  <c r="A76" i="242" s="1"/>
  <c r="A72" i="237" s="1"/>
  <c r="A76" i="239" s="1"/>
  <c r="A86" i="258" l="1"/>
  <c r="B73" i="190"/>
  <c r="A73" i="189" s="1"/>
  <c r="A77" i="242" s="1"/>
  <c r="A73" i="237" s="1"/>
  <c r="A77" i="239" s="1"/>
  <c r="A87" i="258" l="1"/>
  <c r="B74" i="190"/>
  <c r="A74" i="189" s="1"/>
  <c r="A78" i="242" s="1"/>
  <c r="A74" i="237" s="1"/>
  <c r="A78" i="239" s="1"/>
  <c r="A88" i="258" l="1"/>
  <c r="B75" i="190"/>
  <c r="A75" i="189" s="1"/>
  <c r="A79" i="242" s="1"/>
  <c r="A75" i="237" s="1"/>
  <c r="A79" i="239" s="1"/>
  <c r="A89" i="258" l="1"/>
  <c r="B76" i="190"/>
  <c r="A76" i="189" s="1"/>
  <c r="A80" i="242" s="1"/>
  <c r="A76" i="237" s="1"/>
  <c r="A80" i="239" s="1"/>
  <c r="A90" i="258" l="1"/>
  <c r="B77" i="190"/>
  <c r="A77" i="189" s="1"/>
  <c r="A81" i="242" s="1"/>
  <c r="A77" i="237" s="1"/>
  <c r="A81" i="239" s="1"/>
  <c r="A91" i="258" l="1"/>
  <c r="B78" i="190"/>
  <c r="A78" i="189" s="1"/>
  <c r="A82" i="242" s="1"/>
  <c r="A78" i="237" s="1"/>
  <c r="A82" i="239" s="1"/>
  <c r="A92" i="258" l="1"/>
  <c r="B79" i="190"/>
  <c r="A79" i="189" s="1"/>
  <c r="A83" i="242" s="1"/>
  <c r="A79" i="237" s="1"/>
  <c r="A83" i="239" s="1"/>
  <c r="A93" i="258" l="1"/>
  <c r="B80" i="190"/>
  <c r="A80" i="189" s="1"/>
  <c r="A84" i="242" s="1"/>
  <c r="A80" i="237" s="1"/>
  <c r="A84" i="239" s="1"/>
  <c r="A94" i="258" l="1"/>
  <c r="B81" i="190"/>
  <c r="A81" i="189" s="1"/>
  <c r="A85" i="242" s="1"/>
  <c r="A81" i="237" s="1"/>
  <c r="A85" i="239" s="1"/>
  <c r="A95" i="258" l="1"/>
  <c r="B82" i="190"/>
  <c r="A82" i="189" s="1"/>
  <c r="A86" i="242" s="1"/>
  <c r="A82" i="237" s="1"/>
  <c r="A86" i="239" s="1"/>
  <c r="A96" i="258" l="1"/>
  <c r="B83" i="190"/>
  <c r="A83" i="189" s="1"/>
  <c r="A87" i="242" s="1"/>
  <c r="A83" i="237" s="1"/>
  <c r="A87" i="239" s="1"/>
  <c r="A97" i="258" l="1"/>
  <c r="B84" i="190"/>
  <c r="A84" i="189" s="1"/>
  <c r="A88" i="242" s="1"/>
  <c r="A84" i="237" s="1"/>
  <c r="A88" i="239" s="1"/>
  <c r="A98" i="258" l="1"/>
  <c r="B85" i="190"/>
  <c r="A85" i="189" s="1"/>
  <c r="A89" i="242" s="1"/>
  <c r="A85" i="237" s="1"/>
  <c r="A89" i="239" s="1"/>
  <c r="E6" i="190"/>
  <c r="C6" i="190"/>
  <c r="E5" i="190"/>
  <c r="D8" i="190" s="1"/>
  <c r="C5" i="190"/>
  <c r="D3" i="190"/>
  <c r="F108" i="190" s="1"/>
  <c r="C3" i="190"/>
  <c r="D2" i="190"/>
  <c r="C2" i="190"/>
  <c r="C1" i="190"/>
  <c r="C4" i="189"/>
  <c r="B4" i="189"/>
  <c r="C3" i="189"/>
  <c r="B3" i="189"/>
  <c r="G2" i="189"/>
  <c r="E2" i="189"/>
  <c r="C2" i="189"/>
  <c r="B2" i="189"/>
  <c r="G1" i="189"/>
  <c r="E1" i="189"/>
  <c r="B1" i="189"/>
  <c r="H108" i="189" l="1"/>
  <c r="F99" i="190"/>
  <c r="F103" i="190"/>
  <c r="F106" i="190"/>
  <c r="F101" i="190"/>
  <c r="H106" i="189"/>
  <c r="H101" i="189"/>
  <c r="H103" i="189"/>
  <c r="H99" i="189"/>
  <c r="H98" i="189"/>
  <c r="H93" i="189"/>
  <c r="H95" i="189"/>
  <c r="H100" i="189"/>
  <c r="H94" i="189"/>
  <c r="H97" i="189"/>
  <c r="H91" i="189"/>
  <c r="H90" i="189"/>
  <c r="H96" i="189"/>
  <c r="H89" i="189"/>
  <c r="F94" i="190"/>
  <c r="F100" i="190"/>
  <c r="F98" i="190"/>
  <c r="F97" i="190"/>
  <c r="F96" i="190"/>
  <c r="F91" i="190"/>
  <c r="F95" i="190"/>
  <c r="F89" i="190"/>
  <c r="F93" i="190"/>
  <c r="F88" i="190"/>
  <c r="F92" i="190"/>
  <c r="F85" i="190"/>
  <c r="F86" i="190"/>
  <c r="F90" i="190"/>
  <c r="A99" i="258"/>
  <c r="B86" i="190"/>
  <c r="A86" i="189" s="1"/>
  <c r="A90" i="242" s="1"/>
  <c r="A86" i="237" s="1"/>
  <c r="A90" i="239" s="1"/>
  <c r="A100" i="258" l="1"/>
  <c r="B87" i="190"/>
  <c r="A87" i="189" s="1"/>
  <c r="A91" i="242" s="1"/>
  <c r="A87" i="237" s="1"/>
  <c r="A91" i="239" s="1"/>
  <c r="A101" i="258" l="1"/>
  <c r="B88" i="190"/>
  <c r="A88" i="189" s="1"/>
  <c r="A92" i="242" s="1"/>
  <c r="A88" i="237" s="1"/>
  <c r="A92" i="239" s="1"/>
  <c r="A102" i="258" l="1"/>
  <c r="B89" i="190"/>
  <c r="A89" i="189" s="1"/>
  <c r="A93" i="242" s="1"/>
  <c r="A89" i="237" s="1"/>
  <c r="A93" i="239" s="1"/>
  <c r="A103" i="258" l="1"/>
  <c r="B90" i="190"/>
  <c r="A90" i="189" s="1"/>
  <c r="A94" i="242" s="1"/>
  <c r="A90" i="237" s="1"/>
  <c r="A94" i="239" s="1"/>
  <c r="B91" i="190" l="1"/>
  <c r="A91" i="189" s="1"/>
  <c r="A95" i="242" s="1"/>
  <c r="A91" i="237" s="1"/>
  <c r="A95" i="239" s="1"/>
  <c r="A104" i="258"/>
  <c r="A105" i="258" l="1"/>
  <c r="B92" i="190"/>
  <c r="A92" i="189" s="1"/>
  <c r="A96" i="242" s="1"/>
  <c r="A92" i="237" s="1"/>
  <c r="A96" i="239" s="1"/>
  <c r="B93" i="190" l="1"/>
  <c r="A93" i="189" s="1"/>
  <c r="A97" i="242" s="1"/>
  <c r="A93" i="237" s="1"/>
  <c r="A97" i="239" s="1"/>
  <c r="A106" i="258"/>
  <c r="A107" i="258" l="1"/>
  <c r="B94" i="190"/>
  <c r="A94" i="189" s="1"/>
  <c r="A98" i="242" s="1"/>
  <c r="A94" i="237" s="1"/>
  <c r="A98" i="239" s="1"/>
  <c r="A108" i="258" l="1"/>
  <c r="B95" i="190"/>
  <c r="A95" i="189" s="1"/>
  <c r="A99" i="242" s="1"/>
  <c r="A95" i="237" s="1"/>
  <c r="A99" i="239" s="1"/>
  <c r="A109" i="258" l="1"/>
  <c r="B96" i="190"/>
  <c r="A96" i="189" s="1"/>
  <c r="A100" i="242" s="1"/>
  <c r="A96" i="237" s="1"/>
  <c r="A100" i="239" s="1"/>
  <c r="A110" i="258" l="1"/>
  <c r="B97" i="190"/>
  <c r="A97" i="189" s="1"/>
  <c r="A101" i="242" s="1"/>
  <c r="A97" i="237" s="1"/>
  <c r="A101" i="239" s="1"/>
  <c r="B98" i="190" l="1"/>
  <c r="A98" i="189" s="1"/>
  <c r="A102" i="242" s="1"/>
  <c r="A98" i="237" s="1"/>
  <c r="A102" i="239" s="1"/>
  <c r="A111" i="258"/>
  <c r="B99" i="190" l="1"/>
  <c r="A99" i="189" s="1"/>
  <c r="A103" i="242" s="1"/>
  <c r="A99" i="237" s="1"/>
  <c r="A103" i="239" s="1"/>
  <c r="A112" i="258"/>
  <c r="A113" i="258" l="1"/>
  <c r="B100" i="190"/>
  <c r="A100" i="189" s="1"/>
  <c r="A104" i="242" s="1"/>
  <c r="A100" i="237" s="1"/>
  <c r="A104" i="239" s="1"/>
  <c r="F9" i="189"/>
  <c r="A114" i="258" l="1"/>
  <c r="B101" i="190"/>
  <c r="A101" i="189" s="1"/>
  <c r="A105" i="242" s="1"/>
  <c r="A101" i="237" s="1"/>
  <c r="A105" i="239" s="1"/>
  <c r="B102" i="190" l="1"/>
  <c r="A102" i="189" s="1"/>
  <c r="A106" i="242" s="1"/>
  <c r="A102" i="237" s="1"/>
  <c r="A106" i="239" s="1"/>
  <c r="A115" i="258"/>
  <c r="B103" i="190" l="1"/>
  <c r="A103" i="189" s="1"/>
  <c r="A107" i="242" s="1"/>
  <c r="A103" i="237" s="1"/>
  <c r="A107" i="239" s="1"/>
  <c r="A116" i="258"/>
  <c r="A117" i="258" l="1"/>
  <c r="B104" i="190"/>
  <c r="A104" i="189" s="1"/>
  <c r="A108" i="242" s="1"/>
  <c r="A104" i="237" s="1"/>
  <c r="A108" i="239" s="1"/>
  <c r="A118" i="258" l="1"/>
  <c r="B105" i="190"/>
  <c r="A105" i="189" s="1"/>
  <c r="A109" i="242" s="1"/>
  <c r="A105" i="237" s="1"/>
  <c r="A109" i="239" s="1"/>
  <c r="A119" i="258" l="1"/>
  <c r="B106" i="190"/>
  <c r="A106" i="189" s="1"/>
  <c r="A110" i="242" s="1"/>
  <c r="A106" i="237" s="1"/>
  <c r="A110" i="239" s="1"/>
  <c r="A120" i="258" l="1"/>
  <c r="B107" i="190"/>
  <c r="A107" i="189" s="1"/>
  <c r="A111" i="242" s="1"/>
  <c r="A107" i="237" s="1"/>
  <c r="A111" i="239" s="1"/>
  <c r="B108" i="190" l="1"/>
  <c r="A108" i="189" s="1"/>
  <c r="A112" i="242" s="1"/>
  <c r="A108" i="237" s="1"/>
  <c r="A112" i="239" s="1"/>
  <c r="A121" i="258"/>
  <c r="AE21" i="248"/>
  <c r="A122" i="258" l="1"/>
  <c r="B109" i="190"/>
  <c r="A109" i="189" s="1"/>
  <c r="A113" i="242" s="1"/>
  <c r="A109" i="237" s="1"/>
  <c r="A113" i="239" s="1"/>
  <c r="S21" i="249"/>
  <c r="A123" i="258" l="1"/>
  <c r="B110" i="190"/>
  <c r="A110" i="189" s="1"/>
  <c r="A114" i="242" s="1"/>
  <c r="A110" i="237" s="1"/>
  <c r="A114" i="239" s="1"/>
  <c r="Y21" i="248"/>
  <c r="A124" i="258" l="1"/>
  <c r="B111" i="190"/>
  <c r="A111" i="189" s="1"/>
  <c r="A115" i="242" s="1"/>
  <c r="A111" i="237" s="1"/>
  <c r="A115" i="239" s="1"/>
  <c r="X21" i="248"/>
  <c r="A125" i="258" l="1"/>
  <c r="B112" i="190"/>
  <c r="A112" i="189" s="1"/>
  <c r="A116" i="242" s="1"/>
  <c r="A112" i="237" s="1"/>
  <c r="A116" i="239" s="1"/>
  <c r="E34" i="237"/>
  <c r="F34" i="237" s="1"/>
  <c r="G34" i="189"/>
  <c r="H34" i="189" s="1"/>
  <c r="E34" i="190"/>
  <c r="F34" i="190" s="1"/>
  <c r="AB21" i="258"/>
  <c r="E13" i="239" s="1"/>
  <c r="A126" i="258" l="1"/>
  <c r="B113" i="190"/>
  <c r="A113" i="189" s="1"/>
  <c r="A117" i="242" s="1"/>
  <c r="A113" i="237" s="1"/>
  <c r="A117" i="239" s="1"/>
  <c r="E9" i="237"/>
  <c r="H13" i="242"/>
  <c r="G9" i="189"/>
  <c r="E9" i="190"/>
  <c r="F9" i="190" s="1"/>
  <c r="G20" i="189"/>
  <c r="H20" i="189" s="1"/>
  <c r="E20" i="190"/>
  <c r="F20" i="190" s="1"/>
  <c r="E20" i="237"/>
  <c r="F20" i="237" s="1"/>
  <c r="A127" i="258" l="1"/>
  <c r="B114" i="190"/>
  <c r="A114" i="189" s="1"/>
  <c r="A118" i="242" s="1"/>
  <c r="A114" i="237" s="1"/>
  <c r="A118" i="239" s="1"/>
  <c r="H9" i="189"/>
  <c r="A128" i="258" l="1"/>
  <c r="B115" i="190"/>
  <c r="A115" i="189" s="1"/>
  <c r="A119" i="242" s="1"/>
  <c r="A115" i="237" s="1"/>
  <c r="A119" i="239" s="1"/>
  <c r="A129" i="258" l="1"/>
  <c r="B116" i="190"/>
  <c r="A116" i="189" s="1"/>
  <c r="A120" i="242" s="1"/>
  <c r="A116" i="237" s="1"/>
  <c r="A120" i="239" s="1"/>
  <c r="B32" i="255"/>
  <c r="D32" i="255"/>
  <c r="C32" i="256"/>
  <c r="C32" i="257" l="1"/>
  <c r="G32" i="256"/>
  <c r="A130" i="258"/>
  <c r="B117" i="190"/>
  <c r="A117" i="189" s="1"/>
  <c r="A121" i="242" s="1"/>
  <c r="A117" i="237" s="1"/>
  <c r="A121" i="239" s="1"/>
  <c r="B32" i="256"/>
  <c r="G32" i="257" l="1"/>
  <c r="F32" i="246"/>
  <c r="BD32" i="246" s="1"/>
  <c r="A131" i="258"/>
  <c r="B118" i="190"/>
  <c r="A118" i="189" s="1"/>
  <c r="A122" i="242" s="1"/>
  <c r="A118" i="237" s="1"/>
  <c r="A122" i="239" s="1"/>
  <c r="B32" i="257"/>
  <c r="A132" i="258" l="1"/>
  <c r="B120" i="190" s="1"/>
  <c r="A120" i="189" s="1"/>
  <c r="A124" i="242" s="1"/>
  <c r="A120" i="237" s="1"/>
  <c r="A124" i="239" s="1"/>
  <c r="B119" i="190"/>
  <c r="A119" i="189" s="1"/>
  <c r="A123" i="242" s="1"/>
  <c r="A119" i="237" s="1"/>
  <c r="A123" i="239" s="1"/>
  <c r="Y60" i="258"/>
  <c r="C52" i="239" s="1"/>
  <c r="Y22" i="258"/>
  <c r="C14" i="239" s="1"/>
  <c r="Y80" i="258"/>
  <c r="Y39" i="258"/>
  <c r="Y58" i="258"/>
  <c r="Y85" i="258"/>
  <c r="Y61" i="258"/>
  <c r="Y68" i="258"/>
  <c r="Y36" i="258"/>
  <c r="Y83" i="258"/>
  <c r="Y59" i="258"/>
  <c r="Y55" i="258"/>
  <c r="Y94" i="258"/>
  <c r="Y38" i="258"/>
  <c r="Y37" i="258"/>
  <c r="Y62" i="258"/>
  <c r="Y51" i="258"/>
  <c r="Y69" i="258"/>
  <c r="Y26" i="258"/>
  <c r="Y67" i="258"/>
  <c r="Y70" i="258"/>
  <c r="Y64" i="258"/>
  <c r="Y65" i="258"/>
  <c r="Y52" i="258"/>
  <c r="Y92" i="258"/>
  <c r="Y72" i="258"/>
  <c r="Y56" i="258"/>
  <c r="Y71" i="258"/>
  <c r="Y63" i="258"/>
  <c r="Y78" i="258"/>
  <c r="Y86" i="258"/>
  <c r="Y95" i="258"/>
  <c r="Y91" i="258"/>
  <c r="Y57" i="258"/>
  <c r="Y75" i="258"/>
  <c r="Y34" i="258"/>
  <c r="Y74" i="258"/>
  <c r="Y28" i="258"/>
  <c r="Y50" i="258"/>
  <c r="Y27" i="258"/>
  <c r="Y48" i="258"/>
  <c r="C40" i="239" s="1"/>
  <c r="Y47" i="258"/>
  <c r="Y54" i="258"/>
  <c r="C46" i="239" s="1"/>
  <c r="Y35" i="258"/>
  <c r="C27" i="239" s="1"/>
  <c r="Y40" i="258"/>
  <c r="Y33" i="258"/>
  <c r="Y96" i="258"/>
  <c r="Y45" i="258"/>
  <c r="Y90" i="258"/>
  <c r="Y77" i="258"/>
  <c r="Y30" i="258"/>
  <c r="Y53" i="258"/>
  <c r="Y25" i="258"/>
  <c r="Y24" i="258"/>
  <c r="Y66" i="258"/>
  <c r="Y44" i="258"/>
  <c r="Y76" i="258"/>
  <c r="Y49" i="258"/>
  <c r="Y29" i="258"/>
  <c r="Y88" i="258"/>
  <c r="Y81" i="258"/>
  <c r="Y43" i="258"/>
  <c r="Y42" i="258"/>
  <c r="Y41" i="258"/>
  <c r="Y99" i="258"/>
  <c r="Y84" i="258"/>
  <c r="Y87" i="258"/>
  <c r="Y93" i="258"/>
  <c r="Y79" i="258"/>
  <c r="Y73" i="258"/>
  <c r="C65" i="239" s="1"/>
  <c r="Y89" i="258"/>
  <c r="C81" i="239" s="1"/>
  <c r="Y31" i="258"/>
  <c r="C23" i="239" s="1"/>
  <c r="Y82" i="258"/>
  <c r="C74" i="239" s="1"/>
  <c r="AB87" i="258" l="1"/>
  <c r="E79" i="239" s="1"/>
  <c r="C79" i="239"/>
  <c r="AB42" i="258"/>
  <c r="E34" i="239" s="1"/>
  <c r="C34" i="239"/>
  <c r="AB30" i="258"/>
  <c r="E22" i="239" s="1"/>
  <c r="C22" i="239"/>
  <c r="AB75" i="258"/>
  <c r="E67" i="239" s="1"/>
  <c r="C67" i="239"/>
  <c r="AB84" i="258"/>
  <c r="E76" i="239" s="1"/>
  <c r="C76" i="239"/>
  <c r="AB43" i="258"/>
  <c r="E35" i="239" s="1"/>
  <c r="C35" i="239"/>
  <c r="AB49" i="258"/>
  <c r="E41" i="239" s="1"/>
  <c r="C41" i="239"/>
  <c r="AB24" i="258"/>
  <c r="E16" i="239" s="1"/>
  <c r="C16" i="239"/>
  <c r="AB77" i="258"/>
  <c r="E69" i="239" s="1"/>
  <c r="C69" i="239"/>
  <c r="AB33" i="258"/>
  <c r="E25" i="239" s="1"/>
  <c r="C25" i="239"/>
  <c r="AB47" i="258"/>
  <c r="E39" i="239" s="1"/>
  <c r="C39" i="239"/>
  <c r="AB28" i="258"/>
  <c r="E20" i="239" s="1"/>
  <c r="C20" i="239"/>
  <c r="AB57" i="258"/>
  <c r="E49" i="239" s="1"/>
  <c r="C49" i="239"/>
  <c r="AB23" i="258"/>
  <c r="E15" i="239" s="1"/>
  <c r="C15" i="239"/>
  <c r="AB56" i="258"/>
  <c r="E48" i="239" s="1"/>
  <c r="C48" i="239"/>
  <c r="AB65" i="258"/>
  <c r="E57" i="239" s="1"/>
  <c r="C57" i="239"/>
  <c r="AB26" i="258"/>
  <c r="E18" i="239" s="1"/>
  <c r="C18" i="239"/>
  <c r="AB37" i="258"/>
  <c r="E29" i="239" s="1"/>
  <c r="C29" i="239"/>
  <c r="AB59" i="258"/>
  <c r="E51" i="239" s="1"/>
  <c r="C51" i="239"/>
  <c r="AB61" i="258"/>
  <c r="E53" i="239" s="1"/>
  <c r="C53" i="239"/>
  <c r="AB80" i="258"/>
  <c r="E72" i="239" s="1"/>
  <c r="C72" i="239"/>
  <c r="AB66" i="258"/>
  <c r="E58" i="239" s="1"/>
  <c r="C58" i="239"/>
  <c r="AB96" i="258"/>
  <c r="E88" i="239" s="1"/>
  <c r="C88" i="239"/>
  <c r="AB71" i="258"/>
  <c r="E63" i="239" s="1"/>
  <c r="C63" i="239"/>
  <c r="AB67" i="258"/>
  <c r="E59" i="239" s="1"/>
  <c r="C59" i="239"/>
  <c r="AB62" i="258"/>
  <c r="E54" i="239" s="1"/>
  <c r="C54" i="239"/>
  <c r="AB68" i="258"/>
  <c r="E60" i="239" s="1"/>
  <c r="C60" i="239"/>
  <c r="AB79" i="258"/>
  <c r="E71" i="239" s="1"/>
  <c r="C71" i="239"/>
  <c r="AB99" i="258"/>
  <c r="E91" i="239" s="1"/>
  <c r="C91" i="239"/>
  <c r="AB81" i="258"/>
  <c r="E73" i="239" s="1"/>
  <c r="C73" i="239"/>
  <c r="AB76" i="258"/>
  <c r="E68" i="239" s="1"/>
  <c r="C68" i="239"/>
  <c r="AB25" i="258"/>
  <c r="E17" i="239" s="1"/>
  <c r="C17" i="239"/>
  <c r="AB90" i="258"/>
  <c r="E82" i="239" s="1"/>
  <c r="C82" i="239"/>
  <c r="AB40" i="258"/>
  <c r="E32" i="239" s="1"/>
  <c r="C32" i="239"/>
  <c r="AB74" i="258"/>
  <c r="E66" i="239" s="1"/>
  <c r="C66" i="239"/>
  <c r="AA91" i="258"/>
  <c r="C79" i="190" s="1"/>
  <c r="B79" i="189" s="1"/>
  <c r="C83" i="239"/>
  <c r="AB78" i="258"/>
  <c r="E70" i="239" s="1"/>
  <c r="C70" i="239"/>
  <c r="AB72" i="258"/>
  <c r="E64" i="239" s="1"/>
  <c r="C64" i="239"/>
  <c r="AB64" i="258"/>
  <c r="E56" i="239" s="1"/>
  <c r="C56" i="239"/>
  <c r="AB69" i="258"/>
  <c r="E61" i="239" s="1"/>
  <c r="C61" i="239"/>
  <c r="AB38" i="258"/>
  <c r="E30" i="239" s="1"/>
  <c r="C30" i="239"/>
  <c r="AB83" i="258"/>
  <c r="E75" i="239" s="1"/>
  <c r="C75" i="239"/>
  <c r="AA85" i="258"/>
  <c r="C73" i="190" s="1"/>
  <c r="B73" i="189" s="1"/>
  <c r="C77" i="239"/>
  <c r="AB29" i="258"/>
  <c r="E21" i="239" s="1"/>
  <c r="C21" i="239"/>
  <c r="AB86" i="258"/>
  <c r="E78" i="239" s="1"/>
  <c r="C78" i="239"/>
  <c r="AB55" i="258"/>
  <c r="E47" i="239" s="1"/>
  <c r="C47" i="239"/>
  <c r="AB39" i="258"/>
  <c r="E31" i="239" s="1"/>
  <c r="C31" i="239"/>
  <c r="AB93" i="258"/>
  <c r="E85" i="239" s="1"/>
  <c r="C85" i="239"/>
  <c r="AB41" i="258"/>
  <c r="E33" i="239" s="1"/>
  <c r="C33" i="239"/>
  <c r="AB88" i="258"/>
  <c r="E80" i="239" s="1"/>
  <c r="C80" i="239"/>
  <c r="AB44" i="258"/>
  <c r="E36" i="239" s="1"/>
  <c r="C36" i="239"/>
  <c r="AB53" i="258"/>
  <c r="E45" i="239" s="1"/>
  <c r="C45" i="239"/>
  <c r="AB45" i="258"/>
  <c r="E37" i="239" s="1"/>
  <c r="C37" i="239"/>
  <c r="AB27" i="258"/>
  <c r="E19" i="239" s="1"/>
  <c r="C19" i="239"/>
  <c r="AB34" i="258"/>
  <c r="E26" i="239" s="1"/>
  <c r="C26" i="239"/>
  <c r="AB63" i="258"/>
  <c r="E55" i="239" s="1"/>
  <c r="C55" i="239"/>
  <c r="AA92" i="258"/>
  <c r="C80" i="190" s="1"/>
  <c r="B80" i="189" s="1"/>
  <c r="C84" i="239"/>
  <c r="AB70" i="258"/>
  <c r="E62" i="239" s="1"/>
  <c r="C62" i="239"/>
  <c r="AB51" i="258"/>
  <c r="E43" i="239" s="1"/>
  <c r="C43" i="239"/>
  <c r="AA94" i="258"/>
  <c r="C82" i="190" s="1"/>
  <c r="C86" i="239"/>
  <c r="AB36" i="258"/>
  <c r="E28" i="239" s="1"/>
  <c r="C28" i="239"/>
  <c r="AB58" i="258"/>
  <c r="E50" i="239" s="1"/>
  <c r="C50" i="239"/>
  <c r="AB52" i="258"/>
  <c r="E44" i="239" s="1"/>
  <c r="C44" i="239"/>
  <c r="AB50" i="258"/>
  <c r="E42" i="239" s="1"/>
  <c r="C42" i="239"/>
  <c r="AB95" i="258"/>
  <c r="E87" i="239" s="1"/>
  <c r="C87" i="239"/>
  <c r="AA60" i="258"/>
  <c r="C48" i="190" s="1"/>
  <c r="AB60" i="258"/>
  <c r="E52" i="239" s="1"/>
  <c r="AA58" i="258"/>
  <c r="C46" i="190" s="1"/>
  <c r="AA66" i="258"/>
  <c r="C54" i="190" s="1"/>
  <c r="AA78" i="258"/>
  <c r="C66" i="190" s="1"/>
  <c r="AA39" i="258"/>
  <c r="C27" i="190" s="1"/>
  <c r="AA34" i="258"/>
  <c r="C22" i="190" s="1"/>
  <c r="AA64" i="258"/>
  <c r="C52" i="190" s="1"/>
  <c r="AA79" i="258"/>
  <c r="C67" i="190" s="1"/>
  <c r="AA25" i="258"/>
  <c r="C13" i="190" s="1"/>
  <c r="AA30" i="258"/>
  <c r="C18" i="190" s="1"/>
  <c r="AA50" i="258"/>
  <c r="C38" i="190" s="1"/>
  <c r="AA23" i="258"/>
  <c r="C11" i="190" s="1"/>
  <c r="AA26" i="258"/>
  <c r="C14" i="190" s="1"/>
  <c r="AA93" i="258"/>
  <c r="C81" i="190" s="1"/>
  <c r="AA88" i="258"/>
  <c r="C76" i="190" s="1"/>
  <c r="AA28" i="258"/>
  <c r="C16" i="190" s="1"/>
  <c r="AA38" i="258"/>
  <c r="C26" i="190" s="1"/>
  <c r="AA29" i="258"/>
  <c r="C17" i="190" s="1"/>
  <c r="AA76" i="258"/>
  <c r="C64" i="190" s="1"/>
  <c r="AA77" i="258"/>
  <c r="C65" i="190" s="1"/>
  <c r="AA27" i="258"/>
  <c r="C15" i="190" s="1"/>
  <c r="AA74" i="258"/>
  <c r="C62" i="190" s="1"/>
  <c r="AA86" i="258"/>
  <c r="C74" i="190" s="1"/>
  <c r="AA63" i="258"/>
  <c r="C51" i="190" s="1"/>
  <c r="AA37" i="258"/>
  <c r="C25" i="190" s="1"/>
  <c r="AA55" i="258"/>
  <c r="C43" i="190" s="1"/>
  <c r="AA69" i="258"/>
  <c r="C57" i="190" s="1"/>
  <c r="AB82" i="258"/>
  <c r="E74" i="239" s="1"/>
  <c r="AA82" i="258"/>
  <c r="C70" i="190" s="1"/>
  <c r="AB31" i="258"/>
  <c r="E23" i="239" s="1"/>
  <c r="AA31" i="258"/>
  <c r="C19" i="190" s="1"/>
  <c r="AB73" i="258"/>
  <c r="E65" i="239" s="1"/>
  <c r="AA73" i="258"/>
  <c r="C61" i="190" s="1"/>
  <c r="AB54" i="258"/>
  <c r="E46" i="239" s="1"/>
  <c r="AA54" i="258"/>
  <c r="C42" i="190" s="1"/>
  <c r="AB89" i="258"/>
  <c r="E81" i="239" s="1"/>
  <c r="AA89" i="258"/>
  <c r="C77" i="190" s="1"/>
  <c r="D77" i="190" s="1"/>
  <c r="AB48" i="258"/>
  <c r="E40" i="239" s="1"/>
  <c r="AA48" i="258"/>
  <c r="C36" i="190" s="1"/>
  <c r="AB35" i="258"/>
  <c r="E27" i="239" s="1"/>
  <c r="AA35" i="258"/>
  <c r="C23" i="190" s="1"/>
  <c r="AA87" i="258"/>
  <c r="C75" i="190" s="1"/>
  <c r="AA84" i="258"/>
  <c r="C72" i="190" s="1"/>
  <c r="AA99" i="258"/>
  <c r="C87" i="190" s="1"/>
  <c r="AA41" i="258"/>
  <c r="C29" i="190" s="1"/>
  <c r="D29" i="190" s="1"/>
  <c r="AA49" i="258"/>
  <c r="C37" i="190" s="1"/>
  <c r="AA44" i="258"/>
  <c r="C32" i="190" s="1"/>
  <c r="AA90" i="258"/>
  <c r="C78" i="190" s="1"/>
  <c r="AA45" i="258"/>
  <c r="C33" i="190" s="1"/>
  <c r="AA96" i="258"/>
  <c r="C84" i="190" s="1"/>
  <c r="AA33" i="258"/>
  <c r="C21" i="190" s="1"/>
  <c r="AA40" i="258"/>
  <c r="C28" i="190" s="1"/>
  <c r="AA75" i="258"/>
  <c r="C63" i="190" s="1"/>
  <c r="AA57" i="258"/>
  <c r="C45" i="190" s="1"/>
  <c r="AA71" i="258"/>
  <c r="C59" i="190" s="1"/>
  <c r="AA56" i="258"/>
  <c r="C44" i="190" s="1"/>
  <c r="AB92" i="258"/>
  <c r="E84" i="239" s="1"/>
  <c r="AA52" i="258"/>
  <c r="C40" i="190" s="1"/>
  <c r="AA65" i="258"/>
  <c r="C53" i="190" s="1"/>
  <c r="AA51" i="258"/>
  <c r="C39" i="190" s="1"/>
  <c r="AB94" i="258"/>
  <c r="E86" i="239" s="1"/>
  <c r="AA61" i="258"/>
  <c r="C49" i="190" s="1"/>
  <c r="AA59" i="258"/>
  <c r="C47" i="190" s="1"/>
  <c r="AA83" i="258"/>
  <c r="C71" i="190" s="1"/>
  <c r="AB91" i="258"/>
  <c r="E83" i="239" s="1"/>
  <c r="AB85" i="258"/>
  <c r="E77" i="239" s="1"/>
  <c r="AB22" i="258"/>
  <c r="E14" i="239" s="1"/>
  <c r="AA22" i="258"/>
  <c r="C10" i="190" s="1"/>
  <c r="AA42" i="258"/>
  <c r="C30" i="190" s="1"/>
  <c r="AA43" i="258"/>
  <c r="C31" i="190" s="1"/>
  <c r="AA81" i="258"/>
  <c r="C69" i="190" s="1"/>
  <c r="AA24" i="258"/>
  <c r="C12" i="190" s="1"/>
  <c r="AA53" i="258"/>
  <c r="C41" i="190" s="1"/>
  <c r="AA47" i="258"/>
  <c r="C35" i="190" s="1"/>
  <c r="AA95" i="258"/>
  <c r="C83" i="190" s="1"/>
  <c r="AA72" i="258"/>
  <c r="C60" i="190" s="1"/>
  <c r="D60" i="190" s="1"/>
  <c r="AA70" i="258"/>
  <c r="C58" i="190" s="1"/>
  <c r="D58" i="190" s="1"/>
  <c r="AA67" i="258"/>
  <c r="C55" i="190" s="1"/>
  <c r="AA62" i="258"/>
  <c r="C50" i="190" s="1"/>
  <c r="AA80" i="258"/>
  <c r="C68" i="190" s="1"/>
  <c r="AA36" i="258"/>
  <c r="C24" i="190" s="1"/>
  <c r="AA68" i="258"/>
  <c r="C56" i="190" s="1"/>
  <c r="D56" i="190" s="1"/>
  <c r="G37" i="189" l="1"/>
  <c r="E37" i="190"/>
  <c r="F37" i="190" s="1"/>
  <c r="E18" i="237"/>
  <c r="H22" i="242"/>
  <c r="H48" i="242"/>
  <c r="G65" i="189"/>
  <c r="G14" i="189"/>
  <c r="E14" i="237"/>
  <c r="H18" i="242"/>
  <c r="E14" i="190"/>
  <c r="F14" i="190" s="1"/>
  <c r="E75" i="190"/>
  <c r="F75" i="190" s="1"/>
  <c r="E75" i="237"/>
  <c r="G75" i="189"/>
  <c r="H79" i="242"/>
  <c r="E72" i="190"/>
  <c r="F72" i="190" s="1"/>
  <c r="E72" i="237"/>
  <c r="H76" i="242"/>
  <c r="G72" i="189"/>
  <c r="E71" i="237"/>
  <c r="H72" i="242"/>
  <c r="E68" i="190"/>
  <c r="F68" i="190" s="1"/>
  <c r="E68" i="237"/>
  <c r="G68" i="189"/>
  <c r="E67" i="190"/>
  <c r="H71" i="242"/>
  <c r="E67" i="237"/>
  <c r="G67" i="189"/>
  <c r="E66" i="190"/>
  <c r="E65" i="190"/>
  <c r="H69" i="242"/>
  <c r="E65" i="237"/>
  <c r="H68" i="242"/>
  <c r="G64" i="189"/>
  <c r="E64" i="190"/>
  <c r="F64" i="190" s="1"/>
  <c r="E64" i="237"/>
  <c r="H67" i="242"/>
  <c r="E63" i="237"/>
  <c r="E63" i="190"/>
  <c r="F63" i="190" s="1"/>
  <c r="G63" i="189"/>
  <c r="H66" i="242"/>
  <c r="E62" i="237"/>
  <c r="G60" i="189"/>
  <c r="G59" i="189"/>
  <c r="E59" i="190"/>
  <c r="F59" i="190" s="1"/>
  <c r="E59" i="237"/>
  <c r="H63" i="242"/>
  <c r="E58" i="237"/>
  <c r="G56" i="189"/>
  <c r="E56" i="190"/>
  <c r="E56" i="237"/>
  <c r="H60" i="242"/>
  <c r="H59" i="242"/>
  <c r="E55" i="190"/>
  <c r="F55" i="190" s="1"/>
  <c r="G55" i="189"/>
  <c r="E55" i="237"/>
  <c r="E54" i="190"/>
  <c r="E54" i="237"/>
  <c r="H58" i="242"/>
  <c r="G54" i="189"/>
  <c r="E53" i="237"/>
  <c r="H57" i="242"/>
  <c r="G53" i="189"/>
  <c r="E53" i="190"/>
  <c r="F53" i="190" s="1"/>
  <c r="E52" i="237"/>
  <c r="H56" i="242"/>
  <c r="E51" i="237"/>
  <c r="E50" i="190"/>
  <c r="F50" i="190" s="1"/>
  <c r="E50" i="237"/>
  <c r="G50" i="189"/>
  <c r="H54" i="242"/>
  <c r="H53" i="242"/>
  <c r="E49" i="190"/>
  <c r="F49" i="190" s="1"/>
  <c r="E49" i="237"/>
  <c r="G49" i="189"/>
  <c r="H51" i="242"/>
  <c r="E47" i="237"/>
  <c r="G47" i="189"/>
  <c r="E47" i="190"/>
  <c r="F47" i="190" s="1"/>
  <c r="E46" i="190"/>
  <c r="F46" i="190" s="1"/>
  <c r="G45" i="189"/>
  <c r="E45" i="190"/>
  <c r="F45" i="190" s="1"/>
  <c r="H49" i="242"/>
  <c r="E45" i="237"/>
  <c r="G44" i="189"/>
  <c r="E44" i="190"/>
  <c r="F44" i="190" s="1"/>
  <c r="E44" i="237"/>
  <c r="G41" i="189"/>
  <c r="E37" i="237"/>
  <c r="H41" i="242"/>
  <c r="H39" i="242"/>
  <c r="E35" i="237"/>
  <c r="G35" i="189"/>
  <c r="E35" i="190"/>
  <c r="F35" i="190" s="1"/>
  <c r="E33" i="237"/>
  <c r="E31" i="237"/>
  <c r="E31" i="190"/>
  <c r="F31" i="190" s="1"/>
  <c r="H35" i="242"/>
  <c r="G31" i="189"/>
  <c r="H34" i="242"/>
  <c r="G30" i="189"/>
  <c r="E30" i="237"/>
  <c r="E30" i="190"/>
  <c r="F30" i="190" s="1"/>
  <c r="E28" i="190"/>
  <c r="F28" i="190" s="1"/>
  <c r="H32" i="242"/>
  <c r="E26" i="237"/>
  <c r="G25" i="189"/>
  <c r="H29" i="242"/>
  <c r="E25" i="190"/>
  <c r="F25" i="190" s="1"/>
  <c r="E25" i="237"/>
  <c r="E21" i="237"/>
  <c r="E21" i="190"/>
  <c r="F21" i="190" s="1"/>
  <c r="G21" i="189"/>
  <c r="H25" i="242"/>
  <c r="G18" i="189"/>
  <c r="E18" i="190"/>
  <c r="F18" i="190" s="1"/>
  <c r="E16" i="237"/>
  <c r="G16" i="189"/>
  <c r="H20" i="242"/>
  <c r="E16" i="190"/>
  <c r="F16" i="190" s="1"/>
  <c r="H17" i="242"/>
  <c r="E13" i="190"/>
  <c r="F13" i="190" s="1"/>
  <c r="G13" i="189"/>
  <c r="E13" i="237"/>
  <c r="E12" i="237"/>
  <c r="H16" i="242"/>
  <c r="E12" i="190"/>
  <c r="G12" i="189"/>
  <c r="H15" i="242"/>
  <c r="E11" i="237"/>
  <c r="G11" i="189"/>
  <c r="E11" i="190"/>
  <c r="F11" i="190" s="1"/>
  <c r="E17" i="237"/>
  <c r="G29" i="189"/>
  <c r="H28" i="242"/>
  <c r="G66" i="189"/>
  <c r="G15" i="189"/>
  <c r="E74" i="190"/>
  <c r="E32" i="190"/>
  <c r="F32" i="190" s="1"/>
  <c r="E76" i="190"/>
  <c r="E52" i="190"/>
  <c r="F52" i="190" s="1"/>
  <c r="H61" i="242"/>
  <c r="E57" i="190"/>
  <c r="F57" i="190" s="1"/>
  <c r="G22" i="189"/>
  <c r="E28" i="237"/>
  <c r="G69" i="189"/>
  <c r="E84" i="237"/>
  <c r="G17" i="189"/>
  <c r="E43" i="190"/>
  <c r="F43" i="190" s="1"/>
  <c r="G27" i="189"/>
  <c r="H73" i="242"/>
  <c r="H85" i="242"/>
  <c r="E78" i="237"/>
  <c r="H91" i="242"/>
  <c r="G84" i="189"/>
  <c r="E84" i="190"/>
  <c r="F84" i="190" s="1"/>
  <c r="H88" i="242"/>
  <c r="G52" i="189"/>
  <c r="H21" i="242"/>
  <c r="G24" i="189"/>
  <c r="G26" i="189"/>
  <c r="E57" i="237"/>
  <c r="H70" i="242"/>
  <c r="H26" i="242"/>
  <c r="G62" i="189"/>
  <c r="E27" i="190"/>
  <c r="F27" i="190" s="1"/>
  <c r="E40" i="190"/>
  <c r="F40" i="190" s="1"/>
  <c r="G33" i="189"/>
  <c r="E69" i="190"/>
  <c r="F69" i="190" s="1"/>
  <c r="E29" i="237"/>
  <c r="H80" i="242"/>
  <c r="E51" i="190"/>
  <c r="F51" i="190" s="1"/>
  <c r="G46" i="189"/>
  <c r="G43" i="189"/>
  <c r="G57" i="189"/>
  <c r="E66" i="237"/>
  <c r="E62" i="190"/>
  <c r="H19" i="242"/>
  <c r="H78" i="242"/>
  <c r="G28" i="189"/>
  <c r="H75" i="242"/>
  <c r="E58" i="190"/>
  <c r="F58" i="190" s="1"/>
  <c r="E60" i="190"/>
  <c r="F60" i="190" s="1"/>
  <c r="E41" i="237"/>
  <c r="E69" i="237"/>
  <c r="E32" i="237"/>
  <c r="G81" i="189"/>
  <c r="H82" i="242"/>
  <c r="G87" i="189"/>
  <c r="E38" i="190"/>
  <c r="E39" i="237"/>
  <c r="E39" i="190"/>
  <c r="B77" i="242"/>
  <c r="B73" i="237" s="1"/>
  <c r="B77" i="239" s="1"/>
  <c r="E46" i="237"/>
  <c r="E24" i="237"/>
  <c r="H47" i="242"/>
  <c r="E26" i="190"/>
  <c r="E22" i="237"/>
  <c r="E15" i="237"/>
  <c r="H31" i="242"/>
  <c r="G39" i="189"/>
  <c r="H44" i="242"/>
  <c r="E74" i="237"/>
  <c r="E33" i="190"/>
  <c r="F33" i="190" s="1"/>
  <c r="G71" i="189"/>
  <c r="H62" i="242"/>
  <c r="H64" i="242"/>
  <c r="H45" i="242"/>
  <c r="H36" i="242"/>
  <c r="H33" i="242"/>
  <c r="E76" i="237"/>
  <c r="E81" i="237"/>
  <c r="E78" i="190"/>
  <c r="F78" i="190" s="1"/>
  <c r="B82" i="189"/>
  <c r="F82" i="189" s="1"/>
  <c r="E87" i="190"/>
  <c r="F87" i="190" s="1"/>
  <c r="G51" i="189"/>
  <c r="B83" i="242"/>
  <c r="B79" i="237" s="1"/>
  <c r="B83" i="239" s="1"/>
  <c r="B84" i="242"/>
  <c r="B80" i="237" s="1"/>
  <c r="B84" i="239" s="1"/>
  <c r="H50" i="242"/>
  <c r="E17" i="190"/>
  <c r="F17" i="190" s="1"/>
  <c r="E24" i="190"/>
  <c r="F24" i="190" s="1"/>
  <c r="E43" i="237"/>
  <c r="H30" i="242"/>
  <c r="E22" i="190"/>
  <c r="F22" i="190" s="1"/>
  <c r="H42" i="242"/>
  <c r="E15" i="190"/>
  <c r="F15" i="190" s="1"/>
  <c r="E27" i="237"/>
  <c r="H43" i="242"/>
  <c r="G74" i="189"/>
  <c r="H37" i="242"/>
  <c r="E71" i="190"/>
  <c r="F71" i="190" s="1"/>
  <c r="G58" i="189"/>
  <c r="E60" i="237"/>
  <c r="E41" i="190"/>
  <c r="F41" i="190" s="1"/>
  <c r="G32" i="189"/>
  <c r="E29" i="190"/>
  <c r="F29" i="190" s="1"/>
  <c r="G76" i="189"/>
  <c r="E81" i="190"/>
  <c r="F81" i="190" s="1"/>
  <c r="G78" i="189"/>
  <c r="E87" i="237"/>
  <c r="H55" i="242"/>
  <c r="E40" i="237"/>
  <c r="G40" i="189"/>
  <c r="E38" i="237"/>
  <c r="G38" i="189"/>
  <c r="E83" i="190"/>
  <c r="E83" i="237"/>
  <c r="H87" i="242"/>
  <c r="G83" i="189"/>
  <c r="B74" i="189"/>
  <c r="B78" i="242" s="1"/>
  <c r="B74" i="237" s="1"/>
  <c r="B78" i="239" s="1"/>
  <c r="B18" i="189"/>
  <c r="F18" i="189" s="1"/>
  <c r="B15" i="189"/>
  <c r="B13" i="189"/>
  <c r="F13" i="189" s="1"/>
  <c r="B17" i="189"/>
  <c r="F17" i="189" s="1"/>
  <c r="B22" i="189"/>
  <c r="B26" i="242" s="1"/>
  <c r="B22" i="237" s="1"/>
  <c r="B26" i="239" s="1"/>
  <c r="B26" i="189"/>
  <c r="B30" i="242" s="1"/>
  <c r="B26" i="237" s="1"/>
  <c r="B30" i="239" s="1"/>
  <c r="D26" i="190"/>
  <c r="B27" i="189"/>
  <c r="F27" i="189" s="1"/>
  <c r="B16" i="189"/>
  <c r="B25" i="189"/>
  <c r="B14" i="189"/>
  <c r="B11" i="189"/>
  <c r="B15" i="242" s="1"/>
  <c r="B11" i="237" s="1"/>
  <c r="B15" i="239" s="1"/>
  <c r="B81" i="189"/>
  <c r="B76" i="189"/>
  <c r="F76" i="189" s="1"/>
  <c r="B67" i="189"/>
  <c r="D67" i="190"/>
  <c r="B66" i="189"/>
  <c r="F66" i="189" s="1"/>
  <c r="D66" i="190"/>
  <c r="B65" i="189"/>
  <c r="B69" i="242" s="1"/>
  <c r="B65" i="237" s="1"/>
  <c r="B69" i="239" s="1"/>
  <c r="F65" i="190"/>
  <c r="B64" i="189"/>
  <c r="B68" i="242" s="1"/>
  <c r="B64" i="237" s="1"/>
  <c r="B68" i="239" s="1"/>
  <c r="B62" i="189"/>
  <c r="B66" i="242" s="1"/>
  <c r="B62" i="237" s="1"/>
  <c r="B66" i="239" s="1"/>
  <c r="D62" i="190"/>
  <c r="B57" i="189"/>
  <c r="F57" i="189" s="1"/>
  <c r="B54" i="189"/>
  <c r="D54" i="190"/>
  <c r="B52" i="189"/>
  <c r="B56" i="242" s="1"/>
  <c r="B52" i="237" s="1"/>
  <c r="B56" i="239" s="1"/>
  <c r="B48" i="189"/>
  <c r="B46" i="189"/>
  <c r="B50" i="242" s="1"/>
  <c r="B46" i="237" s="1"/>
  <c r="B50" i="239" s="1"/>
  <c r="B43" i="189"/>
  <c r="B47" i="242" s="1"/>
  <c r="B43" i="237" s="1"/>
  <c r="B47" i="239" s="1"/>
  <c r="B38" i="189"/>
  <c r="F38" i="190"/>
  <c r="H52" i="242"/>
  <c r="G48" i="189"/>
  <c r="E48" i="237"/>
  <c r="E48" i="190"/>
  <c r="F74" i="190"/>
  <c r="B51" i="189"/>
  <c r="B58" i="189"/>
  <c r="B60" i="189"/>
  <c r="B50" i="189"/>
  <c r="B69" i="189"/>
  <c r="B55" i="189"/>
  <c r="B35" i="189"/>
  <c r="B31" i="189"/>
  <c r="B10" i="189"/>
  <c r="B40" i="189"/>
  <c r="B45" i="189"/>
  <c r="B84" i="189"/>
  <c r="B37" i="189"/>
  <c r="B75" i="189"/>
  <c r="B23" i="189"/>
  <c r="F73" i="189"/>
  <c r="B19" i="189"/>
  <c r="B30" i="189"/>
  <c r="E10" i="237"/>
  <c r="H14" i="242"/>
  <c r="E10" i="190"/>
  <c r="F10" i="190" s="1"/>
  <c r="G10" i="189"/>
  <c r="B71" i="189"/>
  <c r="G82" i="189"/>
  <c r="H86" i="242"/>
  <c r="E82" i="190"/>
  <c r="F82" i="190" s="1"/>
  <c r="E82" i="237"/>
  <c r="G80" i="189"/>
  <c r="H80" i="189" s="1"/>
  <c r="H84" i="242"/>
  <c r="E80" i="190"/>
  <c r="F80" i="190" s="1"/>
  <c r="E80" i="237"/>
  <c r="B63" i="189"/>
  <c r="B33" i="189"/>
  <c r="B29" i="189"/>
  <c r="G23" i="189"/>
  <c r="E23" i="237"/>
  <c r="H27" i="242"/>
  <c r="E23" i="190"/>
  <c r="F23" i="190" s="1"/>
  <c r="B36" i="189"/>
  <c r="H23" i="242"/>
  <c r="G19" i="189"/>
  <c r="E19" i="190"/>
  <c r="F19" i="190" s="1"/>
  <c r="E19" i="237"/>
  <c r="B24" i="189"/>
  <c r="B68" i="189"/>
  <c r="F12" i="190"/>
  <c r="B12" i="189"/>
  <c r="G73" i="189"/>
  <c r="H73" i="189" s="1"/>
  <c r="E73" i="190"/>
  <c r="F73" i="190" s="1"/>
  <c r="E73" i="237"/>
  <c r="H77" i="242"/>
  <c r="B47" i="189"/>
  <c r="F39" i="190"/>
  <c r="B39" i="189"/>
  <c r="B44" i="189"/>
  <c r="B28" i="189"/>
  <c r="B78" i="189"/>
  <c r="B87" i="189"/>
  <c r="F79" i="189"/>
  <c r="E36" i="190"/>
  <c r="F36" i="190" s="1"/>
  <c r="G36" i="189"/>
  <c r="H40" i="242"/>
  <c r="E36" i="237"/>
  <c r="B77" i="189"/>
  <c r="F80" i="189"/>
  <c r="B42" i="189"/>
  <c r="B61" i="189"/>
  <c r="B70" i="189"/>
  <c r="B41" i="189"/>
  <c r="F56" i="190"/>
  <c r="B56" i="189"/>
  <c r="F83" i="190"/>
  <c r="B83" i="189"/>
  <c r="E79" i="190"/>
  <c r="F79" i="190" s="1"/>
  <c r="E79" i="237"/>
  <c r="G79" i="189"/>
  <c r="H79" i="189" s="1"/>
  <c r="H83" i="242"/>
  <c r="B49" i="189"/>
  <c r="B53" i="189"/>
  <c r="B59" i="189"/>
  <c r="B21" i="189"/>
  <c r="B32" i="189"/>
  <c r="B72" i="189"/>
  <c r="G77" i="189"/>
  <c r="H81" i="242"/>
  <c r="E77" i="190"/>
  <c r="F77" i="190" s="1"/>
  <c r="E77" i="237"/>
  <c r="E42" i="237"/>
  <c r="H46" i="242"/>
  <c r="E42" i="190"/>
  <c r="F42" i="190" s="1"/>
  <c r="G42" i="189"/>
  <c r="G61" i="189"/>
  <c r="H65" i="242"/>
  <c r="E61" i="237"/>
  <c r="E61" i="190"/>
  <c r="F61" i="190" s="1"/>
  <c r="G70" i="189"/>
  <c r="E70" i="190"/>
  <c r="F70" i="190" s="1"/>
  <c r="H74" i="242"/>
  <c r="E70" i="237"/>
  <c r="F54" i="190" l="1"/>
  <c r="F66" i="190"/>
  <c r="F67" i="190"/>
  <c r="G121" i="189"/>
  <c r="H125" i="242"/>
  <c r="F76" i="190"/>
  <c r="F62" i="190"/>
  <c r="F26" i="190"/>
  <c r="H32" i="189"/>
  <c r="B36" i="242"/>
  <c r="B32" i="237" s="1"/>
  <c r="B36" i="239" s="1"/>
  <c r="H56" i="189"/>
  <c r="B60" i="242"/>
  <c r="B56" i="237" s="1"/>
  <c r="B60" i="239" s="1"/>
  <c r="H77" i="189"/>
  <c r="B81" i="242"/>
  <c r="B77" i="237" s="1"/>
  <c r="B81" i="239" s="1"/>
  <c r="H61" i="189"/>
  <c r="B65" i="242"/>
  <c r="B61" i="237" s="1"/>
  <c r="B65" i="239" s="1"/>
  <c r="H78" i="189"/>
  <c r="B82" i="242"/>
  <c r="B78" i="237" s="1"/>
  <c r="B82" i="239" s="1"/>
  <c r="H44" i="189"/>
  <c r="B48" i="242"/>
  <c r="B44" i="237" s="1"/>
  <c r="B48" i="239" s="1"/>
  <c r="H47" i="189"/>
  <c r="B51" i="242"/>
  <c r="B47" i="237" s="1"/>
  <c r="B51" i="239" s="1"/>
  <c r="H68" i="189"/>
  <c r="B72" i="242"/>
  <c r="B68" i="237" s="1"/>
  <c r="B72" i="239" s="1"/>
  <c r="H36" i="189"/>
  <c r="B40" i="242"/>
  <c r="B36" i="237" s="1"/>
  <c r="B40" i="239" s="1"/>
  <c r="H75" i="189"/>
  <c r="B79" i="242"/>
  <c r="B75" i="237" s="1"/>
  <c r="B79" i="239" s="1"/>
  <c r="H84" i="189"/>
  <c r="B88" i="242"/>
  <c r="B84" i="237" s="1"/>
  <c r="B88" i="239" s="1"/>
  <c r="C44" i="201"/>
  <c r="D44" i="201" s="1"/>
  <c r="D50" i="239"/>
  <c r="F50" i="239" s="1"/>
  <c r="H54" i="189"/>
  <c r="B58" i="242"/>
  <c r="B54" i="237" s="1"/>
  <c r="B58" i="239" s="1"/>
  <c r="C62" i="201"/>
  <c r="D62" i="201" s="1"/>
  <c r="D68" i="239"/>
  <c r="F68" i="239" s="1"/>
  <c r="H66" i="189"/>
  <c r="B70" i="242"/>
  <c r="B66" i="237" s="1"/>
  <c r="B70" i="239" s="1"/>
  <c r="H76" i="189"/>
  <c r="B80" i="242"/>
  <c r="B76" i="237" s="1"/>
  <c r="B80" i="239" s="1"/>
  <c r="H27" i="189"/>
  <c r="B31" i="242"/>
  <c r="B27" i="237" s="1"/>
  <c r="B31" i="239" s="1"/>
  <c r="H17" i="189"/>
  <c r="B21" i="242"/>
  <c r="B17" i="237" s="1"/>
  <c r="B21" i="239" s="1"/>
  <c r="C72" i="201"/>
  <c r="D72" i="201" s="1"/>
  <c r="D78" i="239"/>
  <c r="F78" i="239" s="1"/>
  <c r="H49" i="189"/>
  <c r="B53" i="242"/>
  <c r="B49" i="237" s="1"/>
  <c r="B53" i="239" s="1"/>
  <c r="H72" i="189"/>
  <c r="B76" i="242"/>
  <c r="B72" i="237" s="1"/>
  <c r="B76" i="239" s="1"/>
  <c r="H21" i="189"/>
  <c r="B25" i="242"/>
  <c r="B21" i="237" s="1"/>
  <c r="B25" i="239" s="1"/>
  <c r="H53" i="189"/>
  <c r="B57" i="242"/>
  <c r="B53" i="237" s="1"/>
  <c r="B57" i="239" s="1"/>
  <c r="H83" i="189"/>
  <c r="B87" i="242"/>
  <c r="B83" i="237" s="1"/>
  <c r="B87" i="239" s="1"/>
  <c r="H41" i="189"/>
  <c r="B45" i="242"/>
  <c r="B41" i="237" s="1"/>
  <c r="B45" i="239" s="1"/>
  <c r="H29" i="189"/>
  <c r="B33" i="242"/>
  <c r="B29" i="237" s="1"/>
  <c r="B33" i="239" s="1"/>
  <c r="H63" i="189"/>
  <c r="B67" i="242"/>
  <c r="B63" i="237" s="1"/>
  <c r="B67" i="239" s="1"/>
  <c r="H30" i="189"/>
  <c r="B34" i="242"/>
  <c r="B30" i="237" s="1"/>
  <c r="B34" i="239" s="1"/>
  <c r="H35" i="189"/>
  <c r="B39" i="242"/>
  <c r="B35" i="237" s="1"/>
  <c r="B39" i="239" s="1"/>
  <c r="H69" i="189"/>
  <c r="B73" i="242"/>
  <c r="B69" i="237" s="1"/>
  <c r="B73" i="239" s="1"/>
  <c r="H60" i="189"/>
  <c r="B64" i="242"/>
  <c r="B60" i="237" s="1"/>
  <c r="B64" i="239" s="1"/>
  <c r="H48" i="189"/>
  <c r="B52" i="242"/>
  <c r="B48" i="237" s="1"/>
  <c r="B52" i="239" s="1"/>
  <c r="H57" i="189"/>
  <c r="B61" i="242"/>
  <c r="B57" i="237" s="1"/>
  <c r="B61" i="239" s="1"/>
  <c r="H14" i="189"/>
  <c r="B18" i="242"/>
  <c r="B14" i="237" s="1"/>
  <c r="B18" i="239" s="1"/>
  <c r="H13" i="189"/>
  <c r="B17" i="242"/>
  <c r="B13" i="237" s="1"/>
  <c r="B17" i="239" s="1"/>
  <c r="C77" i="201"/>
  <c r="D77" i="201" s="1"/>
  <c r="D83" i="239"/>
  <c r="F83" i="239" s="1"/>
  <c r="H82" i="189"/>
  <c r="B86" i="242"/>
  <c r="B82" i="237" s="1"/>
  <c r="B86" i="239" s="1"/>
  <c r="H42" i="189"/>
  <c r="B46" i="242"/>
  <c r="B42" i="237" s="1"/>
  <c r="B46" i="239" s="1"/>
  <c r="H87" i="189"/>
  <c r="B91" i="242"/>
  <c r="B87" i="237" s="1"/>
  <c r="B91" i="239" s="1"/>
  <c r="H28" i="189"/>
  <c r="B32" i="242"/>
  <c r="B28" i="237" s="1"/>
  <c r="B32" i="239" s="1"/>
  <c r="H39" i="189"/>
  <c r="B43" i="242"/>
  <c r="B39" i="237" s="1"/>
  <c r="B43" i="239" s="1"/>
  <c r="H12" i="189"/>
  <c r="B16" i="242"/>
  <c r="B12" i="237" s="1"/>
  <c r="B16" i="239" s="1"/>
  <c r="H24" i="189"/>
  <c r="B28" i="242"/>
  <c r="B24" i="237" s="1"/>
  <c r="B28" i="239" s="1"/>
  <c r="H37" i="189"/>
  <c r="B41" i="242"/>
  <c r="B37" i="237" s="1"/>
  <c r="B41" i="239" s="1"/>
  <c r="H45" i="189"/>
  <c r="B49" i="242"/>
  <c r="B45" i="237" s="1"/>
  <c r="B49" i="239" s="1"/>
  <c r="H10" i="189"/>
  <c r="B14" i="242"/>
  <c r="B10" i="237" s="1"/>
  <c r="B14" i="239" s="1"/>
  <c r="C50" i="201"/>
  <c r="D50" i="201" s="1"/>
  <c r="D56" i="239"/>
  <c r="F56" i="239" s="1"/>
  <c r="C63" i="201"/>
  <c r="D63" i="201" s="1"/>
  <c r="D69" i="239"/>
  <c r="F69" i="239" s="1"/>
  <c r="H67" i="189"/>
  <c r="B71" i="242"/>
  <c r="B67" i="237" s="1"/>
  <c r="B71" i="239" s="1"/>
  <c r="H81" i="189"/>
  <c r="B85" i="242"/>
  <c r="B81" i="237" s="1"/>
  <c r="B85" i="239" s="1"/>
  <c r="H25" i="189"/>
  <c r="B29" i="242"/>
  <c r="B25" i="237" s="1"/>
  <c r="B29" i="239" s="1"/>
  <c r="C24" i="201"/>
  <c r="D24" i="201" s="1"/>
  <c r="D30" i="239"/>
  <c r="F30" i="239" s="1"/>
  <c r="H15" i="189"/>
  <c r="B19" i="242"/>
  <c r="B15" i="237" s="1"/>
  <c r="B19" i="239" s="1"/>
  <c r="C71" i="201"/>
  <c r="D71" i="201" s="1"/>
  <c r="D77" i="239"/>
  <c r="F77" i="239" s="1"/>
  <c r="H59" i="189"/>
  <c r="B63" i="242"/>
  <c r="B59" i="237" s="1"/>
  <c r="B63" i="239" s="1"/>
  <c r="H33" i="189"/>
  <c r="B37" i="242"/>
  <c r="B33" i="237" s="1"/>
  <c r="B37" i="239" s="1"/>
  <c r="H71" i="189"/>
  <c r="B75" i="242"/>
  <c r="B71" i="237" s="1"/>
  <c r="B75" i="239" s="1"/>
  <c r="H23" i="189"/>
  <c r="B27" i="242"/>
  <c r="B23" i="237" s="1"/>
  <c r="B27" i="239" s="1"/>
  <c r="H31" i="189"/>
  <c r="B35" i="242"/>
  <c r="B31" i="237" s="1"/>
  <c r="B35" i="239" s="1"/>
  <c r="H55" i="189"/>
  <c r="B59" i="242"/>
  <c r="B55" i="237" s="1"/>
  <c r="B59" i="239" s="1"/>
  <c r="H50" i="189"/>
  <c r="B54" i="242"/>
  <c r="B50" i="237" s="1"/>
  <c r="B54" i="239" s="1"/>
  <c r="H58" i="189"/>
  <c r="B62" i="242"/>
  <c r="B58" i="237" s="1"/>
  <c r="B62" i="239" s="1"/>
  <c r="H51" i="189"/>
  <c r="B55" i="242"/>
  <c r="B51" i="237" s="1"/>
  <c r="B55" i="239" s="1"/>
  <c r="C41" i="201"/>
  <c r="D41" i="201" s="1"/>
  <c r="D47" i="239"/>
  <c r="F47" i="239" s="1"/>
  <c r="C60" i="201"/>
  <c r="D60" i="201" s="1"/>
  <c r="D66" i="239"/>
  <c r="F66" i="239" s="1"/>
  <c r="C9" i="201"/>
  <c r="D9" i="201" s="1"/>
  <c r="D15" i="239"/>
  <c r="F15" i="239" s="1"/>
  <c r="H16" i="189"/>
  <c r="B20" i="242"/>
  <c r="B16" i="237" s="1"/>
  <c r="B20" i="239" s="1"/>
  <c r="C20" i="201"/>
  <c r="D20" i="201" s="1"/>
  <c r="D26" i="239"/>
  <c r="F26" i="239" s="1"/>
  <c r="H18" i="189"/>
  <c r="B22" i="242"/>
  <c r="B18" i="237" s="1"/>
  <c r="B22" i="239" s="1"/>
  <c r="C78" i="201"/>
  <c r="D78" i="201" s="1"/>
  <c r="D84" i="239"/>
  <c r="F84" i="239" s="1"/>
  <c r="H70" i="189"/>
  <c r="B74" i="242"/>
  <c r="B70" i="237" s="1"/>
  <c r="B74" i="239" s="1"/>
  <c r="H19" i="189"/>
  <c r="B23" i="242"/>
  <c r="B19" i="237" s="1"/>
  <c r="B23" i="239" s="1"/>
  <c r="H40" i="189"/>
  <c r="B44" i="242"/>
  <c r="B40" i="237" s="1"/>
  <c r="B44" i="239" s="1"/>
  <c r="H38" i="189"/>
  <c r="B42" i="242"/>
  <c r="B38" i="237" s="1"/>
  <c r="B42" i="239" s="1"/>
  <c r="F25" i="189"/>
  <c r="F38" i="189"/>
  <c r="F67" i="189"/>
  <c r="F15" i="189"/>
  <c r="F81" i="189"/>
  <c r="F43" i="189"/>
  <c r="H43" i="189"/>
  <c r="F62" i="189"/>
  <c r="H62" i="189"/>
  <c r="F11" i="189"/>
  <c r="H11" i="189"/>
  <c r="F22" i="189"/>
  <c r="H22" i="189"/>
  <c r="F46" i="189"/>
  <c r="H46" i="189"/>
  <c r="F64" i="189"/>
  <c r="H64" i="189"/>
  <c r="F74" i="189"/>
  <c r="H74" i="189"/>
  <c r="F52" i="189"/>
  <c r="H52" i="189"/>
  <c r="F65" i="189"/>
  <c r="H65" i="189"/>
  <c r="F26" i="189"/>
  <c r="H26" i="189"/>
  <c r="F16" i="189"/>
  <c r="F48" i="189"/>
  <c r="F14" i="189"/>
  <c r="O68" i="242"/>
  <c r="F48" i="190"/>
  <c r="F54" i="189"/>
  <c r="F51" i="189"/>
  <c r="AA78" i="242"/>
  <c r="P56" i="242"/>
  <c r="O56" i="242"/>
  <c r="R56" i="242"/>
  <c r="AA56" i="242"/>
  <c r="Q56" i="242"/>
  <c r="F72" i="189"/>
  <c r="F21" i="189"/>
  <c r="F41" i="189"/>
  <c r="F61" i="189"/>
  <c r="F77" i="189"/>
  <c r="F87" i="189"/>
  <c r="F12" i="189"/>
  <c r="F24" i="189"/>
  <c r="F36" i="189"/>
  <c r="F33" i="189"/>
  <c r="F30" i="189"/>
  <c r="F37" i="189"/>
  <c r="F10" i="189"/>
  <c r="F56" i="189"/>
  <c r="F42" i="189"/>
  <c r="F78" i="189"/>
  <c r="F44" i="189"/>
  <c r="F47" i="189"/>
  <c r="F71" i="189"/>
  <c r="F23" i="189"/>
  <c r="F75" i="189"/>
  <c r="F45" i="189"/>
  <c r="F55" i="189"/>
  <c r="F50" i="189"/>
  <c r="F32" i="189"/>
  <c r="F53" i="189"/>
  <c r="F70" i="189"/>
  <c r="F68" i="189"/>
  <c r="F29" i="189"/>
  <c r="F63" i="189"/>
  <c r="F31" i="189"/>
  <c r="F58" i="189"/>
  <c r="F59" i="189"/>
  <c r="F49" i="189"/>
  <c r="F83" i="189"/>
  <c r="F28" i="189"/>
  <c r="F39" i="189"/>
  <c r="R50" i="242"/>
  <c r="P50" i="242"/>
  <c r="Q50" i="242"/>
  <c r="F19" i="189"/>
  <c r="F84" i="189"/>
  <c r="F40" i="189"/>
  <c r="F35" i="189"/>
  <c r="F69" i="189"/>
  <c r="F60" i="189"/>
  <c r="F121" i="190" l="1"/>
  <c r="F121" i="189"/>
  <c r="H121" i="189"/>
  <c r="I103" i="189" s="1"/>
  <c r="F101" i="201" s="1"/>
  <c r="O21" i="242"/>
  <c r="AA21" i="242"/>
  <c r="R21" i="242"/>
  <c r="P21" i="242"/>
  <c r="Q21" i="242"/>
  <c r="Q52" i="242"/>
  <c r="AA52" i="242"/>
  <c r="O52" i="242"/>
  <c r="P52" i="242"/>
  <c r="O18" i="242"/>
  <c r="R52" i="242"/>
  <c r="C56" i="201"/>
  <c r="D56" i="201" s="1"/>
  <c r="D62" i="239"/>
  <c r="F62" i="239" s="1"/>
  <c r="C21" i="201"/>
  <c r="D21" i="201" s="1"/>
  <c r="D27" i="239"/>
  <c r="F27" i="239" s="1"/>
  <c r="C79" i="201"/>
  <c r="D85" i="239"/>
  <c r="F85" i="239" s="1"/>
  <c r="C8" i="201"/>
  <c r="D8" i="201" s="1"/>
  <c r="D14" i="239"/>
  <c r="F14" i="239" s="1"/>
  <c r="C35" i="201"/>
  <c r="D35" i="201" s="1"/>
  <c r="D41" i="239"/>
  <c r="F41" i="239" s="1"/>
  <c r="C10" i="201"/>
  <c r="D10" i="201" s="1"/>
  <c r="D16" i="239"/>
  <c r="F16" i="239" s="1"/>
  <c r="C26" i="201"/>
  <c r="D26" i="201" s="1"/>
  <c r="D32" i="239"/>
  <c r="F32" i="239" s="1"/>
  <c r="C40" i="201"/>
  <c r="D40" i="201" s="1"/>
  <c r="D46" i="239"/>
  <c r="F46" i="239" s="1"/>
  <c r="C12" i="201"/>
  <c r="D12" i="201" s="1"/>
  <c r="D18" i="239"/>
  <c r="F18" i="239" s="1"/>
  <c r="C46" i="201"/>
  <c r="D46" i="201" s="1"/>
  <c r="D52" i="239"/>
  <c r="F52" i="239" s="1"/>
  <c r="C67" i="201"/>
  <c r="D67" i="201" s="1"/>
  <c r="D73" i="239"/>
  <c r="F73" i="239" s="1"/>
  <c r="C28" i="201"/>
  <c r="D28" i="201" s="1"/>
  <c r="D34" i="239"/>
  <c r="F34" i="239" s="1"/>
  <c r="C27" i="201"/>
  <c r="D27" i="201" s="1"/>
  <c r="D33" i="239"/>
  <c r="F33" i="239" s="1"/>
  <c r="C81" i="201"/>
  <c r="D81" i="201" s="1"/>
  <c r="D87" i="239"/>
  <c r="F87" i="239" s="1"/>
  <c r="C19" i="201"/>
  <c r="D19" i="201" s="1"/>
  <c r="D25" i="239"/>
  <c r="F25" i="239" s="1"/>
  <c r="C47" i="201"/>
  <c r="D47" i="201" s="1"/>
  <c r="D53" i="239"/>
  <c r="F53" i="239" s="1"/>
  <c r="C15" i="201"/>
  <c r="D15" i="201" s="1"/>
  <c r="D21" i="239"/>
  <c r="F21" i="239" s="1"/>
  <c r="C74" i="201"/>
  <c r="D74" i="201" s="1"/>
  <c r="D80" i="239"/>
  <c r="F80" i="239" s="1"/>
  <c r="C73" i="201"/>
  <c r="D73" i="201" s="1"/>
  <c r="D79" i="239"/>
  <c r="F79" i="239" s="1"/>
  <c r="C66" i="201"/>
  <c r="D66" i="201" s="1"/>
  <c r="D72" i="239"/>
  <c r="F72" i="239" s="1"/>
  <c r="C42" i="201"/>
  <c r="D42" i="201" s="1"/>
  <c r="D48" i="239"/>
  <c r="F48" i="239" s="1"/>
  <c r="C59" i="201"/>
  <c r="D59" i="201" s="1"/>
  <c r="D65" i="239"/>
  <c r="F65" i="239" s="1"/>
  <c r="C54" i="201"/>
  <c r="D54" i="201" s="1"/>
  <c r="D60" i="239"/>
  <c r="F60" i="239" s="1"/>
  <c r="C53" i="201"/>
  <c r="D53" i="201" s="1"/>
  <c r="D59" i="239"/>
  <c r="F59" i="239" s="1"/>
  <c r="C31" i="201"/>
  <c r="D31" i="201" s="1"/>
  <c r="D37" i="239"/>
  <c r="F37" i="239" s="1"/>
  <c r="C16" i="201"/>
  <c r="D16" i="201" s="1"/>
  <c r="D22" i="239"/>
  <c r="F22" i="239" s="1"/>
  <c r="C14" i="201"/>
  <c r="D14" i="201" s="1"/>
  <c r="D20" i="239"/>
  <c r="F20" i="239" s="1"/>
  <c r="C49" i="201"/>
  <c r="D49" i="201" s="1"/>
  <c r="D55" i="239"/>
  <c r="F55" i="239" s="1"/>
  <c r="C29" i="201"/>
  <c r="D29" i="201" s="1"/>
  <c r="D35" i="239"/>
  <c r="F35" i="239" s="1"/>
  <c r="C69" i="201"/>
  <c r="D69" i="201" s="1"/>
  <c r="D75" i="239"/>
  <c r="F75" i="239" s="1"/>
  <c r="C13" i="201"/>
  <c r="D13" i="201" s="1"/>
  <c r="D19" i="239"/>
  <c r="F19" i="239" s="1"/>
  <c r="C23" i="201"/>
  <c r="D23" i="201" s="1"/>
  <c r="D29" i="239"/>
  <c r="F29" i="239" s="1"/>
  <c r="C65" i="201"/>
  <c r="D65" i="201" s="1"/>
  <c r="D71" i="239"/>
  <c r="F71" i="239" s="1"/>
  <c r="C43" i="201"/>
  <c r="D43" i="201" s="1"/>
  <c r="D49" i="239"/>
  <c r="F49" i="239" s="1"/>
  <c r="C22" i="201"/>
  <c r="D22" i="201" s="1"/>
  <c r="D28" i="239"/>
  <c r="F28" i="239" s="1"/>
  <c r="C37" i="201"/>
  <c r="D43" i="239"/>
  <c r="F43" i="239" s="1"/>
  <c r="C85" i="201"/>
  <c r="D91" i="239"/>
  <c r="F91" i="239" s="1"/>
  <c r="C80" i="201"/>
  <c r="D80" i="201" s="1"/>
  <c r="D86" i="239"/>
  <c r="F86" i="239" s="1"/>
  <c r="C11" i="201"/>
  <c r="D11" i="201" s="1"/>
  <c r="D17" i="239"/>
  <c r="F17" i="239" s="1"/>
  <c r="C55" i="201"/>
  <c r="D55" i="201" s="1"/>
  <c r="D61" i="239"/>
  <c r="F61" i="239" s="1"/>
  <c r="C58" i="201"/>
  <c r="D58" i="201" s="1"/>
  <c r="D64" i="239"/>
  <c r="F64" i="239" s="1"/>
  <c r="C33" i="201"/>
  <c r="D33" i="201" s="1"/>
  <c r="D39" i="239"/>
  <c r="F39" i="239" s="1"/>
  <c r="C61" i="201"/>
  <c r="D61" i="201" s="1"/>
  <c r="D67" i="239"/>
  <c r="F67" i="239" s="1"/>
  <c r="C39" i="201"/>
  <c r="D39" i="201" s="1"/>
  <c r="D45" i="239"/>
  <c r="F45" i="239" s="1"/>
  <c r="C51" i="201"/>
  <c r="D51" i="201" s="1"/>
  <c r="D57" i="239"/>
  <c r="F57" i="239" s="1"/>
  <c r="C70" i="201"/>
  <c r="D70" i="201" s="1"/>
  <c r="D76" i="239"/>
  <c r="F76" i="239" s="1"/>
  <c r="C25" i="201"/>
  <c r="D25" i="201" s="1"/>
  <c r="D31" i="239"/>
  <c r="F31" i="239" s="1"/>
  <c r="C64" i="201"/>
  <c r="D64" i="201" s="1"/>
  <c r="D70" i="239"/>
  <c r="F70" i="239" s="1"/>
  <c r="C52" i="201"/>
  <c r="D52" i="201" s="1"/>
  <c r="D58" i="239"/>
  <c r="F58" i="239" s="1"/>
  <c r="C82" i="201"/>
  <c r="D82" i="201" s="1"/>
  <c r="D88" i="239"/>
  <c r="F88" i="239" s="1"/>
  <c r="C34" i="201"/>
  <c r="D34" i="201" s="1"/>
  <c r="D40" i="239"/>
  <c r="F40" i="239" s="1"/>
  <c r="C45" i="201"/>
  <c r="D45" i="201" s="1"/>
  <c r="D51" i="239"/>
  <c r="F51" i="239" s="1"/>
  <c r="C76" i="201"/>
  <c r="D76" i="201" s="1"/>
  <c r="D82" i="239"/>
  <c r="F82" i="239" s="1"/>
  <c r="C75" i="201"/>
  <c r="D75" i="201" s="1"/>
  <c r="D81" i="239"/>
  <c r="F81" i="239" s="1"/>
  <c r="C30" i="201"/>
  <c r="D30" i="201" s="1"/>
  <c r="D36" i="239"/>
  <c r="F36" i="239" s="1"/>
  <c r="C48" i="201"/>
  <c r="D48" i="201" s="1"/>
  <c r="D54" i="239"/>
  <c r="F54" i="239" s="1"/>
  <c r="C57" i="201"/>
  <c r="D57" i="201" s="1"/>
  <c r="D63" i="239"/>
  <c r="F63" i="239" s="1"/>
  <c r="C68" i="201"/>
  <c r="D74" i="239"/>
  <c r="F74" i="239" s="1"/>
  <c r="C17" i="201"/>
  <c r="D23" i="239"/>
  <c r="F23" i="239" s="1"/>
  <c r="C38" i="201"/>
  <c r="D44" i="239"/>
  <c r="F44" i="239" s="1"/>
  <c r="C36" i="201"/>
  <c r="D36" i="201" s="1"/>
  <c r="D42" i="239"/>
  <c r="F42" i="239" s="1"/>
  <c r="AA18" i="242"/>
  <c r="S56" i="242" a="1"/>
  <c r="S56" i="242" s="1"/>
  <c r="I56" i="242" s="1"/>
  <c r="P18" i="242"/>
  <c r="R18" i="242"/>
  <c r="Q18" i="242"/>
  <c r="AA68" i="242"/>
  <c r="P68" i="242"/>
  <c r="Q68" i="242"/>
  <c r="R68" i="242"/>
  <c r="O50" i="242"/>
  <c r="S50" i="242" s="1" a="1"/>
  <c r="S50" i="242" s="1"/>
  <c r="I50" i="242" s="1"/>
  <c r="AA50" i="242"/>
  <c r="Q78" i="242"/>
  <c r="P78" i="242"/>
  <c r="R78" i="242"/>
  <c r="O78" i="242"/>
  <c r="AA71" i="242"/>
  <c r="O71" i="242"/>
  <c r="P71" i="242"/>
  <c r="Q71" i="242"/>
  <c r="R71" i="242"/>
  <c r="Q15" i="242"/>
  <c r="O15" i="242"/>
  <c r="P15" i="242"/>
  <c r="AA15" i="242"/>
  <c r="R15" i="242"/>
  <c r="O26" i="242"/>
  <c r="AA26" i="242"/>
  <c r="R26" i="242"/>
  <c r="Q26" i="242"/>
  <c r="P26" i="242"/>
  <c r="AA61" i="242"/>
  <c r="R61" i="242"/>
  <c r="O61" i="242"/>
  <c r="Q61" i="242"/>
  <c r="P61" i="242"/>
  <c r="P85" i="242"/>
  <c r="AA85" i="242"/>
  <c r="Q85" i="242"/>
  <c r="O85" i="242"/>
  <c r="R85" i="242"/>
  <c r="AA42" i="242"/>
  <c r="R42" i="242"/>
  <c r="O42" i="242"/>
  <c r="Q42" i="242"/>
  <c r="P42" i="242"/>
  <c r="Q55" i="242"/>
  <c r="P55" i="242"/>
  <c r="O55" i="242"/>
  <c r="AA55" i="242"/>
  <c r="R55" i="242"/>
  <c r="R83" i="242"/>
  <c r="AA83" i="242"/>
  <c r="P83" i="242"/>
  <c r="O83" i="242"/>
  <c r="Q83" i="242"/>
  <c r="Q80" i="242"/>
  <c r="R80" i="242"/>
  <c r="P80" i="242"/>
  <c r="O80" i="242"/>
  <c r="AA80" i="242"/>
  <c r="Q47" i="242"/>
  <c r="R47" i="242"/>
  <c r="P47" i="242"/>
  <c r="O47" i="242"/>
  <c r="AA47" i="242"/>
  <c r="Q29" i="242"/>
  <c r="P29" i="242"/>
  <c r="R29" i="242"/>
  <c r="O29" i="242"/>
  <c r="AA29" i="242"/>
  <c r="O84" i="242"/>
  <c r="Q84" i="242"/>
  <c r="R84" i="242"/>
  <c r="AA84" i="242"/>
  <c r="P84" i="242"/>
  <c r="R69" i="242"/>
  <c r="Q69" i="242"/>
  <c r="P69" i="242"/>
  <c r="O69" i="242"/>
  <c r="AA69" i="242"/>
  <c r="P66" i="242"/>
  <c r="AA66" i="242"/>
  <c r="R66" i="242"/>
  <c r="O66" i="242"/>
  <c r="Q66" i="242"/>
  <c r="P86" i="242"/>
  <c r="AA86" i="242"/>
  <c r="R86" i="242"/>
  <c r="O86" i="242"/>
  <c r="Q86" i="242"/>
  <c r="P30" i="242"/>
  <c r="O30" i="242"/>
  <c r="Q30" i="242"/>
  <c r="AA30" i="242"/>
  <c r="R30" i="242"/>
  <c r="AA22" i="242"/>
  <c r="R22" i="242"/>
  <c r="O22" i="242"/>
  <c r="Q22" i="242"/>
  <c r="P22" i="242"/>
  <c r="P19" i="242"/>
  <c r="AA19" i="242"/>
  <c r="O19" i="242"/>
  <c r="R19" i="242"/>
  <c r="Q19" i="242"/>
  <c r="R77" i="242"/>
  <c r="AA77" i="242"/>
  <c r="Q77" i="242"/>
  <c r="O77" i="242"/>
  <c r="P77" i="242"/>
  <c r="R70" i="242"/>
  <c r="Q70" i="242"/>
  <c r="AA70" i="242"/>
  <c r="O70" i="242"/>
  <c r="P70" i="242"/>
  <c r="Q20" i="242"/>
  <c r="O20" i="242"/>
  <c r="P20" i="242"/>
  <c r="AA20" i="242"/>
  <c r="R20" i="242"/>
  <c r="R17" i="242"/>
  <c r="O17" i="242"/>
  <c r="P17" i="242"/>
  <c r="AA17" i="242"/>
  <c r="Q17" i="242"/>
  <c r="AA31" i="242"/>
  <c r="O31" i="242"/>
  <c r="R31" i="242"/>
  <c r="Q31" i="242"/>
  <c r="P31" i="242"/>
  <c r="I107" i="189" l="1"/>
  <c r="I118" i="189"/>
  <c r="F116" i="201" s="1"/>
  <c r="I119" i="189"/>
  <c r="F117" i="201" s="1"/>
  <c r="I115" i="189"/>
  <c r="F113" i="201" s="1"/>
  <c r="I109" i="189"/>
  <c r="F107" i="201" s="1"/>
  <c r="I112" i="189"/>
  <c r="F110" i="201" s="1"/>
  <c r="I120" i="189"/>
  <c r="F118" i="201" s="1"/>
  <c r="I114" i="189"/>
  <c r="F112" i="201" s="1"/>
  <c r="I110" i="189"/>
  <c r="F108" i="201" s="1"/>
  <c r="I116" i="189"/>
  <c r="F114" i="201" s="1"/>
  <c r="I113" i="189"/>
  <c r="F111" i="201" s="1"/>
  <c r="I111" i="189"/>
  <c r="F109" i="201" s="1"/>
  <c r="I117" i="189"/>
  <c r="F115" i="201" s="1"/>
  <c r="I108" i="189"/>
  <c r="F106" i="201" s="1"/>
  <c r="G99" i="190"/>
  <c r="E97" i="201" s="1"/>
  <c r="G109" i="190"/>
  <c r="E107" i="201" s="1"/>
  <c r="G120" i="190"/>
  <c r="E118" i="201" s="1"/>
  <c r="G119" i="190"/>
  <c r="E117" i="201" s="1"/>
  <c r="G113" i="190"/>
  <c r="E111" i="201" s="1"/>
  <c r="G111" i="190"/>
  <c r="E109" i="201" s="1"/>
  <c r="G115" i="190"/>
  <c r="E113" i="201" s="1"/>
  <c r="G112" i="190"/>
  <c r="E110" i="201" s="1"/>
  <c r="G114" i="190"/>
  <c r="E112" i="201" s="1"/>
  <c r="G116" i="190"/>
  <c r="E114" i="201" s="1"/>
  <c r="G118" i="190"/>
  <c r="E116" i="201" s="1"/>
  <c r="G110" i="190"/>
  <c r="E108" i="201" s="1"/>
  <c r="G117" i="190"/>
  <c r="E115" i="201" s="1"/>
  <c r="S21" i="242" a="1"/>
  <c r="S21" i="242" s="1"/>
  <c r="I21" i="242" s="1"/>
  <c r="G14" i="190"/>
  <c r="E12" i="201" s="1"/>
  <c r="G20" i="190"/>
  <c r="E18" i="201" s="1"/>
  <c r="G93" i="190"/>
  <c r="E91" i="201" s="1"/>
  <c r="G45" i="190"/>
  <c r="E43" i="201" s="1"/>
  <c r="G51" i="190"/>
  <c r="E49" i="201" s="1"/>
  <c r="G33" i="190"/>
  <c r="E31" i="201" s="1"/>
  <c r="G17" i="190"/>
  <c r="E15" i="201" s="1"/>
  <c r="G57" i="190"/>
  <c r="E55" i="201" s="1"/>
  <c r="G22" i="190"/>
  <c r="E20" i="201" s="1"/>
  <c r="G48" i="190"/>
  <c r="E46" i="201" s="1"/>
  <c r="G83" i="190"/>
  <c r="E81" i="201" s="1"/>
  <c r="G47" i="190"/>
  <c r="E45" i="201" s="1"/>
  <c r="G54" i="190"/>
  <c r="E52" i="201" s="1"/>
  <c r="G95" i="190"/>
  <c r="E93" i="201" s="1"/>
  <c r="G35" i="190"/>
  <c r="E33" i="201" s="1"/>
  <c r="G72" i="190"/>
  <c r="E70" i="201" s="1"/>
  <c r="G24" i="190"/>
  <c r="E22" i="201" s="1"/>
  <c r="G12" i="190"/>
  <c r="E10" i="201" s="1"/>
  <c r="G80" i="190"/>
  <c r="E78" i="201" s="1"/>
  <c r="G77" i="190"/>
  <c r="E75" i="201" s="1"/>
  <c r="G53" i="190"/>
  <c r="E51" i="201" s="1"/>
  <c r="G25" i="190"/>
  <c r="E23" i="201" s="1"/>
  <c r="G18" i="190"/>
  <c r="E16" i="201" s="1"/>
  <c r="G67" i="190"/>
  <c r="E65" i="201" s="1"/>
  <c r="G88" i="190"/>
  <c r="E86" i="201" s="1"/>
  <c r="G21" i="190"/>
  <c r="E19" i="201" s="1"/>
  <c r="G42" i="190"/>
  <c r="E40" i="201" s="1"/>
  <c r="G43" i="190"/>
  <c r="E41" i="201" s="1"/>
  <c r="G62" i="190"/>
  <c r="E60" i="201" s="1"/>
  <c r="G13" i="190"/>
  <c r="E11" i="201" s="1"/>
  <c r="G26" i="190"/>
  <c r="E24" i="201" s="1"/>
  <c r="G74" i="190"/>
  <c r="E72" i="201" s="1"/>
  <c r="G15" i="190"/>
  <c r="E13" i="201" s="1"/>
  <c r="G66" i="190"/>
  <c r="E64" i="201" s="1"/>
  <c r="G92" i="190"/>
  <c r="E90" i="201" s="1"/>
  <c r="G9" i="190"/>
  <c r="G86" i="190"/>
  <c r="E84" i="201" s="1"/>
  <c r="G49" i="190"/>
  <c r="E47" i="201" s="1"/>
  <c r="G40" i="190"/>
  <c r="E38" i="201" s="1"/>
  <c r="G87" i="190"/>
  <c r="E85" i="201" s="1"/>
  <c r="G61" i="190"/>
  <c r="E59" i="201" s="1"/>
  <c r="G44" i="190"/>
  <c r="E42" i="201" s="1"/>
  <c r="G23" i="190"/>
  <c r="E21" i="201" s="1"/>
  <c r="G63" i="190"/>
  <c r="E61" i="201" s="1"/>
  <c r="G32" i="190"/>
  <c r="E30" i="201" s="1"/>
  <c r="G82" i="190"/>
  <c r="E80" i="201" s="1"/>
  <c r="G84" i="190"/>
  <c r="E82" i="201" s="1"/>
  <c r="G75" i="190"/>
  <c r="E73" i="201" s="1"/>
  <c r="G29" i="190"/>
  <c r="E27" i="201" s="1"/>
  <c r="G98" i="190"/>
  <c r="E96" i="201" s="1"/>
  <c r="G101" i="190"/>
  <c r="E99" i="201" s="1"/>
  <c r="G10" i="190"/>
  <c r="E8" i="201" s="1"/>
  <c r="G106" i="190"/>
  <c r="E104" i="201" s="1"/>
  <c r="G108" i="190"/>
  <c r="E106" i="201" s="1"/>
  <c r="G81" i="190"/>
  <c r="E79" i="201" s="1"/>
  <c r="G96" i="190"/>
  <c r="E94" i="201" s="1"/>
  <c r="G78" i="190"/>
  <c r="E76" i="201" s="1"/>
  <c r="G55" i="190"/>
  <c r="E53" i="201" s="1"/>
  <c r="G31" i="190"/>
  <c r="E29" i="201" s="1"/>
  <c r="G102" i="190"/>
  <c r="E100" i="201" s="1"/>
  <c r="G104" i="190"/>
  <c r="E102" i="201" s="1"/>
  <c r="G11" i="190"/>
  <c r="E9" i="201" s="1"/>
  <c r="G27" i="190"/>
  <c r="E25" i="201" s="1"/>
  <c r="G89" i="190"/>
  <c r="E87" i="201" s="1"/>
  <c r="G34" i="190"/>
  <c r="E32" i="201" s="1"/>
  <c r="G39" i="190"/>
  <c r="E37" i="201" s="1"/>
  <c r="G36" i="190"/>
  <c r="E34" i="201" s="1"/>
  <c r="G37" i="190"/>
  <c r="E35" i="201" s="1"/>
  <c r="G79" i="190"/>
  <c r="E77" i="201" s="1"/>
  <c r="G30" i="190"/>
  <c r="E28" i="201" s="1"/>
  <c r="G71" i="190"/>
  <c r="E69" i="201" s="1"/>
  <c r="G16" i="190"/>
  <c r="E14" i="201" s="1"/>
  <c r="G64" i="190"/>
  <c r="E62" i="201" s="1"/>
  <c r="G46" i="190"/>
  <c r="E44" i="201" s="1"/>
  <c r="G76" i="190"/>
  <c r="E74" i="201" s="1"/>
  <c r="G65" i="190"/>
  <c r="E63" i="201" s="1"/>
  <c r="G52" i="190"/>
  <c r="E50" i="201" s="1"/>
  <c r="G38" i="190"/>
  <c r="E36" i="201" s="1"/>
  <c r="G85" i="190"/>
  <c r="E83" i="201" s="1"/>
  <c r="G94" i="190"/>
  <c r="E92" i="201" s="1"/>
  <c r="G90" i="190"/>
  <c r="E88" i="201" s="1"/>
  <c r="G91" i="190"/>
  <c r="E89" i="201" s="1"/>
  <c r="G59" i="190"/>
  <c r="E57" i="201" s="1"/>
  <c r="G19" i="190"/>
  <c r="E17" i="201" s="1"/>
  <c r="G41" i="190"/>
  <c r="E39" i="201" s="1"/>
  <c r="G69" i="190"/>
  <c r="E67" i="201" s="1"/>
  <c r="G56" i="190"/>
  <c r="E54" i="201" s="1"/>
  <c r="G73" i="190"/>
  <c r="E71" i="201" s="1"/>
  <c r="G68" i="190"/>
  <c r="E66" i="201" s="1"/>
  <c r="G50" i="190"/>
  <c r="E48" i="201" s="1"/>
  <c r="G70" i="190"/>
  <c r="E68" i="201" s="1"/>
  <c r="G28" i="190"/>
  <c r="E26" i="201" s="1"/>
  <c r="G60" i="190"/>
  <c r="E58" i="201" s="1"/>
  <c r="G58" i="190"/>
  <c r="E56" i="201" s="1"/>
  <c r="G97" i="190"/>
  <c r="E95" i="201" s="1"/>
  <c r="G105" i="190"/>
  <c r="E103" i="201" s="1"/>
  <c r="G100" i="190"/>
  <c r="E98" i="201" s="1"/>
  <c r="G107" i="190"/>
  <c r="E105" i="201" s="1"/>
  <c r="G103" i="190"/>
  <c r="E101" i="201" s="1"/>
  <c r="S52" i="242" a="1"/>
  <c r="S52" i="242" s="1"/>
  <c r="I52" i="242" s="1"/>
  <c r="D37" i="201"/>
  <c r="D85" i="201"/>
  <c r="D79" i="201"/>
  <c r="D68" i="201"/>
  <c r="D17" i="201"/>
  <c r="D38" i="201"/>
  <c r="I65" i="189"/>
  <c r="F63" i="201" s="1"/>
  <c r="I87" i="189"/>
  <c r="F85" i="201" s="1"/>
  <c r="I61" i="189"/>
  <c r="F59" i="201" s="1"/>
  <c r="I64" i="189"/>
  <c r="F62" i="201" s="1"/>
  <c r="I63" i="189"/>
  <c r="F61" i="201" s="1"/>
  <c r="I43" i="189"/>
  <c r="F41" i="201" s="1"/>
  <c r="I27" i="189"/>
  <c r="F25" i="201" s="1"/>
  <c r="I45" i="189"/>
  <c r="F43" i="201" s="1"/>
  <c r="I62" i="189"/>
  <c r="F60" i="201" s="1"/>
  <c r="I56" i="189"/>
  <c r="F54" i="201" s="1"/>
  <c r="I10" i="189"/>
  <c r="F8" i="201" s="1"/>
  <c r="I44" i="189"/>
  <c r="F42" i="201" s="1"/>
  <c r="I11" i="189"/>
  <c r="F9" i="201" s="1"/>
  <c r="I26" i="189"/>
  <c r="F24" i="201" s="1"/>
  <c r="I68" i="189"/>
  <c r="F66" i="201" s="1"/>
  <c r="I47" i="189"/>
  <c r="F45" i="201" s="1"/>
  <c r="I29" i="189"/>
  <c r="F27" i="201" s="1"/>
  <c r="I35" i="189"/>
  <c r="F33" i="201" s="1"/>
  <c r="I12" i="189"/>
  <c r="F10" i="201" s="1"/>
  <c r="I31" i="189"/>
  <c r="F29" i="201" s="1"/>
  <c r="I49" i="189"/>
  <c r="F47" i="201" s="1"/>
  <c r="I32" i="189"/>
  <c r="F30" i="201" s="1"/>
  <c r="I74" i="189"/>
  <c r="F72" i="201" s="1"/>
  <c r="I52" i="189"/>
  <c r="F50" i="201" s="1"/>
  <c r="I30" i="189"/>
  <c r="F28" i="201" s="1"/>
  <c r="I81" i="189"/>
  <c r="F79" i="201" s="1"/>
  <c r="I76" i="189"/>
  <c r="F74" i="201" s="1"/>
  <c r="I39" i="189"/>
  <c r="F37" i="201" s="1"/>
  <c r="I38" i="189"/>
  <c r="F36" i="201" s="1"/>
  <c r="I21" i="189"/>
  <c r="F19" i="201" s="1"/>
  <c r="I34" i="189"/>
  <c r="F32" i="201" s="1"/>
  <c r="I46" i="189"/>
  <c r="F44" i="201" s="1"/>
  <c r="I22" i="189"/>
  <c r="F20" i="201" s="1"/>
  <c r="I24" i="189"/>
  <c r="F22" i="201" s="1"/>
  <c r="I53" i="189"/>
  <c r="F51" i="201" s="1"/>
  <c r="I16" i="189"/>
  <c r="F14" i="201" s="1"/>
  <c r="I60" i="189"/>
  <c r="F58" i="201" s="1"/>
  <c r="I51" i="189"/>
  <c r="F49" i="201" s="1"/>
  <c r="I83" i="189"/>
  <c r="F81" i="201" s="1"/>
  <c r="I23" i="189"/>
  <c r="F21" i="201" s="1"/>
  <c r="I18" i="189"/>
  <c r="F16" i="201" s="1"/>
  <c r="I79" i="189"/>
  <c r="F77" i="201" s="1"/>
  <c r="I89" i="189"/>
  <c r="F87" i="201" s="1"/>
  <c r="I15" i="189"/>
  <c r="F13" i="201" s="1"/>
  <c r="I57" i="189"/>
  <c r="F55" i="201" s="1"/>
  <c r="I50" i="189"/>
  <c r="F48" i="201" s="1"/>
  <c r="I9" i="189"/>
  <c r="I85" i="189"/>
  <c r="F83" i="201" s="1"/>
  <c r="I25" i="189"/>
  <c r="F23" i="201" s="1"/>
  <c r="I48" i="189"/>
  <c r="F46" i="201" s="1"/>
  <c r="I40" i="189"/>
  <c r="F38" i="201" s="1"/>
  <c r="I55" i="189"/>
  <c r="F53" i="201" s="1"/>
  <c r="I13" i="189"/>
  <c r="F11" i="201" s="1"/>
  <c r="I84" i="189"/>
  <c r="F82" i="201" s="1"/>
  <c r="I33" i="189"/>
  <c r="F31" i="201" s="1"/>
  <c r="I69" i="189"/>
  <c r="F67" i="201" s="1"/>
  <c r="I59" i="189"/>
  <c r="F57" i="201" s="1"/>
  <c r="I37" i="189"/>
  <c r="F35" i="201" s="1"/>
  <c r="I17" i="189"/>
  <c r="F15" i="201" s="1"/>
  <c r="I80" i="189"/>
  <c r="F78" i="201" s="1"/>
  <c r="I20" i="189"/>
  <c r="F18" i="201" s="1"/>
  <c r="I94" i="189"/>
  <c r="F92" i="201" s="1"/>
  <c r="I95" i="189"/>
  <c r="F93" i="201" s="1"/>
  <c r="I106" i="189"/>
  <c r="F104" i="201" s="1"/>
  <c r="I71" i="189"/>
  <c r="F69" i="201" s="1"/>
  <c r="I42" i="189"/>
  <c r="F40" i="201" s="1"/>
  <c r="I72" i="189"/>
  <c r="F70" i="201" s="1"/>
  <c r="I77" i="189"/>
  <c r="F75" i="201" s="1"/>
  <c r="I67" i="189"/>
  <c r="F65" i="201" s="1"/>
  <c r="I14" i="189"/>
  <c r="F12" i="201" s="1"/>
  <c r="I75" i="189"/>
  <c r="F73" i="201" s="1"/>
  <c r="I70" i="189"/>
  <c r="F68" i="201" s="1"/>
  <c r="I28" i="189"/>
  <c r="F26" i="201" s="1"/>
  <c r="I41" i="189"/>
  <c r="F39" i="201" s="1"/>
  <c r="I19" i="189"/>
  <c r="F17" i="201" s="1"/>
  <c r="I82" i="189"/>
  <c r="F80" i="201" s="1"/>
  <c r="I90" i="189"/>
  <c r="F88" i="201" s="1"/>
  <c r="I88" i="189"/>
  <c r="F86" i="201" s="1"/>
  <c r="I100" i="189"/>
  <c r="F98" i="201" s="1"/>
  <c r="I104" i="189"/>
  <c r="F102" i="201" s="1"/>
  <c r="I58" i="189"/>
  <c r="F56" i="201" s="1"/>
  <c r="I73" i="189"/>
  <c r="F71" i="201" s="1"/>
  <c r="I105" i="189"/>
  <c r="F103" i="201" s="1"/>
  <c r="I102" i="189"/>
  <c r="F100" i="201" s="1"/>
  <c r="I92" i="189"/>
  <c r="F90" i="201" s="1"/>
  <c r="I98" i="189"/>
  <c r="F96" i="201" s="1"/>
  <c r="I93" i="189"/>
  <c r="F91" i="201" s="1"/>
  <c r="I101" i="189"/>
  <c r="F99" i="201" s="1"/>
  <c r="I66" i="189"/>
  <c r="F64" i="201" s="1"/>
  <c r="I54" i="189"/>
  <c r="F52" i="201" s="1"/>
  <c r="I91" i="189"/>
  <c r="F89" i="201" s="1"/>
  <c r="I97" i="189"/>
  <c r="F95" i="201" s="1"/>
  <c r="I36" i="189"/>
  <c r="F34" i="201" s="1"/>
  <c r="I96" i="189"/>
  <c r="F94" i="201" s="1"/>
  <c r="I78" i="189"/>
  <c r="F76" i="201" s="1"/>
  <c r="I86" i="189"/>
  <c r="F84" i="201" s="1"/>
  <c r="F105" i="201"/>
  <c r="I99" i="189"/>
  <c r="F97" i="201" s="1"/>
  <c r="S55" i="242" a="1"/>
  <c r="S55" i="242" s="1"/>
  <c r="I55" i="242" s="1"/>
  <c r="S66" i="242" a="1"/>
  <c r="S66" i="242" s="1"/>
  <c r="I66" i="242" s="1"/>
  <c r="S61" i="242" a="1"/>
  <c r="S61" i="242" s="1"/>
  <c r="I61" i="242" s="1"/>
  <c r="S68" i="242" a="1"/>
  <c r="S68" i="242" s="1"/>
  <c r="I68" i="242" s="1"/>
  <c r="S31" i="242" a="1"/>
  <c r="S31" i="242" s="1"/>
  <c r="I31" i="242" s="1"/>
  <c r="S70" i="242" a="1"/>
  <c r="S70" i="242" s="1"/>
  <c r="I70" i="242" s="1"/>
  <c r="S77" i="242" a="1"/>
  <c r="S77" i="242" s="1"/>
  <c r="I77" i="242" s="1"/>
  <c r="S18" i="242" a="1"/>
  <c r="S18" i="242" s="1"/>
  <c r="I18" i="242" s="1"/>
  <c r="S26" i="242" a="1"/>
  <c r="S26" i="242" s="1"/>
  <c r="I26" i="242" s="1"/>
  <c r="S20" i="242" a="1"/>
  <c r="S20" i="242" s="1"/>
  <c r="I20" i="242" s="1"/>
  <c r="S22" i="242" a="1"/>
  <c r="S22" i="242" s="1"/>
  <c r="I22" i="242" s="1"/>
  <c r="S69" i="242" a="1"/>
  <c r="S69" i="242" s="1"/>
  <c r="I69" i="242" s="1"/>
  <c r="S47" i="242" a="1"/>
  <c r="S47" i="242" s="1"/>
  <c r="I47" i="242" s="1"/>
  <c r="S71" i="242" a="1"/>
  <c r="S71" i="242" s="1"/>
  <c r="I71" i="242" s="1"/>
  <c r="S30" i="242" a="1"/>
  <c r="S30" i="242" s="1"/>
  <c r="I30" i="242" s="1"/>
  <c r="S86" i="242" a="1"/>
  <c r="S86" i="242" s="1"/>
  <c r="I86" i="242" s="1"/>
  <c r="S29" i="242" a="1"/>
  <c r="S29" i="242" s="1"/>
  <c r="I29" i="242" s="1"/>
  <c r="S80" i="242" a="1"/>
  <c r="S80" i="242" s="1"/>
  <c r="I80" i="242" s="1"/>
  <c r="S42" i="242" a="1"/>
  <c r="S42" i="242" s="1"/>
  <c r="I42" i="242" s="1"/>
  <c r="S15" i="242" a="1"/>
  <c r="S15" i="242" s="1"/>
  <c r="I15" i="242" s="1"/>
  <c r="S17" i="242" a="1"/>
  <c r="S17" i="242" s="1"/>
  <c r="I17" i="242" s="1"/>
  <c r="S19" i="242" a="1"/>
  <c r="S19" i="242" s="1"/>
  <c r="I19" i="242" s="1"/>
  <c r="S84" i="242" a="1"/>
  <c r="S84" i="242" s="1"/>
  <c r="I84" i="242" s="1"/>
  <c r="S83" i="242" a="1"/>
  <c r="S83" i="242" s="1"/>
  <c r="I83" i="242" s="1"/>
  <c r="S85" i="242" a="1"/>
  <c r="S85" i="242" s="1"/>
  <c r="I85" i="242" s="1"/>
  <c r="S78" i="242" a="1"/>
  <c r="S78" i="242" s="1"/>
  <c r="I78" i="242" s="1"/>
  <c r="F48" i="237"/>
  <c r="F64" i="237"/>
  <c r="O58" i="242"/>
  <c r="R58" i="242"/>
  <c r="P58" i="242"/>
  <c r="Q58" i="242"/>
  <c r="AA58" i="242"/>
  <c r="F74" i="237"/>
  <c r="C60" i="244"/>
  <c r="Q34" i="242"/>
  <c r="R34" i="242"/>
  <c r="O34" i="242"/>
  <c r="P34" i="242"/>
  <c r="AA34" i="242"/>
  <c r="Q60" i="242"/>
  <c r="O60" i="242"/>
  <c r="AA60" i="242"/>
  <c r="P60" i="242"/>
  <c r="R60" i="242"/>
  <c r="Q53" i="242"/>
  <c r="O53" i="242"/>
  <c r="R53" i="242"/>
  <c r="P53" i="242"/>
  <c r="AA53" i="242"/>
  <c r="AA37" i="242"/>
  <c r="P37" i="242"/>
  <c r="Q37" i="242"/>
  <c r="O37" i="242"/>
  <c r="R37" i="242"/>
  <c r="P41" i="242"/>
  <c r="Q41" i="242"/>
  <c r="R41" i="242"/>
  <c r="O41" i="242"/>
  <c r="AA41" i="242"/>
  <c r="P46" i="242"/>
  <c r="AA46" i="242"/>
  <c r="Q46" i="242"/>
  <c r="R46" i="242"/>
  <c r="O46" i="242"/>
  <c r="O79" i="242"/>
  <c r="AA79" i="242"/>
  <c r="R79" i="242"/>
  <c r="Q79" i="242"/>
  <c r="P79" i="242"/>
  <c r="R62" i="242"/>
  <c r="O62" i="242"/>
  <c r="AA62" i="242"/>
  <c r="Q62" i="242"/>
  <c r="P62" i="242"/>
  <c r="O91" i="242"/>
  <c r="Q91" i="242"/>
  <c r="AA91" i="242"/>
  <c r="P91" i="242"/>
  <c r="R91" i="242"/>
  <c r="R73" i="242"/>
  <c r="O73" i="242"/>
  <c r="Q73" i="242"/>
  <c r="AA73" i="242"/>
  <c r="P73" i="242"/>
  <c r="R27" i="242"/>
  <c r="O27" i="242"/>
  <c r="AA27" i="242"/>
  <c r="Q27" i="242"/>
  <c r="P27" i="242"/>
  <c r="AA54" i="242"/>
  <c r="Q54" i="242"/>
  <c r="O54" i="242"/>
  <c r="R54" i="242"/>
  <c r="P54" i="242"/>
  <c r="R23" i="242"/>
  <c r="P23" i="242"/>
  <c r="O23" i="242"/>
  <c r="AA23" i="242"/>
  <c r="Q23" i="242"/>
  <c r="AA59" i="242"/>
  <c r="R59" i="242"/>
  <c r="O59" i="242"/>
  <c r="P59" i="242"/>
  <c r="Q59" i="242"/>
  <c r="P48" i="242"/>
  <c r="Q48" i="242"/>
  <c r="R48" i="242"/>
  <c r="O48" i="242"/>
  <c r="AA48" i="242"/>
  <c r="P57" i="242"/>
  <c r="Q57" i="242"/>
  <c r="O57" i="242"/>
  <c r="R57" i="242"/>
  <c r="AA57" i="242"/>
  <c r="AA72" i="242"/>
  <c r="O72" i="242"/>
  <c r="Q72" i="242"/>
  <c r="R72" i="242"/>
  <c r="P72" i="242"/>
  <c r="R43" i="242"/>
  <c r="O43" i="242"/>
  <c r="P43" i="242"/>
  <c r="AA43" i="242"/>
  <c r="Q43" i="242"/>
  <c r="AA74" i="242"/>
  <c r="O74" i="242"/>
  <c r="P74" i="242"/>
  <c r="R74" i="242"/>
  <c r="Q74" i="242"/>
  <c r="R88" i="242"/>
  <c r="AA88" i="242"/>
  <c r="Q88" i="242"/>
  <c r="O88" i="242"/>
  <c r="P88" i="242"/>
  <c r="R65" i="242"/>
  <c r="O65" i="242"/>
  <c r="AA65" i="242"/>
  <c r="Q65" i="242"/>
  <c r="P65" i="242"/>
  <c r="O16" i="242"/>
  <c r="Q16" i="242"/>
  <c r="R16" i="242"/>
  <c r="P16" i="242"/>
  <c r="AA16" i="242"/>
  <c r="AA51" i="242"/>
  <c r="R51" i="242"/>
  <c r="O51" i="242"/>
  <c r="Q51" i="242"/>
  <c r="P51" i="242"/>
  <c r="F14" i="237"/>
  <c r="Q63" i="242"/>
  <c r="R63" i="242"/>
  <c r="P63" i="242"/>
  <c r="O63" i="242"/>
  <c r="AA63" i="242"/>
  <c r="R87" i="242"/>
  <c r="Q87" i="242"/>
  <c r="O87" i="242"/>
  <c r="AA87" i="242"/>
  <c r="P87" i="242"/>
  <c r="AA64" i="242"/>
  <c r="Q64" i="242"/>
  <c r="R64" i="242"/>
  <c r="P64" i="242"/>
  <c r="O64" i="242"/>
  <c r="F52" i="237"/>
  <c r="R40" i="242"/>
  <c r="O40" i="242"/>
  <c r="Q40" i="242"/>
  <c r="AA40" i="242"/>
  <c r="P40" i="242"/>
  <c r="R49" i="242"/>
  <c r="O49" i="242"/>
  <c r="P49" i="242"/>
  <c r="Q49" i="242"/>
  <c r="AA49" i="242"/>
  <c r="Q28" i="242"/>
  <c r="R28" i="242"/>
  <c r="O28" i="242"/>
  <c r="P28" i="242"/>
  <c r="AA28" i="242"/>
  <c r="AA82" i="242"/>
  <c r="Q82" i="242"/>
  <c r="P82" i="242"/>
  <c r="O82" i="242"/>
  <c r="R82" i="242"/>
  <c r="P67" i="242"/>
  <c r="O67" i="242"/>
  <c r="R67" i="242"/>
  <c r="AA67" i="242"/>
  <c r="Q67" i="242"/>
  <c r="F46" i="237"/>
  <c r="R76" i="242"/>
  <c r="AA76" i="242"/>
  <c r="P76" i="242"/>
  <c r="O76" i="242"/>
  <c r="Q76" i="242"/>
  <c r="AA45" i="242"/>
  <c r="Q45" i="242"/>
  <c r="R45" i="242"/>
  <c r="O45" i="242"/>
  <c r="P45" i="242"/>
  <c r="R35" i="242"/>
  <c r="AA35" i="242"/>
  <c r="O35" i="242"/>
  <c r="Q35" i="242"/>
  <c r="P35" i="242"/>
  <c r="AA32" i="242"/>
  <c r="R32" i="242"/>
  <c r="O32" i="242"/>
  <c r="P32" i="242"/>
  <c r="Q32" i="242"/>
  <c r="AA44" i="242"/>
  <c r="R44" i="242"/>
  <c r="O44" i="242"/>
  <c r="Q44" i="242"/>
  <c r="P44" i="242"/>
  <c r="R14" i="242"/>
  <c r="Q14" i="242"/>
  <c r="AA14" i="242"/>
  <c r="P14" i="242"/>
  <c r="O14" i="242"/>
  <c r="AA75" i="242"/>
  <c r="Q75" i="242"/>
  <c r="R75" i="242"/>
  <c r="O75" i="242"/>
  <c r="P75" i="242"/>
  <c r="R39" i="242"/>
  <c r="P39" i="242"/>
  <c r="Q39" i="242"/>
  <c r="AA39" i="242"/>
  <c r="O39" i="242"/>
  <c r="Q25" i="242"/>
  <c r="O25" i="242"/>
  <c r="R25" i="242"/>
  <c r="AA25" i="242"/>
  <c r="P25" i="242"/>
  <c r="F17" i="237"/>
  <c r="P36" i="242"/>
  <c r="Q36" i="242"/>
  <c r="O36" i="242"/>
  <c r="R36" i="242"/>
  <c r="AA36" i="242"/>
  <c r="Q81" i="242"/>
  <c r="R81" i="242"/>
  <c r="O81" i="242"/>
  <c r="AA81" i="242"/>
  <c r="P81" i="242"/>
  <c r="P33" i="242"/>
  <c r="AA33" i="242"/>
  <c r="Q33" i="242"/>
  <c r="O33" i="242"/>
  <c r="R33" i="242"/>
  <c r="I121" i="189" l="1"/>
  <c r="E7" i="201"/>
  <c r="E119" i="201" s="1"/>
  <c r="G121" i="190"/>
  <c r="F7" i="201"/>
  <c r="F119" i="201" s="1"/>
  <c r="S48" i="242" a="1"/>
  <c r="S48" i="242" s="1"/>
  <c r="I48" i="242" s="1"/>
  <c r="S64" i="242" a="1"/>
  <c r="S64" i="242" s="1"/>
  <c r="I64" i="242" s="1"/>
  <c r="S32" i="242" a="1"/>
  <c r="S32" i="242" s="1"/>
  <c r="I32" i="242" s="1"/>
  <c r="S39" i="242" a="1"/>
  <c r="S39" i="242" s="1"/>
  <c r="I39" i="242" s="1"/>
  <c r="S75" i="242" a="1"/>
  <c r="S75" i="242" s="1"/>
  <c r="I75" i="242" s="1"/>
  <c r="S14" i="242" a="1"/>
  <c r="S14" i="242" s="1"/>
  <c r="I14" i="242" s="1"/>
  <c r="S49" i="242" a="1"/>
  <c r="S49" i="242" s="1"/>
  <c r="I49" i="242" s="1"/>
  <c r="S87" i="242" a="1"/>
  <c r="S87" i="242" s="1"/>
  <c r="I87" i="242" s="1"/>
  <c r="S65" i="242" a="1"/>
  <c r="S65" i="242" s="1"/>
  <c r="I65" i="242" s="1"/>
  <c r="S27" i="242" a="1"/>
  <c r="S27" i="242" s="1"/>
  <c r="I27" i="242" s="1"/>
  <c r="S41" i="242" a="1"/>
  <c r="S41" i="242" s="1"/>
  <c r="I41" i="242" s="1"/>
  <c r="S53" i="242" a="1"/>
  <c r="S53" i="242" s="1"/>
  <c r="I53" i="242" s="1"/>
  <c r="S91" i="242" a="1"/>
  <c r="S91" i="242" s="1"/>
  <c r="I91" i="242" s="1"/>
  <c r="S79" i="242" a="1"/>
  <c r="S79" i="242" s="1"/>
  <c r="I79" i="242" s="1"/>
  <c r="S45" i="242" a="1"/>
  <c r="S45" i="242" s="1"/>
  <c r="I45" i="242" s="1"/>
  <c r="S82" i="242" a="1"/>
  <c r="S82" i="242" s="1"/>
  <c r="I82" i="242" s="1"/>
  <c r="S40" i="242" a="1"/>
  <c r="S40" i="242" s="1"/>
  <c r="I40" i="242" s="1"/>
  <c r="S63" i="242" a="1"/>
  <c r="S63" i="242" s="1"/>
  <c r="I63" i="242" s="1"/>
  <c r="S72" i="242" a="1"/>
  <c r="S72" i="242" s="1"/>
  <c r="I72" i="242" s="1"/>
  <c r="S54" i="242" a="1"/>
  <c r="S54" i="242" s="1"/>
  <c r="I54" i="242" s="1"/>
  <c r="S73" i="242" a="1"/>
  <c r="S73" i="242" s="1"/>
  <c r="I73" i="242" s="1"/>
  <c r="S62" i="242" a="1"/>
  <c r="S62" i="242" s="1"/>
  <c r="I62" i="242" s="1"/>
  <c r="S46" i="242" a="1"/>
  <c r="S46" i="242" s="1"/>
  <c r="I46" i="242" s="1"/>
  <c r="S33" i="242" a="1"/>
  <c r="S33" i="242" s="1"/>
  <c r="I33" i="242" s="1"/>
  <c r="S44" i="242" a="1"/>
  <c r="S44" i="242" s="1"/>
  <c r="I44" i="242" s="1"/>
  <c r="S67" i="242" a="1"/>
  <c r="S67" i="242" s="1"/>
  <c r="I67" i="242" s="1"/>
  <c r="S51" i="242" a="1"/>
  <c r="S51" i="242" s="1"/>
  <c r="I51" i="242" s="1"/>
  <c r="S43" i="242" a="1"/>
  <c r="S43" i="242" s="1"/>
  <c r="I43" i="242" s="1"/>
  <c r="S57" i="242" a="1"/>
  <c r="S57" i="242" s="1"/>
  <c r="I57" i="242" s="1"/>
  <c r="S37" i="242" a="1"/>
  <c r="S37" i="242" s="1"/>
  <c r="I37" i="242" s="1"/>
  <c r="S60" i="242" a="1"/>
  <c r="S60" i="242" s="1"/>
  <c r="I60" i="242" s="1"/>
  <c r="S25" i="242" a="1"/>
  <c r="S25" i="242" s="1"/>
  <c r="I25" i="242" s="1"/>
  <c r="S81" i="242" a="1"/>
  <c r="S81" i="242" s="1"/>
  <c r="I81" i="242" s="1"/>
  <c r="S36" i="242" a="1"/>
  <c r="S36" i="242" s="1"/>
  <c r="I36" i="242" s="1"/>
  <c r="S35" i="242" a="1"/>
  <c r="S35" i="242" s="1"/>
  <c r="I35" i="242" s="1"/>
  <c r="S76" i="242" a="1"/>
  <c r="S76" i="242" s="1"/>
  <c r="I76" i="242" s="1"/>
  <c r="S28" i="242" a="1"/>
  <c r="S28" i="242" s="1"/>
  <c r="I28" i="242" s="1"/>
  <c r="S16" i="242" a="1"/>
  <c r="S16" i="242" s="1"/>
  <c r="I16" i="242" s="1"/>
  <c r="S88" i="242" a="1"/>
  <c r="S88" i="242" s="1"/>
  <c r="I88" i="242" s="1"/>
  <c r="S74" i="242" a="1"/>
  <c r="S74" i="242" s="1"/>
  <c r="I74" i="242" s="1"/>
  <c r="S59" i="242" a="1"/>
  <c r="S59" i="242" s="1"/>
  <c r="I59" i="242" s="1"/>
  <c r="S23" i="242" a="1"/>
  <c r="S23" i="242" s="1"/>
  <c r="I23" i="242" s="1"/>
  <c r="S34" i="242" a="1"/>
  <c r="S34" i="242" s="1"/>
  <c r="I34" i="242" s="1"/>
  <c r="S58" i="242" a="1"/>
  <c r="S58" i="242" s="1"/>
  <c r="I58" i="242" s="1"/>
  <c r="S60" i="244"/>
  <c r="H60" i="244"/>
  <c r="O60" i="244"/>
  <c r="B60" i="244"/>
  <c r="N60" i="244"/>
  <c r="C60" i="245"/>
  <c r="E60" i="245" s="1"/>
  <c r="S60" i="245" s="1"/>
  <c r="F73" i="237"/>
  <c r="F67" i="237"/>
  <c r="F80" i="237"/>
  <c r="F65" i="237"/>
  <c r="F51" i="237"/>
  <c r="F13" i="237"/>
  <c r="F57" i="237"/>
  <c r="F76" i="237"/>
  <c r="F62" i="237"/>
  <c r="F81" i="237"/>
  <c r="F38" i="237"/>
  <c r="F43" i="237"/>
  <c r="F25" i="237"/>
  <c r="F15" i="237"/>
  <c r="F27" i="237"/>
  <c r="F26" i="237"/>
  <c r="F66" i="237"/>
  <c r="F16" i="237"/>
  <c r="F22" i="237"/>
  <c r="F11" i="237"/>
  <c r="F79" i="237"/>
  <c r="F82" i="237"/>
  <c r="F18" i="237"/>
  <c r="F54" i="237" l="1"/>
  <c r="Q60" i="245"/>
  <c r="C60" i="246"/>
  <c r="C60" i="251" s="1"/>
  <c r="P60" i="245"/>
  <c r="B60" i="245"/>
  <c r="F23" i="237"/>
  <c r="F77" i="237"/>
  <c r="F33" i="237"/>
  <c r="F55" i="237"/>
  <c r="F63" i="237"/>
  <c r="F10" i="237"/>
  <c r="F35" i="237"/>
  <c r="F49" i="237"/>
  <c r="F37" i="237"/>
  <c r="F87" i="237"/>
  <c r="F60" i="237"/>
  <c r="F45" i="237"/>
  <c r="F32" i="237"/>
  <c r="F83" i="237"/>
  <c r="F24" i="237"/>
  <c r="F58" i="237"/>
  <c r="F44" i="237"/>
  <c r="F39" i="237"/>
  <c r="F78" i="237"/>
  <c r="F29" i="237"/>
  <c r="F19" i="237"/>
  <c r="F41" i="237"/>
  <c r="F21" i="237"/>
  <c r="F50" i="237"/>
  <c r="F28" i="237"/>
  <c r="F42" i="237"/>
  <c r="F71" i="237"/>
  <c r="F30" i="237"/>
  <c r="F75" i="237"/>
  <c r="F59" i="237"/>
  <c r="F84" i="237"/>
  <c r="F56" i="237"/>
  <c r="F12" i="237"/>
  <c r="F68" i="237"/>
  <c r="F36" i="237"/>
  <c r="F31" i="237"/>
  <c r="F69" i="237"/>
  <c r="F61" i="237"/>
  <c r="F53" i="237"/>
  <c r="F70" i="237"/>
  <c r="F47" i="237"/>
  <c r="F72" i="237"/>
  <c r="F40" i="237"/>
  <c r="BA60" i="246" l="1"/>
  <c r="BB60" i="246"/>
  <c r="B60" i="246"/>
  <c r="C58" i="244"/>
  <c r="C29" i="244"/>
  <c r="C86" i="244"/>
  <c r="C26" i="244"/>
  <c r="C76" i="244"/>
  <c r="C64" i="244"/>
  <c r="AE60" i="248" l="1"/>
  <c r="H76" i="244"/>
  <c r="N76" i="244"/>
  <c r="O76" i="244"/>
  <c r="B76" i="244"/>
  <c r="S76" i="244"/>
  <c r="C76" i="245"/>
  <c r="E76" i="245" s="1"/>
  <c r="S76" i="245" s="1"/>
  <c r="C88" i="244"/>
  <c r="N29" i="244"/>
  <c r="O29" i="244"/>
  <c r="B29" i="244"/>
  <c r="S29" i="244"/>
  <c r="H29" i="244"/>
  <c r="C29" i="245"/>
  <c r="E29" i="245" s="1"/>
  <c r="S29" i="245" s="1"/>
  <c r="C91" i="244"/>
  <c r="C23" i="244"/>
  <c r="O64" i="244"/>
  <c r="H64" i="244"/>
  <c r="N64" i="244"/>
  <c r="B64" i="244"/>
  <c r="S64" i="244"/>
  <c r="C64" i="245"/>
  <c r="E64" i="245" s="1"/>
  <c r="S64" i="245" s="1"/>
  <c r="B26" i="244"/>
  <c r="S26" i="244"/>
  <c r="O26" i="244"/>
  <c r="H26" i="244"/>
  <c r="N26" i="244"/>
  <c r="C26" i="245"/>
  <c r="E26" i="245" s="1"/>
  <c r="S26" i="245" s="1"/>
  <c r="C77" i="244"/>
  <c r="H86" i="244"/>
  <c r="S86" i="244"/>
  <c r="O86" i="244"/>
  <c r="N86" i="244"/>
  <c r="B86" i="244"/>
  <c r="C86" i="245"/>
  <c r="E86" i="245" s="1"/>
  <c r="S86" i="245" s="1"/>
  <c r="C85" i="244"/>
  <c r="C79" i="244"/>
  <c r="C25" i="244"/>
  <c r="O58" i="244"/>
  <c r="B58" i="244"/>
  <c r="H58" i="244"/>
  <c r="S58" i="244"/>
  <c r="N58" i="244"/>
  <c r="C58" i="245"/>
  <c r="E58" i="245" s="1"/>
  <c r="S58" i="245" s="1"/>
  <c r="C94" i="244"/>
  <c r="C30" i="244"/>
  <c r="C92" i="244"/>
  <c r="C34" i="244"/>
  <c r="C78" i="244"/>
  <c r="C50" i="244"/>
  <c r="C55" i="244"/>
  <c r="C74" i="244"/>
  <c r="C63" i="244"/>
  <c r="C93" i="244"/>
  <c r="C27" i="244"/>
  <c r="C69" i="244"/>
  <c r="C37" i="244"/>
  <c r="C38" i="244"/>
  <c r="C39" i="244"/>
  <c r="C28" i="244"/>
  <c r="C66" i="244" l="1"/>
  <c r="X60" i="248"/>
  <c r="S60" i="249"/>
  <c r="C24" i="244"/>
  <c r="C33" i="244"/>
  <c r="B39" i="244"/>
  <c r="O39" i="244"/>
  <c r="S39" i="244"/>
  <c r="H39" i="244"/>
  <c r="N39" i="244"/>
  <c r="C39" i="245"/>
  <c r="E39" i="245" s="1"/>
  <c r="S39" i="245" s="1"/>
  <c r="C47" i="244"/>
  <c r="O27" i="244"/>
  <c r="H27" i="244"/>
  <c r="B27" i="244"/>
  <c r="N27" i="244"/>
  <c r="S27" i="244"/>
  <c r="C27" i="245"/>
  <c r="E27" i="245" s="1"/>
  <c r="S27" i="245" s="1"/>
  <c r="C81" i="244"/>
  <c r="C35" i="244"/>
  <c r="C51" i="244"/>
  <c r="Q58" i="245"/>
  <c r="B58" i="245"/>
  <c r="P58" i="245"/>
  <c r="C58" i="246"/>
  <c r="C58" i="251" s="1"/>
  <c r="C95" i="244"/>
  <c r="C48" i="244"/>
  <c r="N85" i="244"/>
  <c r="S85" i="244"/>
  <c r="B85" i="244"/>
  <c r="O85" i="244"/>
  <c r="H85" i="244"/>
  <c r="C85" i="245"/>
  <c r="E85" i="245" s="1"/>
  <c r="S85" i="245" s="1"/>
  <c r="C52" i="244"/>
  <c r="Q29" i="245"/>
  <c r="B29" i="245"/>
  <c r="P29" i="245"/>
  <c r="C29" i="246"/>
  <c r="C29" i="251" s="1"/>
  <c r="C71" i="244"/>
  <c r="C56" i="244"/>
  <c r="C57" i="244"/>
  <c r="C62" i="244"/>
  <c r="S93" i="244"/>
  <c r="O93" i="244"/>
  <c r="H93" i="244"/>
  <c r="N93" i="244"/>
  <c r="B93" i="244"/>
  <c r="C93" i="245"/>
  <c r="E93" i="245" s="1"/>
  <c r="S93" i="245" s="1"/>
  <c r="C70" i="244"/>
  <c r="S74" i="244"/>
  <c r="H74" i="244"/>
  <c r="O74" i="244"/>
  <c r="N74" i="244"/>
  <c r="B74" i="244"/>
  <c r="C74" i="245"/>
  <c r="E74" i="245" s="1"/>
  <c r="S74" i="245" s="1"/>
  <c r="H55" i="244"/>
  <c r="B55" i="244"/>
  <c r="O55" i="244"/>
  <c r="N55" i="244"/>
  <c r="S55" i="244"/>
  <c r="C55" i="245"/>
  <c r="E55" i="245" s="1"/>
  <c r="S55" i="245" s="1"/>
  <c r="O50" i="244"/>
  <c r="H50" i="244"/>
  <c r="S50" i="244"/>
  <c r="N50" i="244"/>
  <c r="B50" i="244"/>
  <c r="C50" i="245"/>
  <c r="E50" i="245" s="1"/>
  <c r="S50" i="245" s="1"/>
  <c r="C82" i="244"/>
  <c r="O30" i="244"/>
  <c r="B30" i="244"/>
  <c r="H30" i="244"/>
  <c r="N30" i="244"/>
  <c r="S30" i="244"/>
  <c r="C30" i="245"/>
  <c r="E30" i="245" s="1"/>
  <c r="S30" i="245" s="1"/>
  <c r="N94" i="244"/>
  <c r="S94" i="244"/>
  <c r="B94" i="244"/>
  <c r="O94" i="244"/>
  <c r="H94" i="244"/>
  <c r="C94" i="245"/>
  <c r="E94" i="245" s="1"/>
  <c r="S94" i="245" s="1"/>
  <c r="P86" i="245"/>
  <c r="B86" i="245"/>
  <c r="Q86" i="245"/>
  <c r="C86" i="246"/>
  <c r="C86" i="251" s="1"/>
  <c r="G86" i="251" s="1"/>
  <c r="H77" i="244"/>
  <c r="B77" i="244"/>
  <c r="N77" i="244"/>
  <c r="S77" i="244"/>
  <c r="O77" i="244"/>
  <c r="C77" i="245"/>
  <c r="E77" i="245" s="1"/>
  <c r="S77" i="245" s="1"/>
  <c r="C73" i="244"/>
  <c r="C87" i="244"/>
  <c r="C36" i="244"/>
  <c r="S23" i="244"/>
  <c r="N23" i="244"/>
  <c r="B23" i="244"/>
  <c r="H23" i="244"/>
  <c r="O23" i="244"/>
  <c r="C23" i="245"/>
  <c r="E23" i="245" s="1"/>
  <c r="S23" i="245" s="1"/>
  <c r="C84" i="244"/>
  <c r="C40" i="244"/>
  <c r="N28" i="244"/>
  <c r="S28" i="244"/>
  <c r="B28" i="244"/>
  <c r="H28" i="244"/>
  <c r="O28" i="244"/>
  <c r="C28" i="245"/>
  <c r="E28" i="245" s="1"/>
  <c r="S28" i="245" s="1"/>
  <c r="C22" i="244"/>
  <c r="S38" i="244"/>
  <c r="H38" i="244"/>
  <c r="B38" i="244"/>
  <c r="O38" i="244"/>
  <c r="N38" i="244"/>
  <c r="C38" i="245"/>
  <c r="E38" i="245" s="1"/>
  <c r="S38" i="245" s="1"/>
  <c r="B37" i="244"/>
  <c r="N37" i="244"/>
  <c r="H37" i="244"/>
  <c r="S37" i="244"/>
  <c r="O37" i="244"/>
  <c r="C37" i="245"/>
  <c r="E37" i="245" s="1"/>
  <c r="S37" i="245" s="1"/>
  <c r="C65" i="244"/>
  <c r="C99" i="244"/>
  <c r="O69" i="244"/>
  <c r="S69" i="244"/>
  <c r="N69" i="244"/>
  <c r="H69" i="244"/>
  <c r="B69" i="244"/>
  <c r="C69" i="245"/>
  <c r="E69" i="245" s="1"/>
  <c r="S69" i="245" s="1"/>
  <c r="N63" i="244"/>
  <c r="B63" i="244"/>
  <c r="O63" i="244"/>
  <c r="H63" i="244"/>
  <c r="S63" i="244"/>
  <c r="C63" i="245"/>
  <c r="E63" i="245" s="1"/>
  <c r="S63" i="245" s="1"/>
  <c r="C44" i="244"/>
  <c r="H78" i="244"/>
  <c r="N78" i="244"/>
  <c r="O78" i="244"/>
  <c r="B78" i="244"/>
  <c r="S78" i="244"/>
  <c r="C78" i="245"/>
  <c r="E78" i="245" s="1"/>
  <c r="S78" i="245" s="1"/>
  <c r="C75" i="244"/>
  <c r="C53" i="244"/>
  <c r="S25" i="244"/>
  <c r="N25" i="244"/>
  <c r="H25" i="244"/>
  <c r="B25" i="244"/>
  <c r="O25" i="244"/>
  <c r="C25" i="245"/>
  <c r="E25" i="245" s="1"/>
  <c r="S25" i="245" s="1"/>
  <c r="N79" i="244"/>
  <c r="S79" i="244"/>
  <c r="O79" i="244"/>
  <c r="H79" i="244"/>
  <c r="B79" i="244"/>
  <c r="C79" i="245"/>
  <c r="E79" i="245" s="1"/>
  <c r="S79" i="245" s="1"/>
  <c r="C49" i="244"/>
  <c r="C80" i="244"/>
  <c r="C83" i="244"/>
  <c r="C90" i="244"/>
  <c r="C45" i="244"/>
  <c r="C67" i="244"/>
  <c r="C42" i="244"/>
  <c r="C31" i="244"/>
  <c r="N34" i="244"/>
  <c r="O34" i="244"/>
  <c r="S34" i="244"/>
  <c r="B34" i="244"/>
  <c r="H34" i="244"/>
  <c r="C34" i="245"/>
  <c r="E34" i="245" s="1"/>
  <c r="S34" i="245" s="1"/>
  <c r="N92" i="244"/>
  <c r="O92" i="244"/>
  <c r="S92" i="244"/>
  <c r="B92" i="244"/>
  <c r="H92" i="244"/>
  <c r="C92" i="245"/>
  <c r="E92" i="245" s="1"/>
  <c r="S92" i="245" s="1"/>
  <c r="C43" i="244"/>
  <c r="C68" i="244"/>
  <c r="C54" i="244"/>
  <c r="C89" i="244"/>
  <c r="C41" i="244"/>
  <c r="Q26" i="245"/>
  <c r="P26" i="245"/>
  <c r="B26" i="245"/>
  <c r="C26" i="246"/>
  <c r="C26" i="251" s="1"/>
  <c r="C96" i="244"/>
  <c r="C72" i="244"/>
  <c r="C61" i="244"/>
  <c r="B64" i="245"/>
  <c r="P64" i="245"/>
  <c r="Q64" i="245"/>
  <c r="C64" i="246"/>
  <c r="C64" i="251" s="1"/>
  <c r="N91" i="244"/>
  <c r="S91" i="244"/>
  <c r="B91" i="244"/>
  <c r="O91" i="244"/>
  <c r="H91" i="244"/>
  <c r="C91" i="245"/>
  <c r="E91" i="245" s="1"/>
  <c r="S91" i="245" s="1"/>
  <c r="B88" i="244"/>
  <c r="N88" i="244"/>
  <c r="O88" i="244"/>
  <c r="H88" i="244"/>
  <c r="S88" i="244"/>
  <c r="C88" i="245"/>
  <c r="E88" i="245" s="1"/>
  <c r="S88" i="245" s="1"/>
  <c r="C59" i="244"/>
  <c r="B76" i="245"/>
  <c r="Q76" i="245"/>
  <c r="P76" i="245"/>
  <c r="C76" i="246"/>
  <c r="C76" i="251" s="1"/>
  <c r="B66" i="244" l="1"/>
  <c r="O66" i="244"/>
  <c r="N66" i="244"/>
  <c r="H66" i="244"/>
  <c r="S66" i="244"/>
  <c r="C66" i="245"/>
  <c r="E66" i="245" s="1"/>
  <c r="S66" i="245" s="1"/>
  <c r="Y60" i="248"/>
  <c r="C60" i="252"/>
  <c r="C70" i="262" s="1"/>
  <c r="C70" i="263" s="1"/>
  <c r="F60" i="251"/>
  <c r="D60" i="251"/>
  <c r="B60" i="251"/>
  <c r="Q88" i="245"/>
  <c r="B88" i="245"/>
  <c r="P88" i="245"/>
  <c r="C88" i="246"/>
  <c r="C88" i="251" s="1"/>
  <c r="P91" i="245"/>
  <c r="Q91" i="245"/>
  <c r="B91" i="245"/>
  <c r="C91" i="246"/>
  <c r="C91" i="251" s="1"/>
  <c r="H80" i="244"/>
  <c r="S80" i="244"/>
  <c r="O80" i="244"/>
  <c r="B80" i="244"/>
  <c r="N80" i="244"/>
  <c r="C80" i="245"/>
  <c r="E80" i="245" s="1"/>
  <c r="S80" i="245" s="1"/>
  <c r="S49" i="244"/>
  <c r="B49" i="244"/>
  <c r="H49" i="244"/>
  <c r="N49" i="244"/>
  <c r="O49" i="244"/>
  <c r="C49" i="245"/>
  <c r="E49" i="245" s="1"/>
  <c r="S49" i="245" s="1"/>
  <c r="Q25" i="245"/>
  <c r="B25" i="245"/>
  <c r="P25" i="245"/>
  <c r="C25" i="246"/>
  <c r="C25" i="251" s="1"/>
  <c r="N65" i="244"/>
  <c r="H65" i="244"/>
  <c r="B65" i="244"/>
  <c r="O65" i="244"/>
  <c r="S65" i="244"/>
  <c r="C65" i="245"/>
  <c r="E65" i="245" s="1"/>
  <c r="S65" i="245" s="1"/>
  <c r="Q37" i="245"/>
  <c r="P37" i="245"/>
  <c r="B37" i="245"/>
  <c r="C37" i="246"/>
  <c r="C37" i="251" s="1"/>
  <c r="N73" i="244"/>
  <c r="H73" i="244"/>
  <c r="S73" i="244"/>
  <c r="O73" i="244"/>
  <c r="B73" i="244"/>
  <c r="C73" i="245"/>
  <c r="E73" i="245" s="1"/>
  <c r="S73" i="245" s="1"/>
  <c r="B77" i="245"/>
  <c r="P77" i="245"/>
  <c r="Q77" i="245"/>
  <c r="C77" i="246"/>
  <c r="C77" i="251" s="1"/>
  <c r="B94" i="245"/>
  <c r="Q94" i="245"/>
  <c r="P94" i="245"/>
  <c r="C94" i="246"/>
  <c r="C94" i="251" s="1"/>
  <c r="O82" i="244"/>
  <c r="S82" i="244"/>
  <c r="B82" i="244"/>
  <c r="H82" i="244"/>
  <c r="N82" i="244"/>
  <c r="C82" i="245"/>
  <c r="E82" i="245" s="1"/>
  <c r="S82" i="245" s="1"/>
  <c r="B74" i="245"/>
  <c r="Q74" i="245"/>
  <c r="P74" i="245"/>
  <c r="C74" i="246"/>
  <c r="C74" i="251" s="1"/>
  <c r="P27" i="245"/>
  <c r="B27" i="245"/>
  <c r="Q27" i="245"/>
  <c r="C27" i="246"/>
  <c r="C27" i="251" s="1"/>
  <c r="N72" i="244"/>
  <c r="B72" i="244"/>
  <c r="O72" i="244"/>
  <c r="S72" i="244"/>
  <c r="H72" i="244"/>
  <c r="C72" i="245"/>
  <c r="E72" i="245" s="1"/>
  <c r="S72" i="245" s="1"/>
  <c r="H41" i="244"/>
  <c r="S41" i="244"/>
  <c r="N41" i="244"/>
  <c r="B41" i="244"/>
  <c r="O41" i="244"/>
  <c r="C41" i="245"/>
  <c r="E41" i="245" s="1"/>
  <c r="S41" i="245" s="1"/>
  <c r="N89" i="244"/>
  <c r="O89" i="244"/>
  <c r="B89" i="244"/>
  <c r="H89" i="244"/>
  <c r="S89" i="244"/>
  <c r="C89" i="245"/>
  <c r="E89" i="245" s="1"/>
  <c r="S89" i="245" s="1"/>
  <c r="O54" i="244"/>
  <c r="N54" i="244"/>
  <c r="S54" i="244"/>
  <c r="H54" i="244"/>
  <c r="B54" i="244"/>
  <c r="C54" i="245"/>
  <c r="E54" i="245" s="1"/>
  <c r="S54" i="245" s="1"/>
  <c r="Q92" i="245"/>
  <c r="P92" i="245"/>
  <c r="B92" i="245"/>
  <c r="C92" i="246"/>
  <c r="C92" i="251" s="1"/>
  <c r="H31" i="244"/>
  <c r="O31" i="244"/>
  <c r="N31" i="244"/>
  <c r="S31" i="244"/>
  <c r="B31" i="244"/>
  <c r="C31" i="245"/>
  <c r="E31" i="245" s="1"/>
  <c r="S31" i="245" s="1"/>
  <c r="O67" i="244"/>
  <c r="H67" i="244"/>
  <c r="S67" i="244"/>
  <c r="B67" i="244"/>
  <c r="N67" i="244"/>
  <c r="C67" i="245"/>
  <c r="E67" i="245" s="1"/>
  <c r="S67" i="245" s="1"/>
  <c r="O45" i="244"/>
  <c r="H45" i="244"/>
  <c r="N45" i="244"/>
  <c r="S45" i="244"/>
  <c r="B45" i="244"/>
  <c r="C45" i="245"/>
  <c r="E45" i="245" s="1"/>
  <c r="S45" i="245" s="1"/>
  <c r="B90" i="244"/>
  <c r="H90" i="244"/>
  <c r="O90" i="244"/>
  <c r="S90" i="244"/>
  <c r="N90" i="244"/>
  <c r="C90" i="245"/>
  <c r="E90" i="245" s="1"/>
  <c r="S90" i="245" s="1"/>
  <c r="S53" i="244"/>
  <c r="N53" i="244"/>
  <c r="H53" i="244"/>
  <c r="O53" i="244"/>
  <c r="B53" i="244"/>
  <c r="C53" i="245"/>
  <c r="E53" i="245" s="1"/>
  <c r="S53" i="245" s="1"/>
  <c r="N44" i="244"/>
  <c r="O44" i="244"/>
  <c r="S44" i="244"/>
  <c r="H44" i="244"/>
  <c r="B44" i="244"/>
  <c r="C44" i="245"/>
  <c r="E44" i="245" s="1"/>
  <c r="S44" i="245" s="1"/>
  <c r="B69" i="245"/>
  <c r="Q69" i="245"/>
  <c r="P69" i="245"/>
  <c r="C69" i="246"/>
  <c r="C69" i="251" s="1"/>
  <c r="B22" i="244"/>
  <c r="O22" i="244"/>
  <c r="N22" i="244"/>
  <c r="H22" i="244"/>
  <c r="S22" i="244"/>
  <c r="C22" i="245"/>
  <c r="E22" i="245" s="1"/>
  <c r="S22" i="245" s="1"/>
  <c r="P28" i="245"/>
  <c r="B28" i="245"/>
  <c r="Q28" i="245"/>
  <c r="C28" i="246"/>
  <c r="C28" i="251" s="1"/>
  <c r="B40" i="244"/>
  <c r="S40" i="244"/>
  <c r="N40" i="244"/>
  <c r="O40" i="244"/>
  <c r="H40" i="244"/>
  <c r="C40" i="245"/>
  <c r="E40" i="245" s="1"/>
  <c r="S40" i="245" s="1"/>
  <c r="B23" i="245"/>
  <c r="Q23" i="245"/>
  <c r="P23" i="245"/>
  <c r="C23" i="246"/>
  <c r="C23" i="251" s="1"/>
  <c r="O36" i="244"/>
  <c r="B36" i="244"/>
  <c r="N36" i="244"/>
  <c r="H36" i="244"/>
  <c r="S36" i="244"/>
  <c r="C36" i="245"/>
  <c r="E36" i="245" s="1"/>
  <c r="S36" i="245" s="1"/>
  <c r="Q55" i="245"/>
  <c r="B55" i="245"/>
  <c r="P55" i="245"/>
  <c r="C55" i="246"/>
  <c r="C55" i="251" s="1"/>
  <c r="H56" i="244"/>
  <c r="S56" i="244"/>
  <c r="B56" i="244"/>
  <c r="N56" i="244"/>
  <c r="O56" i="244"/>
  <c r="C56" i="245"/>
  <c r="E56" i="245" s="1"/>
  <c r="S56" i="245" s="1"/>
  <c r="H71" i="244"/>
  <c r="N71" i="244"/>
  <c r="O71" i="244"/>
  <c r="S71" i="244"/>
  <c r="B71" i="244"/>
  <c r="C71" i="245"/>
  <c r="E71" i="245" s="1"/>
  <c r="S71" i="245" s="1"/>
  <c r="O48" i="244"/>
  <c r="H48" i="244"/>
  <c r="N48" i="244"/>
  <c r="S48" i="244"/>
  <c r="B48" i="244"/>
  <c r="C48" i="245"/>
  <c r="E48" i="245" s="1"/>
  <c r="S48" i="245" s="1"/>
  <c r="B51" i="244"/>
  <c r="H51" i="244"/>
  <c r="N51" i="244"/>
  <c r="O51" i="244"/>
  <c r="S51" i="244"/>
  <c r="C51" i="245"/>
  <c r="E51" i="245" s="1"/>
  <c r="S51" i="245" s="1"/>
  <c r="O61" i="244"/>
  <c r="B61" i="244"/>
  <c r="S61" i="244"/>
  <c r="H61" i="244"/>
  <c r="N61" i="244"/>
  <c r="C61" i="245"/>
  <c r="E61" i="245" s="1"/>
  <c r="S61" i="245" s="1"/>
  <c r="N96" i="244"/>
  <c r="B96" i="244"/>
  <c r="S96" i="244"/>
  <c r="H96" i="244"/>
  <c r="O96" i="244"/>
  <c r="C96" i="245"/>
  <c r="E96" i="245" s="1"/>
  <c r="S96" i="245" s="1"/>
  <c r="BB26" i="246"/>
  <c r="B26" i="246"/>
  <c r="BA26" i="246"/>
  <c r="H43" i="244"/>
  <c r="N43" i="244"/>
  <c r="S43" i="244"/>
  <c r="B43" i="244"/>
  <c r="O43" i="244"/>
  <c r="C43" i="245"/>
  <c r="E43" i="245" s="1"/>
  <c r="S43" i="245" s="1"/>
  <c r="N42" i="244"/>
  <c r="S42" i="244"/>
  <c r="B42" i="244"/>
  <c r="H42" i="244"/>
  <c r="O42" i="244"/>
  <c r="C42" i="245"/>
  <c r="E42" i="245" s="1"/>
  <c r="S42" i="245" s="1"/>
  <c r="Q79" i="245"/>
  <c r="B79" i="245"/>
  <c r="P79" i="245"/>
  <c r="C79" i="246"/>
  <c r="C79" i="251" s="1"/>
  <c r="N75" i="244"/>
  <c r="H75" i="244"/>
  <c r="O75" i="244"/>
  <c r="B75" i="244"/>
  <c r="S75" i="244"/>
  <c r="C75" i="245"/>
  <c r="E75" i="245" s="1"/>
  <c r="S75" i="245" s="1"/>
  <c r="P78" i="245"/>
  <c r="Q78" i="245"/>
  <c r="B78" i="245"/>
  <c r="C78" i="246"/>
  <c r="C78" i="251" s="1"/>
  <c r="P38" i="245"/>
  <c r="B38" i="245"/>
  <c r="Q38" i="245"/>
  <c r="C38" i="246"/>
  <c r="C38" i="251" s="1"/>
  <c r="B86" i="246"/>
  <c r="BA86" i="246"/>
  <c r="BB86" i="246"/>
  <c r="P30" i="245"/>
  <c r="Q30" i="245"/>
  <c r="B30" i="245"/>
  <c r="C30" i="246"/>
  <c r="C30" i="251" s="1"/>
  <c r="BB29" i="246"/>
  <c r="B29" i="246"/>
  <c r="BA29" i="246"/>
  <c r="N52" i="244"/>
  <c r="B52" i="244"/>
  <c r="H52" i="244"/>
  <c r="S52" i="244"/>
  <c r="O52" i="244"/>
  <c r="C52" i="245"/>
  <c r="E52" i="245" s="1"/>
  <c r="S52" i="245" s="1"/>
  <c r="B58" i="246"/>
  <c r="BB58" i="246"/>
  <c r="BA58" i="246"/>
  <c r="O35" i="244"/>
  <c r="H35" i="244"/>
  <c r="B35" i="244"/>
  <c r="S35" i="244"/>
  <c r="N35" i="244"/>
  <c r="C35" i="245"/>
  <c r="E35" i="245" s="1"/>
  <c r="S35" i="245" s="1"/>
  <c r="O81" i="244"/>
  <c r="B81" i="244"/>
  <c r="S81" i="244"/>
  <c r="H81" i="244"/>
  <c r="N81" i="244"/>
  <c r="C81" i="245"/>
  <c r="E81" i="245" s="1"/>
  <c r="S81" i="245" s="1"/>
  <c r="S47" i="244"/>
  <c r="B47" i="244"/>
  <c r="N47" i="244"/>
  <c r="O47" i="244"/>
  <c r="H47" i="244"/>
  <c r="C47" i="245"/>
  <c r="E47" i="245" s="1"/>
  <c r="S47" i="245" s="1"/>
  <c r="B33" i="244"/>
  <c r="N33" i="244"/>
  <c r="O33" i="244"/>
  <c r="H33" i="244"/>
  <c r="S33" i="244"/>
  <c r="C33" i="245"/>
  <c r="E33" i="245" s="1"/>
  <c r="S33" i="245" s="1"/>
  <c r="BB76" i="246"/>
  <c r="BA76" i="246"/>
  <c r="B76" i="246"/>
  <c r="O59" i="244"/>
  <c r="N59" i="244"/>
  <c r="S59" i="244"/>
  <c r="H59" i="244"/>
  <c r="B59" i="244"/>
  <c r="C59" i="245"/>
  <c r="E59" i="245" s="1"/>
  <c r="S59" i="245" s="1"/>
  <c r="BA64" i="246"/>
  <c r="BB64" i="246"/>
  <c r="B64" i="246"/>
  <c r="S68" i="244"/>
  <c r="N68" i="244"/>
  <c r="B68" i="244"/>
  <c r="H68" i="244"/>
  <c r="O68" i="244"/>
  <c r="C68" i="245"/>
  <c r="E68" i="245" s="1"/>
  <c r="S68" i="245" s="1"/>
  <c r="B34" i="245"/>
  <c r="P34" i="245"/>
  <c r="Q34" i="245"/>
  <c r="C34" i="246"/>
  <c r="C34" i="251" s="1"/>
  <c r="S83" i="244"/>
  <c r="O83" i="244"/>
  <c r="H83" i="244"/>
  <c r="B83" i="244"/>
  <c r="N83" i="244"/>
  <c r="C83" i="245"/>
  <c r="E83" i="245" s="1"/>
  <c r="S83" i="245" s="1"/>
  <c r="Q63" i="245"/>
  <c r="B63" i="245"/>
  <c r="P63" i="245"/>
  <c r="C63" i="246"/>
  <c r="C63" i="251" s="1"/>
  <c r="N99" i="244"/>
  <c r="B99" i="244"/>
  <c r="H99" i="244"/>
  <c r="S99" i="244"/>
  <c r="O99" i="244"/>
  <c r="C99" i="245"/>
  <c r="E99" i="245" s="1"/>
  <c r="S99" i="245" s="1"/>
  <c r="B84" i="244"/>
  <c r="N84" i="244"/>
  <c r="H84" i="244"/>
  <c r="S84" i="244"/>
  <c r="O84" i="244"/>
  <c r="C84" i="245"/>
  <c r="E84" i="245" s="1"/>
  <c r="S84" i="245" s="1"/>
  <c r="N87" i="244"/>
  <c r="S87" i="244"/>
  <c r="H87" i="244"/>
  <c r="O87" i="244"/>
  <c r="B87" i="244"/>
  <c r="C87" i="245"/>
  <c r="E87" i="245" s="1"/>
  <c r="S87" i="245" s="1"/>
  <c r="B50" i="245"/>
  <c r="Q50" i="245"/>
  <c r="P50" i="245"/>
  <c r="C50" i="246"/>
  <c r="C50" i="251" s="1"/>
  <c r="G50" i="251" s="1"/>
  <c r="S70" i="244"/>
  <c r="H70" i="244"/>
  <c r="B70" i="244"/>
  <c r="N70" i="244"/>
  <c r="O70" i="244"/>
  <c r="C70" i="245"/>
  <c r="E70" i="245" s="1"/>
  <c r="S70" i="245" s="1"/>
  <c r="Q93" i="245"/>
  <c r="B93" i="245"/>
  <c r="P93" i="245"/>
  <c r="C93" i="246"/>
  <c r="C93" i="251" s="1"/>
  <c r="N62" i="244"/>
  <c r="O62" i="244"/>
  <c r="S62" i="244"/>
  <c r="H62" i="244"/>
  <c r="B62" i="244"/>
  <c r="C62" i="245"/>
  <c r="E62" i="245" s="1"/>
  <c r="S62" i="245" s="1"/>
  <c r="B57" i="244"/>
  <c r="S57" i="244"/>
  <c r="N57" i="244"/>
  <c r="O57" i="244"/>
  <c r="H57" i="244"/>
  <c r="C57" i="245"/>
  <c r="E57" i="245" s="1"/>
  <c r="S57" i="245" s="1"/>
  <c r="B85" i="245"/>
  <c r="P85" i="245"/>
  <c r="Q85" i="245"/>
  <c r="C85" i="246"/>
  <c r="C85" i="251" s="1"/>
  <c r="O95" i="244"/>
  <c r="N95" i="244"/>
  <c r="H95" i="244"/>
  <c r="B95" i="244"/>
  <c r="S95" i="244"/>
  <c r="C95" i="245"/>
  <c r="E95" i="245" s="1"/>
  <c r="S95" i="245" s="1"/>
  <c r="P39" i="245"/>
  <c r="B39" i="245"/>
  <c r="Q39" i="245"/>
  <c r="C39" i="246"/>
  <c r="C39" i="251" s="1"/>
  <c r="N24" i="244"/>
  <c r="S24" i="244"/>
  <c r="O24" i="244"/>
  <c r="H24" i="244"/>
  <c r="B24" i="244"/>
  <c r="C24" i="245"/>
  <c r="E24" i="245" s="1"/>
  <c r="S24" i="245" s="1"/>
  <c r="B66" i="245" l="1"/>
  <c r="Q66" i="245"/>
  <c r="C66" i="246"/>
  <c r="C66" i="251" s="1"/>
  <c r="P66" i="245"/>
  <c r="B60" i="252"/>
  <c r="B70" i="262" s="1"/>
  <c r="B70" i="263" s="1"/>
  <c r="BB34" i="246"/>
  <c r="BA34" i="246"/>
  <c r="B34" i="246"/>
  <c r="P47" i="245"/>
  <c r="B47" i="245"/>
  <c r="Q47" i="245"/>
  <c r="C47" i="246"/>
  <c r="C47" i="251" s="1"/>
  <c r="AE58" i="248"/>
  <c r="AE29" i="248"/>
  <c r="B38" i="246"/>
  <c r="BA38" i="246"/>
  <c r="BB38" i="246"/>
  <c r="Q48" i="245"/>
  <c r="P48" i="245"/>
  <c r="B48" i="245"/>
  <c r="C48" i="246"/>
  <c r="C48" i="251" s="1"/>
  <c r="P56" i="245"/>
  <c r="B56" i="245"/>
  <c r="Q56" i="245"/>
  <c r="C56" i="246"/>
  <c r="C56" i="251" s="1"/>
  <c r="BA55" i="246"/>
  <c r="BB55" i="246"/>
  <c r="B55" i="246"/>
  <c r="B23" i="246"/>
  <c r="BB23" i="246"/>
  <c r="BA23" i="246"/>
  <c r="P22" i="245"/>
  <c r="B22" i="245"/>
  <c r="Q22" i="245"/>
  <c r="C22" i="246"/>
  <c r="C22" i="251" s="1"/>
  <c r="P53" i="245"/>
  <c r="Q53" i="245"/>
  <c r="B53" i="245"/>
  <c r="C53" i="246"/>
  <c r="C53" i="251" s="1"/>
  <c r="B92" i="246"/>
  <c r="BA92" i="246"/>
  <c r="BB92" i="246"/>
  <c r="B89" i="245"/>
  <c r="Q89" i="245"/>
  <c r="P89" i="245"/>
  <c r="C89" i="246"/>
  <c r="C89" i="251" s="1"/>
  <c r="B72" i="245"/>
  <c r="Q72" i="245"/>
  <c r="P72" i="245"/>
  <c r="C72" i="246"/>
  <c r="C72" i="251" s="1"/>
  <c r="B74" i="246"/>
  <c r="BA74" i="246"/>
  <c r="BB74" i="246"/>
  <c r="BA77" i="246"/>
  <c r="B77" i="246"/>
  <c r="BB77" i="246"/>
  <c r="Q73" i="245"/>
  <c r="B73" i="245"/>
  <c r="P73" i="245"/>
  <c r="C73" i="246"/>
  <c r="C73" i="251" s="1"/>
  <c r="Q80" i="245"/>
  <c r="B80" i="245"/>
  <c r="P80" i="245"/>
  <c r="C80" i="246"/>
  <c r="C80" i="251" s="1"/>
  <c r="BA91" i="246"/>
  <c r="B91" i="246"/>
  <c r="BB91" i="246"/>
  <c r="B95" i="245"/>
  <c r="Q95" i="245"/>
  <c r="P95" i="245"/>
  <c r="C95" i="246"/>
  <c r="C95" i="251" s="1"/>
  <c r="G95" i="251" s="1"/>
  <c r="BA85" i="246"/>
  <c r="B85" i="246"/>
  <c r="BB85" i="246"/>
  <c r="Q57" i="245"/>
  <c r="P57" i="245"/>
  <c r="B57" i="245"/>
  <c r="C57" i="246"/>
  <c r="C57" i="251" s="1"/>
  <c r="Q84" i="245"/>
  <c r="P84" i="245"/>
  <c r="B84" i="245"/>
  <c r="C84" i="246"/>
  <c r="C84" i="251" s="1"/>
  <c r="B63" i="246"/>
  <c r="BA63" i="246"/>
  <c r="BB63" i="246"/>
  <c r="AE76" i="248"/>
  <c r="B33" i="245"/>
  <c r="P33" i="245"/>
  <c r="Q33" i="245"/>
  <c r="C33" i="246"/>
  <c r="C33" i="251" s="1"/>
  <c r="Q35" i="245"/>
  <c r="B35" i="245"/>
  <c r="P35" i="245"/>
  <c r="C35" i="246"/>
  <c r="C35" i="251" s="1"/>
  <c r="Q52" i="245"/>
  <c r="B52" i="245"/>
  <c r="P52" i="245"/>
  <c r="C52" i="246"/>
  <c r="C52" i="251" s="1"/>
  <c r="BB30" i="246"/>
  <c r="B30" i="246"/>
  <c r="BA30" i="246"/>
  <c r="BA78" i="246"/>
  <c r="BB78" i="246"/>
  <c r="B78" i="246"/>
  <c r="P75" i="245"/>
  <c r="Q75" i="245"/>
  <c r="B75" i="245"/>
  <c r="C75" i="246"/>
  <c r="C75" i="251" s="1"/>
  <c r="BA79" i="246"/>
  <c r="BB79" i="246"/>
  <c r="B79" i="246"/>
  <c r="P61" i="245"/>
  <c r="Q61" i="245"/>
  <c r="B61" i="245"/>
  <c r="C61" i="246"/>
  <c r="C61" i="251" s="1"/>
  <c r="Q51" i="245"/>
  <c r="P51" i="245"/>
  <c r="B51" i="245"/>
  <c r="C51" i="246"/>
  <c r="C51" i="251" s="1"/>
  <c r="G51" i="251" s="1"/>
  <c r="BB69" i="246"/>
  <c r="BA69" i="246"/>
  <c r="B69" i="246"/>
  <c r="Q45" i="245"/>
  <c r="P45" i="245"/>
  <c r="B45" i="245"/>
  <c r="C45" i="246"/>
  <c r="C45" i="251" s="1"/>
  <c r="Q31" i="245"/>
  <c r="P31" i="245"/>
  <c r="B31" i="245"/>
  <c r="C31" i="246"/>
  <c r="C31" i="251" s="1"/>
  <c r="G31" i="251" s="1"/>
  <c r="BA27" i="246"/>
  <c r="B27" i="246"/>
  <c r="BB27" i="246"/>
  <c r="B94" i="246"/>
  <c r="BA94" i="246"/>
  <c r="BB94" i="246"/>
  <c r="B37" i="246"/>
  <c r="BB37" i="246"/>
  <c r="BA37" i="246"/>
  <c r="B25" i="246"/>
  <c r="BA25" i="246"/>
  <c r="BB25" i="246"/>
  <c r="Q99" i="245"/>
  <c r="P99" i="245"/>
  <c r="B99" i="245"/>
  <c r="C99" i="246"/>
  <c r="C99" i="251" s="1"/>
  <c r="Q83" i="245"/>
  <c r="P83" i="245"/>
  <c r="B83" i="245"/>
  <c r="C83" i="246"/>
  <c r="C83" i="251" s="1"/>
  <c r="B42" i="245"/>
  <c r="Q42" i="245"/>
  <c r="P42" i="245"/>
  <c r="C42" i="246"/>
  <c r="C42" i="251" s="1"/>
  <c r="AE26" i="248"/>
  <c r="P71" i="245"/>
  <c r="B71" i="245"/>
  <c r="Q71" i="245"/>
  <c r="C71" i="246"/>
  <c r="C71" i="251" s="1"/>
  <c r="B36" i="245"/>
  <c r="Q36" i="245"/>
  <c r="P36" i="245"/>
  <c r="C36" i="246"/>
  <c r="C36" i="251" s="1"/>
  <c r="B28" i="246"/>
  <c r="BA28" i="246"/>
  <c r="BB28" i="246"/>
  <c r="B44" i="245"/>
  <c r="P44" i="245"/>
  <c r="Q44" i="245"/>
  <c r="C44" i="246"/>
  <c r="C44" i="251" s="1"/>
  <c r="P54" i="245"/>
  <c r="B54" i="245"/>
  <c r="Q54" i="245"/>
  <c r="C54" i="246"/>
  <c r="C54" i="251" s="1"/>
  <c r="P41" i="245"/>
  <c r="B41" i="245"/>
  <c r="Q41" i="245"/>
  <c r="C41" i="246"/>
  <c r="C41" i="251" s="1"/>
  <c r="Q82" i="245"/>
  <c r="P82" i="245"/>
  <c r="B82" i="245"/>
  <c r="C82" i="246"/>
  <c r="C82" i="251" s="1"/>
  <c r="P49" i="245"/>
  <c r="Q49" i="245"/>
  <c r="B49" i="245"/>
  <c r="C49" i="246"/>
  <c r="C49" i="251" s="1"/>
  <c r="B88" i="246"/>
  <c r="BA88" i="246"/>
  <c r="BB88" i="246"/>
  <c r="BA93" i="246"/>
  <c r="BB93" i="246"/>
  <c r="B93" i="246"/>
  <c r="BB50" i="246"/>
  <c r="B50" i="246"/>
  <c r="BA50" i="246"/>
  <c r="Q68" i="245"/>
  <c r="P68" i="245"/>
  <c r="B68" i="245"/>
  <c r="C68" i="246"/>
  <c r="C68" i="251" s="1"/>
  <c r="Q24" i="245"/>
  <c r="P24" i="245"/>
  <c r="B24" i="245"/>
  <c r="C24" i="246"/>
  <c r="C24" i="251" s="1"/>
  <c r="G24" i="251" s="1"/>
  <c r="B39" i="246"/>
  <c r="BA39" i="246"/>
  <c r="BB39" i="246"/>
  <c r="Q62" i="245"/>
  <c r="P62" i="245"/>
  <c r="B62" i="245"/>
  <c r="C62" i="246"/>
  <c r="C62" i="251" s="1"/>
  <c r="Q70" i="245"/>
  <c r="B70" i="245"/>
  <c r="P70" i="245"/>
  <c r="C70" i="246"/>
  <c r="C70" i="251" s="1"/>
  <c r="Q87" i="245"/>
  <c r="B87" i="245"/>
  <c r="P87" i="245"/>
  <c r="C87" i="246"/>
  <c r="C87" i="251" s="1"/>
  <c r="AE64" i="248"/>
  <c r="B59" i="245"/>
  <c r="Q59" i="245"/>
  <c r="P59" i="245"/>
  <c r="C59" i="246"/>
  <c r="C59" i="251" s="1"/>
  <c r="Q81" i="245"/>
  <c r="B81" i="245"/>
  <c r="P81" i="245"/>
  <c r="C81" i="246"/>
  <c r="C81" i="251" s="1"/>
  <c r="AE86" i="248"/>
  <c r="P43" i="245"/>
  <c r="B43" i="245"/>
  <c r="Q43" i="245"/>
  <c r="C43" i="246"/>
  <c r="C43" i="251" s="1"/>
  <c r="B96" i="245"/>
  <c r="Q96" i="245"/>
  <c r="P96" i="245"/>
  <c r="C96" i="246"/>
  <c r="C96" i="251" s="1"/>
  <c r="B40" i="245"/>
  <c r="Q40" i="245"/>
  <c r="P40" i="245"/>
  <c r="C40" i="246"/>
  <c r="C40" i="251" s="1"/>
  <c r="Q90" i="245"/>
  <c r="B90" i="245"/>
  <c r="P90" i="245"/>
  <c r="C90" i="246"/>
  <c r="C90" i="251" s="1"/>
  <c r="B67" i="245"/>
  <c r="P67" i="245"/>
  <c r="Q67" i="245"/>
  <c r="C67" i="246"/>
  <c r="C67" i="251" s="1"/>
  <c r="P65" i="245"/>
  <c r="Q65" i="245"/>
  <c r="B65" i="245"/>
  <c r="C65" i="246"/>
  <c r="C65" i="251" s="1"/>
  <c r="BB66" i="246" l="1"/>
  <c r="B66" i="246"/>
  <c r="BA66" i="246"/>
  <c r="K70" i="262"/>
  <c r="J70" i="262"/>
  <c r="BA54" i="246"/>
  <c r="BB54" i="246"/>
  <c r="B54" i="246"/>
  <c r="AE28" i="248"/>
  <c r="BA36" i="246"/>
  <c r="B36" i="246"/>
  <c r="BB36" i="246"/>
  <c r="BB42" i="246"/>
  <c r="BA42" i="246"/>
  <c r="B42" i="246"/>
  <c r="B83" i="246"/>
  <c r="BA83" i="246"/>
  <c r="BB83" i="246"/>
  <c r="BB31" i="246"/>
  <c r="B31" i="246"/>
  <c r="BA31" i="246"/>
  <c r="AE30" i="248"/>
  <c r="BB52" i="246"/>
  <c r="B52" i="246"/>
  <c r="BA52" i="246"/>
  <c r="BB35" i="246"/>
  <c r="B35" i="246"/>
  <c r="BA35" i="246"/>
  <c r="AE63" i="248"/>
  <c r="BA84" i="246"/>
  <c r="BB84" i="246"/>
  <c r="B84" i="246"/>
  <c r="AE85" i="248"/>
  <c r="BB80" i="246"/>
  <c r="BA80" i="246"/>
  <c r="B80" i="246"/>
  <c r="AE77" i="248"/>
  <c r="AE74" i="248"/>
  <c r="AE92" i="248"/>
  <c r="BA53" i="246"/>
  <c r="BB53" i="246"/>
  <c r="B53" i="246"/>
  <c r="AE23" i="248"/>
  <c r="AE55" i="248"/>
  <c r="BA56" i="246"/>
  <c r="BB56" i="246"/>
  <c r="B56" i="246"/>
  <c r="BA90" i="246"/>
  <c r="B90" i="246"/>
  <c r="BB90" i="246"/>
  <c r="BA65" i="246"/>
  <c r="BB65" i="246"/>
  <c r="B65" i="246"/>
  <c r="BB87" i="246"/>
  <c r="B87" i="246"/>
  <c r="BA87" i="246"/>
  <c r="BA62" i="246"/>
  <c r="BB62" i="246"/>
  <c r="B62" i="246"/>
  <c r="AE39" i="248"/>
  <c r="B82" i="246"/>
  <c r="BB82" i="246"/>
  <c r="BA82" i="246"/>
  <c r="BB44" i="246"/>
  <c r="BA44" i="246"/>
  <c r="B44" i="246"/>
  <c r="BA51" i="246"/>
  <c r="BB51" i="246"/>
  <c r="B51" i="246"/>
  <c r="AE79" i="248"/>
  <c r="B33" i="246"/>
  <c r="BB33" i="246"/>
  <c r="BA33" i="246"/>
  <c r="BB95" i="246"/>
  <c r="B95" i="246"/>
  <c r="BA95" i="246"/>
  <c r="BB72" i="246"/>
  <c r="B72" i="246"/>
  <c r="BA72" i="246"/>
  <c r="B22" i="246"/>
  <c r="BB22" i="246"/>
  <c r="BA22" i="246"/>
  <c r="AE38" i="248"/>
  <c r="AE34" i="248"/>
  <c r="BA81" i="246"/>
  <c r="B81" i="246"/>
  <c r="BB81" i="246"/>
  <c r="S86" i="249"/>
  <c r="BB70" i="246"/>
  <c r="B70" i="246"/>
  <c r="BA70" i="246"/>
  <c r="BA24" i="246"/>
  <c r="BB24" i="246"/>
  <c r="B24" i="246"/>
  <c r="AE50" i="248"/>
  <c r="AE93" i="248"/>
  <c r="BA49" i="246"/>
  <c r="B49" i="246"/>
  <c r="BB49" i="246"/>
  <c r="S26" i="249"/>
  <c r="B75" i="246"/>
  <c r="BB75" i="246"/>
  <c r="BA75" i="246"/>
  <c r="S76" i="249"/>
  <c r="BA48" i="246"/>
  <c r="B48" i="246"/>
  <c r="BB48" i="246"/>
  <c r="S29" i="249"/>
  <c r="BB47" i="246"/>
  <c r="BA47" i="246"/>
  <c r="B47" i="246"/>
  <c r="B43" i="246"/>
  <c r="BA43" i="246"/>
  <c r="BB43" i="246"/>
  <c r="BA59" i="246"/>
  <c r="BB59" i="246"/>
  <c r="B59" i="246"/>
  <c r="B67" i="246"/>
  <c r="BB67" i="246"/>
  <c r="BA67" i="246"/>
  <c r="BA96" i="246"/>
  <c r="B96" i="246"/>
  <c r="BB96" i="246"/>
  <c r="BA40" i="246"/>
  <c r="BB40" i="246"/>
  <c r="B40" i="246"/>
  <c r="S64" i="249"/>
  <c r="BA68" i="246"/>
  <c r="B68" i="246"/>
  <c r="BB68" i="246"/>
  <c r="AE88" i="248"/>
  <c r="BA41" i="246"/>
  <c r="B41" i="246"/>
  <c r="BB41" i="246"/>
  <c r="BA71" i="246"/>
  <c r="BB71" i="246"/>
  <c r="B71" i="246"/>
  <c r="BA99" i="246"/>
  <c r="B99" i="246"/>
  <c r="BB99" i="246"/>
  <c r="AE25" i="248"/>
  <c r="AE37" i="248"/>
  <c r="AE94" i="248"/>
  <c r="AE27" i="248"/>
  <c r="B45" i="246"/>
  <c r="BB45" i="246"/>
  <c r="BA45" i="246"/>
  <c r="AE69" i="248"/>
  <c r="BB61" i="246"/>
  <c r="BA61" i="246"/>
  <c r="B61" i="246"/>
  <c r="AE78" i="248"/>
  <c r="BB57" i="246"/>
  <c r="BA57" i="246"/>
  <c r="B57" i="246"/>
  <c r="AE91" i="248"/>
  <c r="B73" i="246"/>
  <c r="BB73" i="246"/>
  <c r="BA73" i="246"/>
  <c r="B89" i="246"/>
  <c r="BB89" i="246"/>
  <c r="BA89" i="246"/>
  <c r="S58" i="249"/>
  <c r="AE66" i="248" l="1"/>
  <c r="L70" i="262"/>
  <c r="J70" i="263"/>
  <c r="C60" i="255"/>
  <c r="I70" i="263"/>
  <c r="Y76" i="248"/>
  <c r="Y64" i="248"/>
  <c r="X25" i="248"/>
  <c r="Y26" i="248"/>
  <c r="X26" i="248"/>
  <c r="S78" i="249"/>
  <c r="F76" i="251"/>
  <c r="B76" i="251"/>
  <c r="D76" i="251"/>
  <c r="C76" i="252"/>
  <c r="C86" i="262" s="1"/>
  <c r="C86" i="263" s="1"/>
  <c r="AE75" i="248"/>
  <c r="C26" i="252"/>
  <c r="C36" i="262" s="1"/>
  <c r="C36" i="263" s="1"/>
  <c r="B26" i="251"/>
  <c r="F26" i="251"/>
  <c r="D26" i="251"/>
  <c r="AE49" i="248"/>
  <c r="S93" i="249"/>
  <c r="S50" i="249"/>
  <c r="AE24" i="248"/>
  <c r="AE70" i="248"/>
  <c r="D86" i="251"/>
  <c r="F86" i="251"/>
  <c r="B86" i="251"/>
  <c r="C86" i="252"/>
  <c r="C96" i="262" s="1"/>
  <c r="C96" i="263" s="1"/>
  <c r="AE33" i="248"/>
  <c r="S79" i="249"/>
  <c r="AE51" i="248"/>
  <c r="AE44" i="248"/>
  <c r="AE82" i="248"/>
  <c r="S39" i="249"/>
  <c r="AE62" i="248"/>
  <c r="AE87" i="248"/>
  <c r="AE65" i="248"/>
  <c r="AE90" i="248"/>
  <c r="AE56" i="248"/>
  <c r="S77" i="249"/>
  <c r="S69" i="249"/>
  <c r="AE45" i="248"/>
  <c r="S94" i="249"/>
  <c r="S37" i="249"/>
  <c r="S25" i="249"/>
  <c r="AE99" i="248"/>
  <c r="AE96" i="248"/>
  <c r="AE67" i="248"/>
  <c r="AE59" i="248"/>
  <c r="AE43" i="248"/>
  <c r="AE47" i="248"/>
  <c r="AE81" i="248"/>
  <c r="S34" i="249"/>
  <c r="AE35" i="248"/>
  <c r="AE52" i="248"/>
  <c r="S30" i="249"/>
  <c r="AE31" i="248"/>
  <c r="AE83" i="248"/>
  <c r="AE42" i="248"/>
  <c r="AE36" i="248"/>
  <c r="AE54" i="248"/>
  <c r="AE61" i="248"/>
  <c r="S27" i="249"/>
  <c r="AE71" i="248"/>
  <c r="AE41" i="248"/>
  <c r="S88" i="249"/>
  <c r="AE68" i="248"/>
  <c r="B64" i="251"/>
  <c r="F64" i="251"/>
  <c r="D64" i="251"/>
  <c r="C64" i="252"/>
  <c r="C74" i="262" s="1"/>
  <c r="C74" i="263" s="1"/>
  <c r="AE40" i="248"/>
  <c r="S28" i="249"/>
  <c r="S91" i="249"/>
  <c r="B58" i="251"/>
  <c r="F58" i="251"/>
  <c r="D58" i="251"/>
  <c r="C58" i="252"/>
  <c r="C68" i="262" s="1"/>
  <c r="C68" i="263" s="1"/>
  <c r="AE89" i="248"/>
  <c r="AE73" i="248"/>
  <c r="AE57" i="248"/>
  <c r="D29" i="251"/>
  <c r="B29" i="251"/>
  <c r="C29" i="252"/>
  <c r="C39" i="262" s="1"/>
  <c r="C39" i="263" s="1"/>
  <c r="F29" i="251"/>
  <c r="AE48" i="248"/>
  <c r="S38" i="249"/>
  <c r="AE22" i="248"/>
  <c r="AE72" i="248"/>
  <c r="AE95" i="248"/>
  <c r="S55" i="249"/>
  <c r="S23" i="249"/>
  <c r="AE53" i="248"/>
  <c r="S92" i="249"/>
  <c r="S74" i="249"/>
  <c r="AE80" i="248"/>
  <c r="S85" i="249"/>
  <c r="AE84" i="248"/>
  <c r="S63" i="249"/>
  <c r="S66" i="249" l="1"/>
  <c r="Y93" i="248"/>
  <c r="K70" i="263"/>
  <c r="C60" i="256"/>
  <c r="B60" i="255"/>
  <c r="D60" i="255"/>
  <c r="X76" i="248"/>
  <c r="Y94" i="248"/>
  <c r="X64" i="248"/>
  <c r="Y50" i="248"/>
  <c r="X86" i="248"/>
  <c r="Y86" i="248"/>
  <c r="X55" i="248"/>
  <c r="Y55" i="248"/>
  <c r="Y57" i="248"/>
  <c r="Y34" i="248"/>
  <c r="Y25" i="248"/>
  <c r="X72" i="248"/>
  <c r="Y27" i="248"/>
  <c r="X27" i="248"/>
  <c r="X78" i="248"/>
  <c r="Y78" i="248"/>
  <c r="Y63" i="248"/>
  <c r="X63" i="248"/>
  <c r="X93" i="248"/>
  <c r="F63" i="251"/>
  <c r="D63" i="251"/>
  <c r="B63" i="251"/>
  <c r="C63" i="252"/>
  <c r="C73" i="262" s="1"/>
  <c r="C73" i="263" s="1"/>
  <c r="S57" i="249"/>
  <c r="S89" i="249"/>
  <c r="B58" i="252"/>
  <c r="B68" i="262" s="1"/>
  <c r="B68" i="263" s="1"/>
  <c r="S68" i="249"/>
  <c r="B88" i="251"/>
  <c r="D88" i="251"/>
  <c r="F88" i="251"/>
  <c r="C88" i="252"/>
  <c r="C98" i="262" s="1"/>
  <c r="C98" i="263" s="1"/>
  <c r="S41" i="249"/>
  <c r="S71" i="249"/>
  <c r="S54" i="249"/>
  <c r="S36" i="249"/>
  <c r="S31" i="249"/>
  <c r="B30" i="251"/>
  <c r="C30" i="252"/>
  <c r="C40" i="262" s="1"/>
  <c r="C40" i="263" s="1"/>
  <c r="F30" i="251"/>
  <c r="D30" i="251"/>
  <c r="S52" i="249"/>
  <c r="S47" i="249"/>
  <c r="S43" i="249"/>
  <c r="S59" i="249"/>
  <c r="S96" i="249"/>
  <c r="D69" i="251"/>
  <c r="B69" i="251"/>
  <c r="F69" i="251"/>
  <c r="C69" i="252"/>
  <c r="C79" i="262" s="1"/>
  <c r="C79" i="263" s="1"/>
  <c r="S56" i="249"/>
  <c r="S90" i="249"/>
  <c r="S87" i="249"/>
  <c r="S62" i="249"/>
  <c r="D39" i="251"/>
  <c r="F39" i="251"/>
  <c r="B39" i="251"/>
  <c r="C39" i="252"/>
  <c r="C49" i="262" s="1"/>
  <c r="C49" i="263" s="1"/>
  <c r="S44" i="249"/>
  <c r="S51" i="249"/>
  <c r="F79" i="251"/>
  <c r="D79" i="251"/>
  <c r="B79" i="251"/>
  <c r="C79" i="252"/>
  <c r="C89" i="262" s="1"/>
  <c r="C89" i="263" s="1"/>
  <c r="S33" i="249"/>
  <c r="S24" i="249"/>
  <c r="D50" i="251"/>
  <c r="F50" i="251"/>
  <c r="B50" i="251"/>
  <c r="C50" i="252"/>
  <c r="C60" i="262" s="1"/>
  <c r="C60" i="263" s="1"/>
  <c r="B93" i="251"/>
  <c r="D93" i="251"/>
  <c r="F93" i="251"/>
  <c r="C93" i="252"/>
  <c r="F78" i="251"/>
  <c r="D78" i="251"/>
  <c r="B78" i="251"/>
  <c r="C78" i="252"/>
  <c r="C88" i="262" s="1"/>
  <c r="C88" i="263" s="1"/>
  <c r="Y77" i="248"/>
  <c r="X77" i="248"/>
  <c r="Y37" i="248"/>
  <c r="X37" i="248"/>
  <c r="S40" i="249"/>
  <c r="B64" i="252"/>
  <c r="B74" i="262" s="1"/>
  <c r="B74" i="263" s="1"/>
  <c r="S42" i="249"/>
  <c r="S83" i="249"/>
  <c r="S35" i="249"/>
  <c r="F34" i="251"/>
  <c r="B34" i="251"/>
  <c r="D34" i="251"/>
  <c r="C34" i="252"/>
  <c r="C44" i="262" s="1"/>
  <c r="C44" i="263" s="1"/>
  <c r="S81" i="249"/>
  <c r="S67" i="249"/>
  <c r="S65" i="249"/>
  <c r="S82" i="249"/>
  <c r="S49" i="249"/>
  <c r="B26" i="252"/>
  <c r="B36" i="262" s="1"/>
  <c r="B36" i="263" s="1"/>
  <c r="S84" i="249"/>
  <c r="S80" i="249"/>
  <c r="B29" i="252"/>
  <c r="B39" i="262" s="1"/>
  <c r="B39" i="263" s="1"/>
  <c r="B92" i="251"/>
  <c r="D92" i="251"/>
  <c r="F92" i="251"/>
  <c r="C92" i="252"/>
  <c r="C102" i="262" s="1"/>
  <c r="C102" i="263" s="1"/>
  <c r="S53" i="249"/>
  <c r="S72" i="249"/>
  <c r="D91" i="251"/>
  <c r="B91" i="251"/>
  <c r="F91" i="251"/>
  <c r="C91" i="252"/>
  <c r="C101" i="262" s="1"/>
  <c r="C101" i="263" s="1"/>
  <c r="C27" i="252"/>
  <c r="C37" i="262" s="1"/>
  <c r="C37" i="263" s="1"/>
  <c r="D27" i="251"/>
  <c r="B27" i="251"/>
  <c r="F27" i="251"/>
  <c r="F25" i="251"/>
  <c r="C25" i="252"/>
  <c r="C35" i="262" s="1"/>
  <c r="C35" i="263" s="1"/>
  <c r="D25" i="251"/>
  <c r="B25" i="251"/>
  <c r="D37" i="251"/>
  <c r="F37" i="251"/>
  <c r="B37" i="251"/>
  <c r="C37" i="252"/>
  <c r="C47" i="262" s="1"/>
  <c r="C47" i="263" s="1"/>
  <c r="B77" i="251"/>
  <c r="F77" i="251"/>
  <c r="D77" i="251"/>
  <c r="C77" i="252"/>
  <c r="C87" i="262" s="1"/>
  <c r="C87" i="263" s="1"/>
  <c r="S70" i="249"/>
  <c r="S75" i="249"/>
  <c r="B76" i="252"/>
  <c r="B86" i="262" s="1"/>
  <c r="B86" i="263" s="1"/>
  <c r="Y29" i="248"/>
  <c r="X29" i="248"/>
  <c r="X23" i="248"/>
  <c r="Y23" i="248"/>
  <c r="D85" i="251"/>
  <c r="B85" i="251"/>
  <c r="F85" i="251"/>
  <c r="C85" i="252"/>
  <c r="C95" i="262" s="1"/>
  <c r="C95" i="263" s="1"/>
  <c r="S73" i="249"/>
  <c r="D74" i="251"/>
  <c r="F74" i="251"/>
  <c r="B74" i="251"/>
  <c r="C74" i="252"/>
  <c r="C84" i="262" s="1"/>
  <c r="C84" i="263" s="1"/>
  <c r="B23" i="251"/>
  <c r="D23" i="251"/>
  <c r="F23" i="251"/>
  <c r="C23" i="252"/>
  <c r="C33" i="262" s="1"/>
  <c r="C33" i="263" s="1"/>
  <c r="S95" i="249"/>
  <c r="S22" i="249"/>
  <c r="D55" i="251"/>
  <c r="F55" i="251"/>
  <c r="B55" i="251"/>
  <c r="C55" i="252"/>
  <c r="C65" i="262" s="1"/>
  <c r="C65" i="263" s="1"/>
  <c r="AE18" i="248"/>
  <c r="D38" i="251"/>
  <c r="F38" i="251"/>
  <c r="B38" i="251"/>
  <c r="C38" i="252"/>
  <c r="C48" i="262" s="1"/>
  <c r="C48" i="263" s="1"/>
  <c r="S48" i="249"/>
  <c r="B28" i="251"/>
  <c r="F28" i="251"/>
  <c r="D28" i="251"/>
  <c r="C28" i="252"/>
  <c r="C38" i="262" s="1"/>
  <c r="C38" i="263" s="1"/>
  <c r="Y74" i="248"/>
  <c r="X74" i="248"/>
  <c r="S61" i="249"/>
  <c r="X58" i="248"/>
  <c r="Y58" i="248"/>
  <c r="S99" i="249"/>
  <c r="B94" i="251"/>
  <c r="D94" i="251"/>
  <c r="F94" i="251"/>
  <c r="C94" i="252"/>
  <c r="C104" i="262" s="1"/>
  <c r="C104" i="263" s="1"/>
  <c r="S45" i="249"/>
  <c r="B86" i="252"/>
  <c r="B96" i="262" s="1"/>
  <c r="B96" i="263" s="1"/>
  <c r="C60" i="257" l="1"/>
  <c r="G60" i="256"/>
  <c r="C103" i="262"/>
  <c r="C103" i="263" s="1"/>
  <c r="B66" i="251"/>
  <c r="D66" i="251"/>
  <c r="F66" i="251"/>
  <c r="C66" i="252"/>
  <c r="C76" i="262" s="1"/>
  <c r="C76" i="263" s="1"/>
  <c r="Y31" i="248"/>
  <c r="X31" i="248"/>
  <c r="X34" i="248"/>
  <c r="B60" i="256"/>
  <c r="Y89" i="248"/>
  <c r="X89" i="248"/>
  <c r="Y48" i="248"/>
  <c r="X48" i="248"/>
  <c r="Y71" i="248"/>
  <c r="Y41" i="248"/>
  <c r="X94" i="248"/>
  <c r="Y72" i="248"/>
  <c r="X56" i="248"/>
  <c r="Y33" i="248"/>
  <c r="X87" i="248"/>
  <c r="X91" i="248"/>
  <c r="Y91" i="248"/>
  <c r="X57" i="248"/>
  <c r="X50" i="248"/>
  <c r="Y22" i="248"/>
  <c r="Y36" i="248"/>
  <c r="Y80" i="248"/>
  <c r="Y75" i="248"/>
  <c r="Y85" i="248"/>
  <c r="X85" i="248"/>
  <c r="Y69" i="248"/>
  <c r="X69" i="248"/>
  <c r="B99" i="251"/>
  <c r="F99" i="251"/>
  <c r="D99" i="251"/>
  <c r="C99" i="252"/>
  <c r="D48" i="251"/>
  <c r="F48" i="251"/>
  <c r="B48" i="251"/>
  <c r="C48" i="252"/>
  <c r="C58" i="262" s="1"/>
  <c r="C58" i="263" s="1"/>
  <c r="B38" i="252"/>
  <c r="B48" i="262" s="1"/>
  <c r="B48" i="263" s="1"/>
  <c r="J86" i="262"/>
  <c r="K86" i="262"/>
  <c r="F70" i="251"/>
  <c r="B70" i="251"/>
  <c r="D70" i="251"/>
  <c r="C70" i="252"/>
  <c r="C80" i="262" s="1"/>
  <c r="C80" i="263" s="1"/>
  <c r="B25" i="252"/>
  <c r="B35" i="262" s="1"/>
  <c r="B35" i="263" s="1"/>
  <c r="B80" i="251"/>
  <c r="D80" i="251"/>
  <c r="F80" i="251"/>
  <c r="C80" i="252"/>
  <c r="C90" i="262" s="1"/>
  <c r="C90" i="263" s="1"/>
  <c r="B84" i="251"/>
  <c r="D84" i="251"/>
  <c r="F84" i="251"/>
  <c r="C84" i="252"/>
  <c r="C94" i="262" s="1"/>
  <c r="C94" i="263" s="1"/>
  <c r="D65" i="251"/>
  <c r="B65" i="251"/>
  <c r="F65" i="251"/>
  <c r="C65" i="252"/>
  <c r="C75" i="262" s="1"/>
  <c r="C75" i="263" s="1"/>
  <c r="F42" i="251"/>
  <c r="B42" i="251"/>
  <c r="D42" i="251"/>
  <c r="C42" i="252"/>
  <c r="C52" i="262" s="1"/>
  <c r="C52" i="263" s="1"/>
  <c r="K74" i="262"/>
  <c r="J74" i="262"/>
  <c r="Y39" i="248"/>
  <c r="X39" i="248"/>
  <c r="B93" i="252"/>
  <c r="B103" i="262" s="1"/>
  <c r="B103" i="263" s="1"/>
  <c r="B79" i="252"/>
  <c r="B89" i="262" s="1"/>
  <c r="B89" i="263" s="1"/>
  <c r="F95" i="251"/>
  <c r="B95" i="251"/>
  <c r="D95" i="251"/>
  <c r="C95" i="252"/>
  <c r="B37" i="252"/>
  <c r="B47" i="262" s="1"/>
  <c r="B47" i="263" s="1"/>
  <c r="X96" i="248"/>
  <c r="Y96" i="248"/>
  <c r="B72" i="251"/>
  <c r="F72" i="251"/>
  <c r="D72" i="251"/>
  <c r="C72" i="252"/>
  <c r="C82" i="262" s="1"/>
  <c r="C82" i="263" s="1"/>
  <c r="F53" i="251"/>
  <c r="B53" i="251"/>
  <c r="C53" i="252"/>
  <c r="C63" i="262" s="1"/>
  <c r="C63" i="263" s="1"/>
  <c r="D53" i="251"/>
  <c r="J36" i="262"/>
  <c r="K36" i="262"/>
  <c r="B78" i="252"/>
  <c r="B88" i="262" s="1"/>
  <c r="B88" i="263" s="1"/>
  <c r="B51" i="251"/>
  <c r="D51" i="251"/>
  <c r="F51" i="251"/>
  <c r="C51" i="252"/>
  <c r="B44" i="251"/>
  <c r="F44" i="251"/>
  <c r="D44" i="251"/>
  <c r="C44" i="252"/>
  <c r="C54" i="262" s="1"/>
  <c r="C54" i="263" s="1"/>
  <c r="B56" i="251"/>
  <c r="D56" i="251"/>
  <c r="F56" i="251"/>
  <c r="C56" i="252"/>
  <c r="C66" i="262" s="1"/>
  <c r="C66" i="263" s="1"/>
  <c r="B69" i="252"/>
  <c r="B79" i="262" s="1"/>
  <c r="B79" i="263" s="1"/>
  <c r="B30" i="252"/>
  <c r="B40" i="262" s="1"/>
  <c r="B40" i="263" s="1"/>
  <c r="B31" i="251"/>
  <c r="F31" i="251"/>
  <c r="D31" i="251"/>
  <c r="C31" i="252"/>
  <c r="D36" i="251"/>
  <c r="B36" i="251"/>
  <c r="F36" i="251"/>
  <c r="C36" i="252"/>
  <c r="C46" i="262" s="1"/>
  <c r="C46" i="263" s="1"/>
  <c r="B54" i="251"/>
  <c r="F54" i="251"/>
  <c r="D54" i="251"/>
  <c r="C54" i="252"/>
  <c r="C64" i="262" s="1"/>
  <c r="C64" i="263" s="1"/>
  <c r="B71" i="251"/>
  <c r="F71" i="251"/>
  <c r="D71" i="251"/>
  <c r="C71" i="252"/>
  <c r="C81" i="262" s="1"/>
  <c r="C81" i="263" s="1"/>
  <c r="B41" i="251"/>
  <c r="D41" i="251"/>
  <c r="F41" i="251"/>
  <c r="C41" i="252"/>
  <c r="C51" i="262" s="1"/>
  <c r="C51" i="263" s="1"/>
  <c r="B89" i="251"/>
  <c r="F89" i="251"/>
  <c r="C89" i="252"/>
  <c r="C99" i="262" s="1"/>
  <c r="C99" i="263" s="1"/>
  <c r="D89" i="251"/>
  <c r="B57" i="251"/>
  <c r="F57" i="251"/>
  <c r="D57" i="251"/>
  <c r="C57" i="252"/>
  <c r="C67" i="262" s="1"/>
  <c r="C67" i="263" s="1"/>
  <c r="Y59" i="248"/>
  <c r="X59" i="248"/>
  <c r="X83" i="248"/>
  <c r="Y83" i="248"/>
  <c r="B94" i="252"/>
  <c r="B104" i="262" s="1"/>
  <c r="B104" i="263" s="1"/>
  <c r="K96" i="262"/>
  <c r="J96" i="262"/>
  <c r="B61" i="251"/>
  <c r="F61" i="251"/>
  <c r="D61" i="251"/>
  <c r="C61" i="252"/>
  <c r="C71" i="262" s="1"/>
  <c r="C71" i="263" s="1"/>
  <c r="B23" i="252"/>
  <c r="B33" i="262" s="1"/>
  <c r="B33" i="263" s="1"/>
  <c r="B74" i="252"/>
  <c r="B84" i="262" s="1"/>
  <c r="B84" i="263" s="1"/>
  <c r="D75" i="251"/>
  <c r="B75" i="251"/>
  <c r="F75" i="251"/>
  <c r="C75" i="252"/>
  <c r="C85" i="262" s="1"/>
  <c r="C85" i="263" s="1"/>
  <c r="B27" i="252"/>
  <c r="B37" i="262" s="1"/>
  <c r="B37" i="263" s="1"/>
  <c r="B91" i="252"/>
  <c r="B101" i="262" s="1"/>
  <c r="B101" i="263" s="1"/>
  <c r="B92" i="252"/>
  <c r="B102" i="262" s="1"/>
  <c r="B102" i="263" s="1"/>
  <c r="J39" i="262"/>
  <c r="K39" i="262"/>
  <c r="F49" i="251"/>
  <c r="B49" i="251"/>
  <c r="D49" i="251"/>
  <c r="C49" i="252"/>
  <c r="C59" i="262" s="1"/>
  <c r="C59" i="263" s="1"/>
  <c r="F82" i="251"/>
  <c r="D82" i="251"/>
  <c r="B82" i="251"/>
  <c r="C82" i="252"/>
  <c r="D35" i="251"/>
  <c r="F35" i="251"/>
  <c r="C35" i="252"/>
  <c r="C45" i="262" s="1"/>
  <c r="C45" i="263" s="1"/>
  <c r="B35" i="251"/>
  <c r="F83" i="251"/>
  <c r="D83" i="251"/>
  <c r="B83" i="251"/>
  <c r="C83" i="252"/>
  <c r="C93" i="262" s="1"/>
  <c r="C93" i="263" s="1"/>
  <c r="B40" i="251"/>
  <c r="D40" i="251"/>
  <c r="F40" i="251"/>
  <c r="C40" i="252"/>
  <c r="C50" i="262" s="1"/>
  <c r="C50" i="263" s="1"/>
  <c r="Y38" i="248"/>
  <c r="X38" i="248"/>
  <c r="X79" i="248"/>
  <c r="Y79" i="248"/>
  <c r="B50" i="252"/>
  <c r="B60" i="262" s="1"/>
  <c r="B60" i="263" s="1"/>
  <c r="B39" i="252"/>
  <c r="B49" i="262" s="1"/>
  <c r="B49" i="263" s="1"/>
  <c r="X88" i="248"/>
  <c r="Y88" i="248"/>
  <c r="B88" i="252"/>
  <c r="B98" i="262" s="1"/>
  <c r="B98" i="263" s="1"/>
  <c r="B63" i="252"/>
  <c r="B73" i="262" s="1"/>
  <c r="B73" i="263" s="1"/>
  <c r="D45" i="251"/>
  <c r="B45" i="251"/>
  <c r="F45" i="251"/>
  <c r="C45" i="252"/>
  <c r="C55" i="262" s="1"/>
  <c r="C55" i="263" s="1"/>
  <c r="Y99" i="248"/>
  <c r="X99" i="248"/>
  <c r="B28" i="252"/>
  <c r="B38" i="262" s="1"/>
  <c r="B38" i="263" s="1"/>
  <c r="B55" i="252"/>
  <c r="B65" i="262" s="1"/>
  <c r="B65" i="263" s="1"/>
  <c r="B22" i="251"/>
  <c r="C22" i="252"/>
  <c r="C32" i="262" s="1"/>
  <c r="C32" i="263" s="1"/>
  <c r="F22" i="251"/>
  <c r="D22" i="251"/>
  <c r="B73" i="251"/>
  <c r="D73" i="251"/>
  <c r="F73" i="251"/>
  <c r="C73" i="252"/>
  <c r="C83" i="262" s="1"/>
  <c r="C83" i="263" s="1"/>
  <c r="B85" i="252"/>
  <c r="B95" i="262" s="1"/>
  <c r="B95" i="263" s="1"/>
  <c r="Y28" i="248"/>
  <c r="X28" i="248"/>
  <c r="B77" i="252"/>
  <c r="B87" i="262" s="1"/>
  <c r="B87" i="263" s="1"/>
  <c r="X44" i="248"/>
  <c r="Y44" i="248"/>
  <c r="B67" i="251"/>
  <c r="F67" i="251"/>
  <c r="D67" i="251"/>
  <c r="C67" i="252"/>
  <c r="C77" i="262" s="1"/>
  <c r="C77" i="263" s="1"/>
  <c r="D81" i="251"/>
  <c r="F81" i="251"/>
  <c r="B81" i="251"/>
  <c r="C81" i="252"/>
  <c r="C91" i="262" s="1"/>
  <c r="C91" i="263" s="1"/>
  <c r="B34" i="252"/>
  <c r="B44" i="262" s="1"/>
  <c r="B44" i="263" s="1"/>
  <c r="Y92" i="248"/>
  <c r="X92" i="248"/>
  <c r="B24" i="251"/>
  <c r="F24" i="251"/>
  <c r="C24" i="252"/>
  <c r="C34" i="262" s="1"/>
  <c r="C34" i="263" s="1"/>
  <c r="D24" i="251"/>
  <c r="B33" i="251"/>
  <c r="D33" i="251"/>
  <c r="F33" i="251"/>
  <c r="C33" i="252"/>
  <c r="C43" i="262" s="1"/>
  <c r="C43" i="263" s="1"/>
  <c r="F62" i="251"/>
  <c r="B62" i="251"/>
  <c r="D62" i="251"/>
  <c r="C62" i="252"/>
  <c r="C72" i="262" s="1"/>
  <c r="C72" i="263" s="1"/>
  <c r="D87" i="251"/>
  <c r="C87" i="252"/>
  <c r="C97" i="262" s="1"/>
  <c r="C97" i="263" s="1"/>
  <c r="B87" i="251"/>
  <c r="F87" i="251"/>
  <c r="B90" i="251"/>
  <c r="F90" i="251"/>
  <c r="D90" i="251"/>
  <c r="C90" i="252"/>
  <c r="C100" i="262" s="1"/>
  <c r="C100" i="263" s="1"/>
  <c r="Y30" i="248"/>
  <c r="X30" i="248"/>
  <c r="B96" i="251"/>
  <c r="D96" i="251"/>
  <c r="F96" i="251"/>
  <c r="C96" i="252"/>
  <c r="C106" i="262" s="1"/>
  <c r="C106" i="263" s="1"/>
  <c r="D59" i="251"/>
  <c r="B59" i="251"/>
  <c r="F59" i="251"/>
  <c r="C59" i="252"/>
  <c r="C69" i="262" s="1"/>
  <c r="C69" i="263" s="1"/>
  <c r="B43" i="251"/>
  <c r="D43" i="251"/>
  <c r="F43" i="251"/>
  <c r="C43" i="252"/>
  <c r="C53" i="262" s="1"/>
  <c r="C53" i="263" s="1"/>
  <c r="D47" i="251"/>
  <c r="B47" i="251"/>
  <c r="F47" i="251"/>
  <c r="C47" i="252"/>
  <c r="C57" i="262" s="1"/>
  <c r="C57" i="263" s="1"/>
  <c r="B52" i="251"/>
  <c r="F52" i="251"/>
  <c r="D52" i="251"/>
  <c r="C52" i="252"/>
  <c r="B68" i="251"/>
  <c r="F68" i="251"/>
  <c r="D68" i="251"/>
  <c r="C68" i="252"/>
  <c r="C78" i="262" s="1"/>
  <c r="C78" i="263" s="1"/>
  <c r="K68" i="262"/>
  <c r="J68" i="262"/>
  <c r="G60" i="257" l="1"/>
  <c r="F60" i="246"/>
  <c r="BD60" i="246" s="1"/>
  <c r="C41" i="262"/>
  <c r="C41" i="263" s="1"/>
  <c r="C105" i="262"/>
  <c r="C105" i="263" s="1"/>
  <c r="C62" i="262"/>
  <c r="C62" i="263" s="1"/>
  <c r="C92" i="262"/>
  <c r="C92" i="263" s="1"/>
  <c r="C61" i="262"/>
  <c r="C61" i="263" s="1"/>
  <c r="C109" i="262"/>
  <c r="C109" i="263" s="1"/>
  <c r="X71" i="248"/>
  <c r="B66" i="252"/>
  <c r="B76" i="262" s="1"/>
  <c r="B76" i="263" s="1"/>
  <c r="Y66" i="248"/>
  <c r="X66" i="248"/>
  <c r="Y52" i="248"/>
  <c r="X52" i="248"/>
  <c r="B60" i="257"/>
  <c r="X35" i="248"/>
  <c r="Y35" i="248"/>
  <c r="X33" i="248"/>
  <c r="Y54" i="248"/>
  <c r="X54" i="248"/>
  <c r="X82" i="248"/>
  <c r="Y82" i="248"/>
  <c r="X41" i="248"/>
  <c r="Y56" i="248"/>
  <c r="X73" i="248"/>
  <c r="Y73" i="248"/>
  <c r="X36" i="248"/>
  <c r="Y40" i="248"/>
  <c r="X40" i="248"/>
  <c r="X80" i="248"/>
  <c r="X22" i="248"/>
  <c r="L96" i="262"/>
  <c r="Y87" i="248"/>
  <c r="X75" i="248"/>
  <c r="L86" i="262"/>
  <c r="Y68" i="248"/>
  <c r="X68" i="248"/>
  <c r="L68" i="262"/>
  <c r="L74" i="262"/>
  <c r="L36" i="262"/>
  <c r="Y53" i="248"/>
  <c r="X53" i="248"/>
  <c r="Y42" i="248"/>
  <c r="X42" i="248"/>
  <c r="L39" i="262"/>
  <c r="Y90" i="248"/>
  <c r="X90" i="248"/>
  <c r="K44" i="262"/>
  <c r="J44" i="262"/>
  <c r="B67" i="252"/>
  <c r="B77" i="262" s="1"/>
  <c r="B77" i="263" s="1"/>
  <c r="I36" i="263"/>
  <c r="J36" i="263"/>
  <c r="C26" i="255"/>
  <c r="Y62" i="248"/>
  <c r="X62" i="248"/>
  <c r="B96" i="252"/>
  <c r="B106" i="262" s="1"/>
  <c r="B106" i="263" s="1"/>
  <c r="Y47" i="248"/>
  <c r="X47" i="248"/>
  <c r="X45" i="248"/>
  <c r="Y45" i="248"/>
  <c r="X70" i="248"/>
  <c r="Y70" i="248"/>
  <c r="B75" i="252"/>
  <c r="B85" i="262" s="1"/>
  <c r="B85" i="263" s="1"/>
  <c r="K33" i="262"/>
  <c r="J33" i="262"/>
  <c r="B61" i="252"/>
  <c r="B71" i="262" s="1"/>
  <c r="B71" i="263" s="1"/>
  <c r="B71" i="252"/>
  <c r="B81" i="262" s="1"/>
  <c r="B81" i="263" s="1"/>
  <c r="B36" i="252"/>
  <c r="B46" i="262" s="1"/>
  <c r="B46" i="263" s="1"/>
  <c r="B56" i="252"/>
  <c r="B66" i="262" s="1"/>
  <c r="B66" i="263" s="1"/>
  <c r="X67" i="248"/>
  <c r="Y67" i="248"/>
  <c r="B53" i="252"/>
  <c r="B63" i="262" s="1"/>
  <c r="B63" i="263" s="1"/>
  <c r="B72" i="252"/>
  <c r="B82" i="262" s="1"/>
  <c r="B82" i="263" s="1"/>
  <c r="J47" i="262"/>
  <c r="K47" i="262"/>
  <c r="B42" i="252"/>
  <c r="B52" i="262" s="1"/>
  <c r="B52" i="263" s="1"/>
  <c r="B65" i="252"/>
  <c r="B75" i="262" s="1"/>
  <c r="B75" i="263" s="1"/>
  <c r="J86" i="263"/>
  <c r="I86" i="263"/>
  <c r="C76" i="255"/>
  <c r="J48" i="262"/>
  <c r="K48" i="262"/>
  <c r="Y65" i="248"/>
  <c r="X65" i="248"/>
  <c r="B52" i="252"/>
  <c r="B62" i="262" s="1"/>
  <c r="B62" i="263" s="1"/>
  <c r="B43" i="252"/>
  <c r="B53" i="262" s="1"/>
  <c r="B53" i="263" s="1"/>
  <c r="K73" i="262"/>
  <c r="J73" i="262"/>
  <c r="J49" i="262"/>
  <c r="K49" i="262"/>
  <c r="J101" i="262"/>
  <c r="K101" i="262"/>
  <c r="Y95" i="248"/>
  <c r="X95" i="248"/>
  <c r="J103" i="262"/>
  <c r="K103" i="262"/>
  <c r="I68" i="263"/>
  <c r="J68" i="263"/>
  <c r="C58" i="255"/>
  <c r="B68" i="252"/>
  <c r="B78" i="262" s="1"/>
  <c r="B78" i="263" s="1"/>
  <c r="B59" i="252"/>
  <c r="B69" i="262" s="1"/>
  <c r="B69" i="263" s="1"/>
  <c r="B81" i="252"/>
  <c r="B91" i="262" s="1"/>
  <c r="B91" i="263" s="1"/>
  <c r="J87" i="262"/>
  <c r="K87" i="262"/>
  <c r="K95" i="262"/>
  <c r="J95" i="262"/>
  <c r="K38" i="262"/>
  <c r="J38" i="262"/>
  <c r="K98" i="262"/>
  <c r="J98" i="262"/>
  <c r="K60" i="262"/>
  <c r="J60" i="262"/>
  <c r="B82" i="252"/>
  <c r="B92" i="262" s="1"/>
  <c r="B92" i="263" s="1"/>
  <c r="B49" i="252"/>
  <c r="B59" i="262" s="1"/>
  <c r="B59" i="263" s="1"/>
  <c r="K102" i="262"/>
  <c r="J102" i="262"/>
  <c r="J84" i="262"/>
  <c r="K84" i="262"/>
  <c r="Y43" i="248"/>
  <c r="X43" i="248"/>
  <c r="I96" i="263"/>
  <c r="J96" i="263"/>
  <c r="C86" i="255"/>
  <c r="J88" i="262"/>
  <c r="K88" i="262"/>
  <c r="X49" i="248"/>
  <c r="Y49" i="248"/>
  <c r="Y84" i="248"/>
  <c r="X84" i="248"/>
  <c r="X51" i="248"/>
  <c r="Y51" i="248"/>
  <c r="J89" i="262"/>
  <c r="K89" i="262"/>
  <c r="B80" i="252"/>
  <c r="B90" i="262" s="1"/>
  <c r="B90" i="263" s="1"/>
  <c r="J35" i="262"/>
  <c r="K35" i="262"/>
  <c r="B70" i="252"/>
  <c r="B80" i="262" s="1"/>
  <c r="B80" i="263" s="1"/>
  <c r="B33" i="252"/>
  <c r="B43" i="262" s="1"/>
  <c r="B43" i="263" s="1"/>
  <c r="B24" i="252"/>
  <c r="B34" i="262" s="1"/>
  <c r="B34" i="263" s="1"/>
  <c r="K65" i="262"/>
  <c r="J65" i="262"/>
  <c r="B45" i="252"/>
  <c r="B55" i="262" s="1"/>
  <c r="B55" i="263" s="1"/>
  <c r="K104" i="262"/>
  <c r="J104" i="262"/>
  <c r="B51" i="252"/>
  <c r="B61" i="262" s="1"/>
  <c r="B61" i="263" s="1"/>
  <c r="J74" i="263"/>
  <c r="I74" i="263"/>
  <c r="C64" i="255"/>
  <c r="B48" i="252"/>
  <c r="B58" i="262" s="1"/>
  <c r="B58" i="263" s="1"/>
  <c r="B99" i="252"/>
  <c r="B109" i="262" s="1"/>
  <c r="B109" i="263" s="1"/>
  <c r="B87" i="252"/>
  <c r="B97" i="262" s="1"/>
  <c r="B97" i="263" s="1"/>
  <c r="B73" i="252"/>
  <c r="B83" i="262" s="1"/>
  <c r="B83" i="263" s="1"/>
  <c r="B47" i="252"/>
  <c r="B57" i="262" s="1"/>
  <c r="B57" i="263" s="1"/>
  <c r="B90" i="252"/>
  <c r="B100" i="262" s="1"/>
  <c r="B100" i="263" s="1"/>
  <c r="B62" i="252"/>
  <c r="B72" i="262" s="1"/>
  <c r="B72" i="263" s="1"/>
  <c r="Y61" i="248"/>
  <c r="X61" i="248"/>
  <c r="B22" i="252"/>
  <c r="B32" i="262" s="1"/>
  <c r="B32" i="263" s="1"/>
  <c r="B40" i="252"/>
  <c r="B50" i="262" s="1"/>
  <c r="B50" i="263" s="1"/>
  <c r="B83" i="252"/>
  <c r="B93" i="262" s="1"/>
  <c r="B93" i="263" s="1"/>
  <c r="B35" i="252"/>
  <c r="B45" i="262" s="1"/>
  <c r="B45" i="263" s="1"/>
  <c r="C29" i="255"/>
  <c r="J39" i="263"/>
  <c r="I39" i="263"/>
  <c r="J37" i="262"/>
  <c r="K37" i="262"/>
  <c r="B57" i="252"/>
  <c r="B67" i="262" s="1"/>
  <c r="B67" i="263" s="1"/>
  <c r="B89" i="252"/>
  <c r="B99" i="262" s="1"/>
  <c r="B99" i="263" s="1"/>
  <c r="B41" i="252"/>
  <c r="B51" i="262" s="1"/>
  <c r="B51" i="263" s="1"/>
  <c r="B54" i="252"/>
  <c r="B64" i="262" s="1"/>
  <c r="B64" i="263" s="1"/>
  <c r="B31" i="252"/>
  <c r="B41" i="262" s="1"/>
  <c r="B41" i="263" s="1"/>
  <c r="J40" i="262"/>
  <c r="K40" i="262"/>
  <c r="K79" i="262"/>
  <c r="J79" i="262"/>
  <c r="B44" i="252"/>
  <c r="B54" i="262" s="1"/>
  <c r="B54" i="263" s="1"/>
  <c r="X81" i="248"/>
  <c r="Y81" i="248"/>
  <c r="B95" i="252"/>
  <c r="B105" i="262" s="1"/>
  <c r="B105" i="263" s="1"/>
  <c r="B84" i="252"/>
  <c r="B94" i="262" s="1"/>
  <c r="B94" i="263" s="1"/>
  <c r="Y24" i="248"/>
  <c r="X24" i="248"/>
  <c r="K76" i="262" l="1"/>
  <c r="J76" i="262"/>
  <c r="L79" i="262"/>
  <c r="L98" i="262"/>
  <c r="L95" i="262"/>
  <c r="L49" i="262"/>
  <c r="L47" i="262"/>
  <c r="L44" i="262"/>
  <c r="L101" i="262"/>
  <c r="L84" i="262"/>
  <c r="K39" i="263"/>
  <c r="K86" i="263"/>
  <c r="L40" i="262"/>
  <c r="K96" i="263"/>
  <c r="L60" i="262"/>
  <c r="K36" i="263"/>
  <c r="L104" i="262"/>
  <c r="L89" i="262"/>
  <c r="L103" i="262"/>
  <c r="L37" i="262"/>
  <c r="L73" i="262"/>
  <c r="K74" i="263"/>
  <c r="L35" i="262"/>
  <c r="L88" i="262"/>
  <c r="L48" i="262"/>
  <c r="L33" i="262"/>
  <c r="L65" i="262"/>
  <c r="L102" i="262"/>
  <c r="L38" i="262"/>
  <c r="L87" i="262"/>
  <c r="K68" i="263"/>
  <c r="I79" i="263"/>
  <c r="J79" i="263"/>
  <c r="C69" i="255"/>
  <c r="K32" i="262"/>
  <c r="J32" i="262"/>
  <c r="J78" i="262"/>
  <c r="K78" i="262"/>
  <c r="J63" i="262"/>
  <c r="K63" i="262"/>
  <c r="K58" i="262"/>
  <c r="J58" i="262"/>
  <c r="J55" i="262"/>
  <c r="K55" i="262"/>
  <c r="I60" i="263"/>
  <c r="J60" i="263"/>
  <c r="C50" i="255"/>
  <c r="I101" i="263"/>
  <c r="J101" i="263"/>
  <c r="C91" i="255"/>
  <c r="I48" i="263"/>
  <c r="J48" i="263"/>
  <c r="C38" i="255"/>
  <c r="J52" i="262"/>
  <c r="K52" i="262"/>
  <c r="J46" i="262"/>
  <c r="K46" i="262"/>
  <c r="I33" i="263"/>
  <c r="C23" i="255"/>
  <c r="J33" i="263"/>
  <c r="J106" i="262"/>
  <c r="K106" i="262"/>
  <c r="J105" i="262"/>
  <c r="K105" i="262"/>
  <c r="J37" i="263"/>
  <c r="I37" i="263"/>
  <c r="C27" i="255"/>
  <c r="K91" i="262"/>
  <c r="J91" i="262"/>
  <c r="I103" i="263"/>
  <c r="J103" i="263"/>
  <c r="C93" i="255"/>
  <c r="K97" i="262"/>
  <c r="J97" i="262"/>
  <c r="K43" i="262"/>
  <c r="J43" i="262"/>
  <c r="I89" i="263"/>
  <c r="J89" i="263"/>
  <c r="C79" i="255"/>
  <c r="J51" i="262"/>
  <c r="K51" i="262"/>
  <c r="J45" i="262"/>
  <c r="K45" i="262"/>
  <c r="J93" i="262"/>
  <c r="K93" i="262"/>
  <c r="K100" i="262"/>
  <c r="J100" i="262"/>
  <c r="J34" i="262"/>
  <c r="K34" i="262"/>
  <c r="J35" i="263"/>
  <c r="I35" i="263"/>
  <c r="C25" i="255"/>
  <c r="J90" i="262"/>
  <c r="K90" i="262"/>
  <c r="J88" i="263"/>
  <c r="I88" i="263"/>
  <c r="C78" i="255"/>
  <c r="D86" i="255"/>
  <c r="B86" i="255"/>
  <c r="C86" i="256"/>
  <c r="J84" i="263"/>
  <c r="I84" i="263"/>
  <c r="C74" i="255"/>
  <c r="K92" i="262"/>
  <c r="J92" i="262"/>
  <c r="J98" i="263"/>
  <c r="I98" i="263"/>
  <c r="C88" i="255"/>
  <c r="K69" i="262"/>
  <c r="J69" i="262"/>
  <c r="D58" i="255"/>
  <c r="B58" i="255"/>
  <c r="C58" i="256"/>
  <c r="K62" i="262"/>
  <c r="J62" i="262"/>
  <c r="K82" i="262"/>
  <c r="J82" i="262"/>
  <c r="J85" i="262"/>
  <c r="K85" i="262"/>
  <c r="J77" i="262"/>
  <c r="K77" i="262"/>
  <c r="C34" i="255"/>
  <c r="I44" i="263"/>
  <c r="J44" i="263"/>
  <c r="J64" i="262"/>
  <c r="K64" i="262"/>
  <c r="K99" i="262"/>
  <c r="J99" i="262"/>
  <c r="B29" i="255"/>
  <c r="D29" i="255"/>
  <c r="C29" i="256"/>
  <c r="J72" i="262"/>
  <c r="K72" i="262"/>
  <c r="K57" i="262"/>
  <c r="J57" i="262"/>
  <c r="J49" i="263"/>
  <c r="I49" i="263"/>
  <c r="C39" i="255"/>
  <c r="K53" i="262"/>
  <c r="J53" i="262"/>
  <c r="J59" i="262"/>
  <c r="K59" i="262"/>
  <c r="J94" i="262"/>
  <c r="K94" i="262"/>
  <c r="K54" i="262"/>
  <c r="J54" i="262"/>
  <c r="K41" i="262"/>
  <c r="J41" i="262"/>
  <c r="K67" i="262"/>
  <c r="J67" i="262"/>
  <c r="C30" i="255"/>
  <c r="I40" i="263"/>
  <c r="J40" i="263"/>
  <c r="K50" i="262"/>
  <c r="J50" i="262"/>
  <c r="K83" i="262"/>
  <c r="J83" i="262"/>
  <c r="K109" i="262"/>
  <c r="J109" i="262"/>
  <c r="D64" i="255"/>
  <c r="B64" i="255"/>
  <c r="C64" i="256"/>
  <c r="J61" i="262"/>
  <c r="K61" i="262"/>
  <c r="J104" i="263"/>
  <c r="I104" i="263"/>
  <c r="C94" i="255"/>
  <c r="I65" i="263"/>
  <c r="J65" i="263"/>
  <c r="C55" i="255"/>
  <c r="J80" i="262"/>
  <c r="K80" i="262"/>
  <c r="I102" i="263"/>
  <c r="J102" i="263"/>
  <c r="C92" i="255"/>
  <c r="I38" i="263"/>
  <c r="J38" i="263"/>
  <c r="C28" i="255"/>
  <c r="I95" i="263"/>
  <c r="J95" i="263"/>
  <c r="C85" i="255"/>
  <c r="J87" i="263"/>
  <c r="I87" i="263"/>
  <c r="C77" i="255"/>
  <c r="J73" i="263"/>
  <c r="I73" i="263"/>
  <c r="C63" i="255"/>
  <c r="D76" i="255"/>
  <c r="B76" i="255"/>
  <c r="C76" i="256"/>
  <c r="J75" i="262"/>
  <c r="K75" i="262"/>
  <c r="C37" i="255"/>
  <c r="I47" i="263"/>
  <c r="J47" i="263"/>
  <c r="J66" i="262"/>
  <c r="K66" i="262"/>
  <c r="K81" i="262"/>
  <c r="J81" i="262"/>
  <c r="J71" i="262"/>
  <c r="K71" i="262"/>
  <c r="D26" i="255"/>
  <c r="B26" i="255"/>
  <c r="C26" i="256"/>
  <c r="C26" i="257" l="1"/>
  <c r="G26" i="256"/>
  <c r="C86" i="257"/>
  <c r="G86" i="256"/>
  <c r="C29" i="257"/>
  <c r="G29" i="256"/>
  <c r="C76" i="257"/>
  <c r="G76" i="256"/>
  <c r="C64" i="257"/>
  <c r="G64" i="256"/>
  <c r="C58" i="257"/>
  <c r="G58" i="256"/>
  <c r="J76" i="263"/>
  <c r="I76" i="263"/>
  <c r="C66" i="255"/>
  <c r="L76" i="262"/>
  <c r="L92" i="262"/>
  <c r="L62" i="262"/>
  <c r="L45" i="262"/>
  <c r="L41" i="262"/>
  <c r="L64" i="262"/>
  <c r="L99" i="262"/>
  <c r="L58" i="262"/>
  <c r="L83" i="262"/>
  <c r="L43" i="262"/>
  <c r="K101" i="263"/>
  <c r="L85" i="262"/>
  <c r="K98" i="263"/>
  <c r="L93" i="262"/>
  <c r="L55" i="262"/>
  <c r="K60" i="263"/>
  <c r="K103" i="263"/>
  <c r="L90" i="262"/>
  <c r="L54" i="262"/>
  <c r="K35" i="263"/>
  <c r="K38" i="263"/>
  <c r="L34" i="262"/>
  <c r="L71" i="262"/>
  <c r="L80" i="262"/>
  <c r="K40" i="263"/>
  <c r="L105" i="262"/>
  <c r="L66" i="262"/>
  <c r="L63" i="262"/>
  <c r="L59" i="262"/>
  <c r="L81" i="262"/>
  <c r="K102" i="263"/>
  <c r="K65" i="263"/>
  <c r="K84" i="263"/>
  <c r="K47" i="263"/>
  <c r="L53" i="262"/>
  <c r="L82" i="262"/>
  <c r="L97" i="262"/>
  <c r="K37" i="263"/>
  <c r="K89" i="263"/>
  <c r="K48" i="263"/>
  <c r="L78" i="262"/>
  <c r="L57" i="262"/>
  <c r="L72" i="262"/>
  <c r="L91" i="262"/>
  <c r="L67" i="262"/>
  <c r="K49" i="263"/>
  <c r="K87" i="263"/>
  <c r="K44" i="263"/>
  <c r="L100" i="262"/>
  <c r="L75" i="262"/>
  <c r="K73" i="263"/>
  <c r="K95" i="263"/>
  <c r="K104" i="263"/>
  <c r="L61" i="262"/>
  <c r="L109" i="262"/>
  <c r="L50" i="262"/>
  <c r="L94" i="262"/>
  <c r="L77" i="262"/>
  <c r="L69" i="262"/>
  <c r="K88" i="263"/>
  <c r="L51" i="262"/>
  <c r="L106" i="262"/>
  <c r="K33" i="263"/>
  <c r="L46" i="262"/>
  <c r="L52" i="262"/>
  <c r="L32" i="262"/>
  <c r="K79" i="263"/>
  <c r="J71" i="263"/>
  <c r="I71" i="263"/>
  <c r="C61" i="255"/>
  <c r="J81" i="263"/>
  <c r="I81" i="263"/>
  <c r="C71" i="255"/>
  <c r="D92" i="255"/>
  <c r="B92" i="255"/>
  <c r="C92" i="256"/>
  <c r="B64" i="256"/>
  <c r="D30" i="255"/>
  <c r="B30" i="255"/>
  <c r="C30" i="256"/>
  <c r="J57" i="263"/>
  <c r="I57" i="263"/>
  <c r="C47" i="255"/>
  <c r="I64" i="263"/>
  <c r="J64" i="263"/>
  <c r="C54" i="255"/>
  <c r="D34" i="255"/>
  <c r="B34" i="255"/>
  <c r="C34" i="256"/>
  <c r="J77" i="263"/>
  <c r="I77" i="263"/>
  <c r="C67" i="255"/>
  <c r="I97" i="263"/>
  <c r="J97" i="263"/>
  <c r="C87" i="255"/>
  <c r="J105" i="263"/>
  <c r="I105" i="263"/>
  <c r="C95" i="255"/>
  <c r="I106" i="263"/>
  <c r="J106" i="263"/>
  <c r="C96" i="255"/>
  <c r="D50" i="255"/>
  <c r="B50" i="255"/>
  <c r="C50" i="256"/>
  <c r="I58" i="263"/>
  <c r="J58" i="263"/>
  <c r="C48" i="255"/>
  <c r="J63" i="263"/>
  <c r="I63" i="263"/>
  <c r="C53" i="255"/>
  <c r="D69" i="255"/>
  <c r="B69" i="255"/>
  <c r="C69" i="256"/>
  <c r="J66" i="263"/>
  <c r="I66" i="263"/>
  <c r="C56" i="255"/>
  <c r="J80" i="263"/>
  <c r="I80" i="263"/>
  <c r="C70" i="255"/>
  <c r="J67" i="263"/>
  <c r="I67" i="263"/>
  <c r="C57" i="255"/>
  <c r="I54" i="263"/>
  <c r="J54" i="263"/>
  <c r="C44" i="255"/>
  <c r="J82" i="263"/>
  <c r="I82" i="263"/>
  <c r="C72" i="255"/>
  <c r="B58" i="256"/>
  <c r="B78" i="255"/>
  <c r="D78" i="255"/>
  <c r="C78" i="256"/>
  <c r="D79" i="255"/>
  <c r="B79" i="255"/>
  <c r="C79" i="256"/>
  <c r="J43" i="263"/>
  <c r="I43" i="263"/>
  <c r="C33" i="255"/>
  <c r="B27" i="255"/>
  <c r="D27" i="255"/>
  <c r="C27" i="256"/>
  <c r="I78" i="263"/>
  <c r="J78" i="263"/>
  <c r="C68" i="255"/>
  <c r="B37" i="255"/>
  <c r="D37" i="255"/>
  <c r="C37" i="256"/>
  <c r="I75" i="263"/>
  <c r="J75" i="263"/>
  <c r="C65" i="255"/>
  <c r="B63" i="255"/>
  <c r="D63" i="255"/>
  <c r="C63" i="256"/>
  <c r="D77" i="255"/>
  <c r="B77" i="255"/>
  <c r="C77" i="256"/>
  <c r="B85" i="255"/>
  <c r="D85" i="255"/>
  <c r="C85" i="256"/>
  <c r="B28" i="255"/>
  <c r="D28" i="255"/>
  <c r="C28" i="256"/>
  <c r="D94" i="255"/>
  <c r="B94" i="255"/>
  <c r="C94" i="256"/>
  <c r="I109" i="263"/>
  <c r="J109" i="263"/>
  <c r="C99" i="255"/>
  <c r="C31" i="255"/>
  <c r="J41" i="263"/>
  <c r="I41" i="263"/>
  <c r="I59" i="263"/>
  <c r="J59" i="263"/>
  <c r="C49" i="255"/>
  <c r="I53" i="263"/>
  <c r="J53" i="263"/>
  <c r="C43" i="255"/>
  <c r="I72" i="263"/>
  <c r="J72" i="263"/>
  <c r="C62" i="255"/>
  <c r="B29" i="256"/>
  <c r="I62" i="263"/>
  <c r="J62" i="263"/>
  <c r="C52" i="255"/>
  <c r="J69" i="263"/>
  <c r="I69" i="263"/>
  <c r="C59" i="255"/>
  <c r="D88" i="255"/>
  <c r="B88" i="255"/>
  <c r="C88" i="256"/>
  <c r="I90" i="263"/>
  <c r="J90" i="263"/>
  <c r="C80" i="255"/>
  <c r="D25" i="255"/>
  <c r="B25" i="255"/>
  <c r="C25" i="256"/>
  <c r="I45" i="263"/>
  <c r="J45" i="263"/>
  <c r="C35" i="255"/>
  <c r="D93" i="255"/>
  <c r="B93" i="255"/>
  <c r="C93" i="256"/>
  <c r="J52" i="263"/>
  <c r="I52" i="263"/>
  <c r="C42" i="255"/>
  <c r="I55" i="263"/>
  <c r="J55" i="263"/>
  <c r="C45" i="255"/>
  <c r="I32" i="263"/>
  <c r="J32" i="263"/>
  <c r="C22" i="255"/>
  <c r="B26" i="256"/>
  <c r="B76" i="256"/>
  <c r="D55" i="255"/>
  <c r="B55" i="255"/>
  <c r="C55" i="256"/>
  <c r="J61" i="263"/>
  <c r="I61" i="263"/>
  <c r="C51" i="255"/>
  <c r="I83" i="263"/>
  <c r="J83" i="263"/>
  <c r="C73" i="255"/>
  <c r="C40" i="255"/>
  <c r="J50" i="263"/>
  <c r="I50" i="263"/>
  <c r="J94" i="263"/>
  <c r="I94" i="263"/>
  <c r="C84" i="255"/>
  <c r="B39" i="255"/>
  <c r="D39" i="255"/>
  <c r="C39" i="256"/>
  <c r="I99" i="263"/>
  <c r="J99" i="263"/>
  <c r="C89" i="255"/>
  <c r="J85" i="263"/>
  <c r="I85" i="263"/>
  <c r="C75" i="255"/>
  <c r="I92" i="263"/>
  <c r="J92" i="263"/>
  <c r="C82" i="255"/>
  <c r="B74" i="255"/>
  <c r="D74" i="255"/>
  <c r="C74" i="256"/>
  <c r="B86" i="256"/>
  <c r="C24" i="255"/>
  <c r="J34" i="263"/>
  <c r="I34" i="263"/>
  <c r="J100" i="263"/>
  <c r="I100" i="263"/>
  <c r="C90" i="255"/>
  <c r="J93" i="263"/>
  <c r="I93" i="263"/>
  <c r="C83" i="255"/>
  <c r="J51" i="263"/>
  <c r="I51" i="263"/>
  <c r="C41" i="255"/>
  <c r="J91" i="263"/>
  <c r="I91" i="263"/>
  <c r="C81" i="255"/>
  <c r="D23" i="255"/>
  <c r="B23" i="255"/>
  <c r="C23" i="256"/>
  <c r="I46" i="263"/>
  <c r="J46" i="263"/>
  <c r="C36" i="255"/>
  <c r="B38" i="255"/>
  <c r="D38" i="255"/>
  <c r="C38" i="256"/>
  <c r="B91" i="255"/>
  <c r="D91" i="255"/>
  <c r="C91" i="256"/>
  <c r="G86" i="257" l="1"/>
  <c r="F86" i="246"/>
  <c r="BD86" i="246" s="1"/>
  <c r="G76" i="257"/>
  <c r="F76" i="246"/>
  <c r="BD76" i="246" s="1"/>
  <c r="G64" i="257"/>
  <c r="F64" i="246"/>
  <c r="BD64" i="246" s="1"/>
  <c r="G58" i="257"/>
  <c r="F58" i="246"/>
  <c r="BD58" i="246" s="1"/>
  <c r="G29" i="257"/>
  <c r="F29" i="246"/>
  <c r="BD29" i="246" s="1"/>
  <c r="G26" i="257"/>
  <c r="F26" i="246"/>
  <c r="BD26" i="246" s="1"/>
  <c r="C94" i="257"/>
  <c r="G94" i="256"/>
  <c r="C63" i="257"/>
  <c r="G63" i="256"/>
  <c r="C27" i="257"/>
  <c r="G27" i="256"/>
  <c r="C69" i="257"/>
  <c r="G69" i="256"/>
  <c r="C34" i="257"/>
  <c r="G34" i="256"/>
  <c r="C38" i="257"/>
  <c r="G38" i="256"/>
  <c r="C55" i="257"/>
  <c r="G55" i="256"/>
  <c r="C25" i="257"/>
  <c r="G25" i="256"/>
  <c r="C77" i="257"/>
  <c r="G77" i="256"/>
  <c r="C78" i="257"/>
  <c r="G78" i="256"/>
  <c r="C50" i="257"/>
  <c r="G50" i="256"/>
  <c r="C30" i="257"/>
  <c r="G30" i="256"/>
  <c r="C92" i="257"/>
  <c r="G92" i="256"/>
  <c r="C91" i="257"/>
  <c r="G91" i="256"/>
  <c r="C74" i="257"/>
  <c r="G74" i="256"/>
  <c r="C39" i="257"/>
  <c r="G39" i="256"/>
  <c r="C85" i="257"/>
  <c r="G85" i="256"/>
  <c r="C37" i="257"/>
  <c r="G37" i="256"/>
  <c r="C79" i="257"/>
  <c r="G79" i="256"/>
  <c r="C23" i="257"/>
  <c r="G23" i="256"/>
  <c r="C93" i="257"/>
  <c r="G93" i="256"/>
  <c r="C88" i="257"/>
  <c r="G88" i="256"/>
  <c r="C28" i="257"/>
  <c r="G28" i="256"/>
  <c r="D66" i="255"/>
  <c r="B66" i="255"/>
  <c r="C66" i="256"/>
  <c r="K76" i="263"/>
  <c r="K45" i="263"/>
  <c r="K92" i="263"/>
  <c r="K58" i="263"/>
  <c r="K99" i="263"/>
  <c r="K62" i="263"/>
  <c r="K41" i="263"/>
  <c r="K64" i="263"/>
  <c r="K83" i="263"/>
  <c r="K69" i="263"/>
  <c r="K67" i="263"/>
  <c r="K90" i="263"/>
  <c r="K94" i="263"/>
  <c r="K91" i="263"/>
  <c r="K46" i="263"/>
  <c r="K53" i="263"/>
  <c r="K72" i="263"/>
  <c r="K34" i="263"/>
  <c r="K61" i="263"/>
  <c r="K75" i="263"/>
  <c r="K105" i="263"/>
  <c r="K100" i="263"/>
  <c r="K93" i="263"/>
  <c r="K77" i="263"/>
  <c r="K59" i="263"/>
  <c r="K54" i="263"/>
  <c r="K66" i="263"/>
  <c r="K81" i="263"/>
  <c r="K71" i="263"/>
  <c r="K50" i="263"/>
  <c r="K55" i="263"/>
  <c r="K82" i="263"/>
  <c r="K85" i="263"/>
  <c r="K32" i="263"/>
  <c r="K43" i="263"/>
  <c r="K80" i="263"/>
  <c r="K51" i="263"/>
  <c r="K106" i="263"/>
  <c r="K52" i="263"/>
  <c r="K109" i="263"/>
  <c r="K78" i="263"/>
  <c r="K63" i="263"/>
  <c r="K97" i="263"/>
  <c r="K57" i="263"/>
  <c r="D81" i="255"/>
  <c r="B81" i="255"/>
  <c r="C81" i="256"/>
  <c r="B91" i="256"/>
  <c r="B86" i="257"/>
  <c r="D75" i="255"/>
  <c r="B75" i="255"/>
  <c r="C75" i="256"/>
  <c r="B89" i="255"/>
  <c r="D89" i="255"/>
  <c r="C89" i="256"/>
  <c r="B39" i="256"/>
  <c r="B84" i="255"/>
  <c r="D84" i="255"/>
  <c r="C84" i="256"/>
  <c r="D22" i="255"/>
  <c r="B22" i="255"/>
  <c r="C22" i="256"/>
  <c r="D45" i="255"/>
  <c r="B45" i="255"/>
  <c r="C45" i="256"/>
  <c r="B29" i="257"/>
  <c r="B49" i="255"/>
  <c r="D49" i="255"/>
  <c r="C49" i="256"/>
  <c r="D31" i="255"/>
  <c r="B31" i="255"/>
  <c r="C31" i="256"/>
  <c r="B28" i="256"/>
  <c r="B77" i="256"/>
  <c r="B63" i="256"/>
  <c r="D65" i="255"/>
  <c r="B65" i="255"/>
  <c r="C65" i="256"/>
  <c r="B72" i="255"/>
  <c r="D72" i="255"/>
  <c r="C72" i="256"/>
  <c r="B44" i="255"/>
  <c r="D44" i="255"/>
  <c r="C44" i="256"/>
  <c r="D57" i="255"/>
  <c r="B57" i="255"/>
  <c r="C57" i="256"/>
  <c r="B87" i="255"/>
  <c r="D87" i="255"/>
  <c r="C87" i="256"/>
  <c r="B92" i="256"/>
  <c r="D36" i="255"/>
  <c r="B36" i="255"/>
  <c r="C36" i="256"/>
  <c r="B74" i="256"/>
  <c r="B23" i="256"/>
  <c r="B40" i="255"/>
  <c r="D40" i="255"/>
  <c r="C40" i="256"/>
  <c r="B76" i="257"/>
  <c r="B35" i="255"/>
  <c r="D35" i="255"/>
  <c r="C35" i="256"/>
  <c r="B59" i="255"/>
  <c r="D59" i="255"/>
  <c r="C59" i="256"/>
  <c r="D52" i="255"/>
  <c r="B52" i="255"/>
  <c r="C52" i="256"/>
  <c r="D62" i="255"/>
  <c r="B62" i="255"/>
  <c r="C62" i="256"/>
  <c r="D43" i="255"/>
  <c r="B43" i="255"/>
  <c r="C43" i="256"/>
  <c r="B99" i="255"/>
  <c r="D99" i="255"/>
  <c r="C99" i="256"/>
  <c r="B94" i="256"/>
  <c r="B85" i="256"/>
  <c r="B37" i="256"/>
  <c r="B27" i="256"/>
  <c r="B50" i="256"/>
  <c r="B64" i="257"/>
  <c r="B38" i="256"/>
  <c r="D41" i="255"/>
  <c r="B41" i="255"/>
  <c r="C41" i="256"/>
  <c r="D83" i="255"/>
  <c r="B83" i="255"/>
  <c r="C83" i="256"/>
  <c r="D90" i="255"/>
  <c r="B90" i="255"/>
  <c r="C90" i="256"/>
  <c r="B24" i="255"/>
  <c r="D24" i="255"/>
  <c r="C24" i="256"/>
  <c r="B26" i="257"/>
  <c r="B93" i="256"/>
  <c r="B25" i="256"/>
  <c r="B80" i="255"/>
  <c r="D80" i="255"/>
  <c r="C80" i="256"/>
  <c r="B88" i="256"/>
  <c r="D33" i="255"/>
  <c r="B33" i="255"/>
  <c r="C33" i="256"/>
  <c r="B79" i="256"/>
  <c r="D70" i="255"/>
  <c r="B70" i="255"/>
  <c r="C70" i="256"/>
  <c r="D56" i="255"/>
  <c r="B56" i="255"/>
  <c r="C56" i="256"/>
  <c r="B69" i="256"/>
  <c r="D53" i="255"/>
  <c r="B53" i="255"/>
  <c r="C53" i="256"/>
  <c r="B48" i="255"/>
  <c r="D48" i="255"/>
  <c r="C48" i="256"/>
  <c r="B82" i="255"/>
  <c r="D82" i="255"/>
  <c r="C82" i="256"/>
  <c r="D73" i="255"/>
  <c r="B73" i="255"/>
  <c r="C73" i="256"/>
  <c r="B51" i="255"/>
  <c r="D51" i="255"/>
  <c r="C51" i="256"/>
  <c r="B55" i="256"/>
  <c r="D42" i="255"/>
  <c r="B42" i="255"/>
  <c r="C42" i="256"/>
  <c r="D68" i="255"/>
  <c r="B68" i="255"/>
  <c r="C68" i="256"/>
  <c r="B78" i="256"/>
  <c r="B58" i="257"/>
  <c r="B96" i="255"/>
  <c r="D96" i="255"/>
  <c r="C96" i="256"/>
  <c r="B95" i="255"/>
  <c r="D95" i="255"/>
  <c r="C95" i="256"/>
  <c r="B67" i="255"/>
  <c r="D67" i="255"/>
  <c r="C67" i="256"/>
  <c r="B34" i="256"/>
  <c r="D54" i="255"/>
  <c r="B54" i="255"/>
  <c r="C54" i="256"/>
  <c r="B47" i="255"/>
  <c r="D47" i="255"/>
  <c r="C47" i="256"/>
  <c r="B30" i="256"/>
  <c r="D71" i="255"/>
  <c r="B71" i="255"/>
  <c r="C71" i="256"/>
  <c r="B61" i="255"/>
  <c r="D61" i="255"/>
  <c r="C61" i="256"/>
  <c r="G94" i="257" l="1"/>
  <c r="F94" i="246"/>
  <c r="BD94" i="246" s="1"/>
  <c r="G93" i="257"/>
  <c r="F93" i="246"/>
  <c r="BD93" i="246" s="1"/>
  <c r="G92" i="257"/>
  <c r="F92" i="246"/>
  <c r="BD92" i="246" s="1"/>
  <c r="G91" i="257"/>
  <c r="F91" i="246"/>
  <c r="BD91" i="246" s="1"/>
  <c r="G88" i="257"/>
  <c r="F88" i="246"/>
  <c r="BD88" i="246" s="1"/>
  <c r="G85" i="257"/>
  <c r="F85" i="246"/>
  <c r="BD85" i="246" s="1"/>
  <c r="G79" i="257"/>
  <c r="F79" i="246"/>
  <c r="BD79" i="246" s="1"/>
  <c r="G78" i="257"/>
  <c r="F78" i="246"/>
  <c r="BD78" i="246" s="1"/>
  <c r="G77" i="257"/>
  <c r="F77" i="246"/>
  <c r="BD77" i="246" s="1"/>
  <c r="G74" i="257"/>
  <c r="F74" i="246"/>
  <c r="BD74" i="246" s="1"/>
  <c r="G69" i="257"/>
  <c r="F69" i="246"/>
  <c r="BD69" i="246" s="1"/>
  <c r="G63" i="257"/>
  <c r="F63" i="246"/>
  <c r="BD63" i="246" s="1"/>
  <c r="G55" i="257"/>
  <c r="F55" i="246"/>
  <c r="BD55" i="246" s="1"/>
  <c r="G50" i="257"/>
  <c r="F50" i="246"/>
  <c r="BD50" i="246" s="1"/>
  <c r="G39" i="257"/>
  <c r="F39" i="246"/>
  <c r="BD39" i="246" s="1"/>
  <c r="G38" i="257"/>
  <c r="F38" i="246"/>
  <c r="BD38" i="246" s="1"/>
  <c r="G37" i="257"/>
  <c r="F37" i="246"/>
  <c r="BD37" i="246" s="1"/>
  <c r="G34" i="257"/>
  <c r="F34" i="246"/>
  <c r="BD34" i="246" s="1"/>
  <c r="G30" i="257"/>
  <c r="F30" i="246"/>
  <c r="BD30" i="246" s="1"/>
  <c r="G28" i="257"/>
  <c r="F28" i="246"/>
  <c r="BD28" i="246" s="1"/>
  <c r="G27" i="257"/>
  <c r="F27" i="246"/>
  <c r="BD27" i="246" s="1"/>
  <c r="G25" i="257"/>
  <c r="F25" i="246"/>
  <c r="BD25" i="246" s="1"/>
  <c r="G23" i="257"/>
  <c r="F23" i="246"/>
  <c r="BD23" i="246" s="1"/>
  <c r="C71" i="257"/>
  <c r="G71" i="256"/>
  <c r="C73" i="257"/>
  <c r="G73" i="256"/>
  <c r="C70" i="257"/>
  <c r="G70" i="256"/>
  <c r="C33" i="257"/>
  <c r="G33" i="256"/>
  <c r="C80" i="257"/>
  <c r="G80" i="256"/>
  <c r="C83" i="257"/>
  <c r="G83" i="256"/>
  <c r="C43" i="257"/>
  <c r="G43" i="256"/>
  <c r="C35" i="257"/>
  <c r="G35" i="256"/>
  <c r="C40" i="257"/>
  <c r="G40" i="256"/>
  <c r="C57" i="257"/>
  <c r="G57" i="256"/>
  <c r="C84" i="257"/>
  <c r="G84" i="256"/>
  <c r="C89" i="257"/>
  <c r="G89" i="256"/>
  <c r="C81" i="257"/>
  <c r="G81" i="256"/>
  <c r="C96" i="257"/>
  <c r="G96" i="256"/>
  <c r="C42" i="257"/>
  <c r="G42" i="256"/>
  <c r="C51" i="257"/>
  <c r="G51" i="256"/>
  <c r="C53" i="257"/>
  <c r="G53" i="256"/>
  <c r="C56" i="257"/>
  <c r="G56" i="256"/>
  <c r="C90" i="257"/>
  <c r="G90" i="256"/>
  <c r="C99" i="257"/>
  <c r="G99" i="256"/>
  <c r="C59" i="257"/>
  <c r="G59" i="256"/>
  <c r="C36" i="257"/>
  <c r="G36" i="256"/>
  <c r="C87" i="257"/>
  <c r="G87" i="256"/>
  <c r="C65" i="257"/>
  <c r="G65" i="256"/>
  <c r="C22" i="257"/>
  <c r="G22" i="256"/>
  <c r="C47" i="257"/>
  <c r="G47" i="256"/>
  <c r="C61" i="257"/>
  <c r="G61" i="256"/>
  <c r="C95" i="257"/>
  <c r="G95" i="256"/>
  <c r="C68" i="257"/>
  <c r="G68" i="256"/>
  <c r="C48" i="257"/>
  <c r="G48" i="256"/>
  <c r="C24" i="257"/>
  <c r="G24" i="256"/>
  <c r="C52" i="257"/>
  <c r="G52" i="256"/>
  <c r="C72" i="257"/>
  <c r="G72" i="256"/>
  <c r="C49" i="257"/>
  <c r="G49" i="256"/>
  <c r="C45" i="257"/>
  <c r="G45" i="256"/>
  <c r="C54" i="257"/>
  <c r="G54" i="256"/>
  <c r="C67" i="257"/>
  <c r="G67" i="256"/>
  <c r="C82" i="257"/>
  <c r="G82" i="256"/>
  <c r="C41" i="257"/>
  <c r="G41" i="256"/>
  <c r="C62" i="257"/>
  <c r="G62" i="256"/>
  <c r="C44" i="257"/>
  <c r="G44" i="256"/>
  <c r="C31" i="257"/>
  <c r="G31" i="256"/>
  <c r="C75" i="257"/>
  <c r="G75" i="256"/>
  <c r="C66" i="257"/>
  <c r="G66" i="256"/>
  <c r="B66" i="256"/>
  <c r="B61" i="256"/>
  <c r="B54" i="256"/>
  <c r="B67" i="256"/>
  <c r="B48" i="256"/>
  <c r="B53" i="256"/>
  <c r="B56" i="256"/>
  <c r="B70" i="256"/>
  <c r="B33" i="256"/>
  <c r="B24" i="256"/>
  <c r="B23" i="257"/>
  <c r="B87" i="256"/>
  <c r="B72" i="256"/>
  <c r="B81" i="256"/>
  <c r="B71" i="256"/>
  <c r="B96" i="256"/>
  <c r="B55" i="257"/>
  <c r="B80" i="256"/>
  <c r="B25" i="257"/>
  <c r="B93" i="257"/>
  <c r="B83" i="256"/>
  <c r="B41" i="256"/>
  <c r="B94" i="257"/>
  <c r="B36" i="256"/>
  <c r="B63" i="257"/>
  <c r="B91" i="257"/>
  <c r="B30" i="257"/>
  <c r="B95" i="256"/>
  <c r="B47" i="256"/>
  <c r="B78" i="257"/>
  <c r="B68" i="256"/>
  <c r="B42" i="256"/>
  <c r="B51" i="256"/>
  <c r="B73" i="256"/>
  <c r="B82" i="256"/>
  <c r="B69" i="257"/>
  <c r="B79" i="257"/>
  <c r="B88" i="257"/>
  <c r="B90" i="256"/>
  <c r="B38" i="257"/>
  <c r="B50" i="257"/>
  <c r="B27" i="257"/>
  <c r="B99" i="256"/>
  <c r="B62" i="256"/>
  <c r="B52" i="256"/>
  <c r="B59" i="256"/>
  <c r="B35" i="256"/>
  <c r="B40" i="256"/>
  <c r="B74" i="257"/>
  <c r="B77" i="257"/>
  <c r="B28" i="257"/>
  <c r="B31" i="256"/>
  <c r="B49" i="256"/>
  <c r="B89" i="256"/>
  <c r="B75" i="256"/>
  <c r="B34" i="257"/>
  <c r="B37" i="257"/>
  <c r="B85" i="257"/>
  <c r="B43" i="256"/>
  <c r="B92" i="257"/>
  <c r="B57" i="256"/>
  <c r="B44" i="256"/>
  <c r="B65" i="256"/>
  <c r="B45" i="256"/>
  <c r="B22" i="256"/>
  <c r="B84" i="256"/>
  <c r="B39" i="257"/>
  <c r="G24" i="257" l="1"/>
  <c r="F24" i="246"/>
  <c r="BD24" i="246" s="1"/>
  <c r="G31" i="257"/>
  <c r="F31" i="246"/>
  <c r="BD31" i="246" s="1"/>
  <c r="G95" i="257"/>
  <c r="F95" i="246"/>
  <c r="BD95" i="246" s="1"/>
  <c r="G62" i="257"/>
  <c r="F62" i="246"/>
  <c r="BD62" i="246" s="1"/>
  <c r="G99" i="257"/>
  <c r="F99" i="246"/>
  <c r="BD99" i="246" s="1"/>
  <c r="G96" i="257"/>
  <c r="F96" i="246"/>
  <c r="BD96" i="246" s="1"/>
  <c r="G90" i="257"/>
  <c r="F90" i="246"/>
  <c r="BD90" i="246" s="1"/>
  <c r="G89" i="257"/>
  <c r="F89" i="246"/>
  <c r="BD89" i="246" s="1"/>
  <c r="G87" i="257"/>
  <c r="F87" i="246"/>
  <c r="BD87" i="246" s="1"/>
  <c r="G84" i="257"/>
  <c r="F84" i="246"/>
  <c r="BD84" i="246" s="1"/>
  <c r="G83" i="257"/>
  <c r="F83" i="246"/>
  <c r="BD83" i="246" s="1"/>
  <c r="G82" i="257"/>
  <c r="F82" i="246"/>
  <c r="BD82" i="246" s="1"/>
  <c r="G81" i="257"/>
  <c r="F81" i="246"/>
  <c r="BD81" i="246" s="1"/>
  <c r="G80" i="257"/>
  <c r="F80" i="246"/>
  <c r="BD80" i="246" s="1"/>
  <c r="G75" i="257"/>
  <c r="F75" i="246"/>
  <c r="BD75" i="246" s="1"/>
  <c r="G73" i="257"/>
  <c r="F73" i="246"/>
  <c r="BD73" i="246" s="1"/>
  <c r="G72" i="257"/>
  <c r="F72" i="246"/>
  <c r="BD72" i="246" s="1"/>
  <c r="G71" i="257"/>
  <c r="F71" i="246"/>
  <c r="BD71" i="246" s="1"/>
  <c r="G70" i="257"/>
  <c r="F70" i="246"/>
  <c r="BD70" i="246" s="1"/>
  <c r="G68" i="257"/>
  <c r="F68" i="246"/>
  <c r="BD68" i="246" s="1"/>
  <c r="G67" i="257"/>
  <c r="F67" i="246"/>
  <c r="BD67" i="246" s="1"/>
  <c r="G66" i="257"/>
  <c r="F66" i="246"/>
  <c r="BD66" i="246" s="1"/>
  <c r="G65" i="257"/>
  <c r="F65" i="246"/>
  <c r="BD65" i="246" s="1"/>
  <c r="G61" i="257"/>
  <c r="F61" i="246"/>
  <c r="BD61" i="246" s="1"/>
  <c r="G59" i="257"/>
  <c r="F59" i="246"/>
  <c r="BD59" i="246" s="1"/>
  <c r="G57" i="257"/>
  <c r="F57" i="246"/>
  <c r="BD57" i="246" s="1"/>
  <c r="G56" i="257"/>
  <c r="F56" i="246"/>
  <c r="BD56" i="246" s="1"/>
  <c r="G54" i="257"/>
  <c r="F54" i="246"/>
  <c r="BD54" i="246" s="1"/>
  <c r="G53" i="257"/>
  <c r="F53" i="246"/>
  <c r="BD53" i="246" s="1"/>
  <c r="G52" i="257"/>
  <c r="F52" i="246"/>
  <c r="BD52" i="246" s="1"/>
  <c r="G51" i="257"/>
  <c r="F51" i="246"/>
  <c r="BD51" i="246" s="1"/>
  <c r="G49" i="257"/>
  <c r="F49" i="246"/>
  <c r="BD49" i="246" s="1"/>
  <c r="G48" i="257"/>
  <c r="F48" i="246"/>
  <c r="BD48" i="246" s="1"/>
  <c r="G47" i="257"/>
  <c r="F47" i="246"/>
  <c r="BD47" i="246" s="1"/>
  <c r="G45" i="257"/>
  <c r="F45" i="246"/>
  <c r="BD45" i="246" s="1"/>
  <c r="G44" i="257"/>
  <c r="F44" i="246"/>
  <c r="BD44" i="246" s="1"/>
  <c r="G43" i="257"/>
  <c r="F43" i="246"/>
  <c r="BD43" i="246" s="1"/>
  <c r="G42" i="257"/>
  <c r="F42" i="246"/>
  <c r="BD42" i="246" s="1"/>
  <c r="G41" i="257"/>
  <c r="F41" i="246"/>
  <c r="BD41" i="246" s="1"/>
  <c r="G40" i="257"/>
  <c r="F40" i="246"/>
  <c r="BD40" i="246" s="1"/>
  <c r="G36" i="257"/>
  <c r="F36" i="246"/>
  <c r="BD36" i="246" s="1"/>
  <c r="G35" i="257"/>
  <c r="F35" i="246"/>
  <c r="BD35" i="246" s="1"/>
  <c r="G33" i="257"/>
  <c r="F33" i="246"/>
  <c r="BD33" i="246" s="1"/>
  <c r="G22" i="257"/>
  <c r="F22" i="246"/>
  <c r="BD22" i="246" s="1"/>
  <c r="B66" i="257"/>
  <c r="B65" i="257"/>
  <c r="B90" i="257"/>
  <c r="B44" i="257"/>
  <c r="B40" i="257"/>
  <c r="B59" i="257"/>
  <c r="B62" i="257"/>
  <c r="B99" i="257"/>
  <c r="B47" i="257"/>
  <c r="B41" i="257"/>
  <c r="B24" i="257"/>
  <c r="B53" i="257"/>
  <c r="B61" i="257"/>
  <c r="B35" i="257"/>
  <c r="B43" i="257"/>
  <c r="B84" i="257"/>
  <c r="B45" i="257"/>
  <c r="B57" i="257"/>
  <c r="B75" i="257"/>
  <c r="B89" i="257"/>
  <c r="B52" i="257"/>
  <c r="B36" i="257"/>
  <c r="B96" i="257"/>
  <c r="B87" i="257"/>
  <c r="B80" i="257"/>
  <c r="B33" i="257"/>
  <c r="B56" i="257"/>
  <c r="B67" i="257"/>
  <c r="B49" i="257"/>
  <c r="B73" i="257"/>
  <c r="B68" i="257"/>
  <c r="B95" i="257"/>
  <c r="B22" i="257"/>
  <c r="B31" i="257"/>
  <c r="B82" i="257"/>
  <c r="B51" i="257"/>
  <c r="B42" i="257"/>
  <c r="B83" i="257"/>
  <c r="B71" i="257"/>
  <c r="B81" i="257"/>
  <c r="B72" i="257"/>
  <c r="B70" i="257"/>
  <c r="B48" i="257"/>
  <c r="B54" i="257"/>
  <c r="C3" i="257" l="1"/>
  <c r="F97" i="244" l="1"/>
  <c r="I97" i="244" s="1"/>
  <c r="F99" i="244"/>
  <c r="I99" i="244" s="1"/>
  <c r="J97" i="244" l="1"/>
  <c r="D97" i="245" s="1"/>
  <c r="R97" i="245" s="1"/>
  <c r="U97" i="245" s="1"/>
  <c r="K97" i="244" l="1"/>
  <c r="G97" i="245"/>
  <c r="J97" i="245" s="1"/>
  <c r="E97" i="251" l="1"/>
  <c r="E97" i="246"/>
  <c r="K97" i="245" l="1"/>
  <c r="D97" i="246" s="1"/>
  <c r="G97" i="246" s="1"/>
  <c r="H97" i="246" s="1"/>
  <c r="I97" i="246" s="1"/>
  <c r="L97" i="245" l="1"/>
  <c r="J97" i="246" l="1"/>
  <c r="K97" i="246" s="1"/>
  <c r="L97" i="246" s="1"/>
  <c r="M97" i="246" s="1"/>
  <c r="N97" i="246" l="1"/>
  <c r="O97" i="246" s="1"/>
  <c r="P97" i="246" l="1"/>
  <c r="Q97" i="246" s="1"/>
  <c r="R97" i="246" l="1"/>
  <c r="S97" i="246" s="1"/>
  <c r="T97" i="246" s="1"/>
  <c r="U97" i="246" s="1"/>
  <c r="V97" i="246" l="1"/>
  <c r="W97" i="246" s="1"/>
  <c r="X97" i="246" l="1"/>
  <c r="Y97" i="246" s="1"/>
  <c r="Z97" i="246" l="1"/>
  <c r="AA97" i="246" s="1"/>
  <c r="AB97" i="246" l="1"/>
  <c r="AC97" i="246" s="1"/>
  <c r="AD97" i="246" l="1"/>
  <c r="AE97" i="246" s="1"/>
  <c r="AF97" i="246" l="1"/>
  <c r="AG97" i="246" s="1"/>
  <c r="AH97" i="246" l="1"/>
  <c r="AI97" i="246" s="1"/>
  <c r="AJ97" i="246" l="1"/>
  <c r="AK97" i="246" s="1"/>
  <c r="AL97" i="246" l="1"/>
  <c r="AM97" i="246" s="1"/>
  <c r="AN97" i="246" l="1"/>
  <c r="AO97" i="246" s="1"/>
  <c r="AP97" i="246" l="1"/>
  <c r="AQ97" i="246" s="1"/>
  <c r="AR97" i="246" l="1"/>
  <c r="AS97" i="246" s="1"/>
  <c r="AT97" i="246" l="1"/>
  <c r="AU97" i="246" l="1"/>
  <c r="H97" i="251" s="1"/>
  <c r="AV97" i="246" l="1"/>
  <c r="I97" i="251" s="1"/>
  <c r="K97" i="251" l="1"/>
  <c r="E97" i="252"/>
  <c r="G97" i="252" l="1"/>
  <c r="F97" i="252"/>
  <c r="H97" i="252" l="1"/>
  <c r="I97" i="252" s="1"/>
  <c r="J97" i="252" l="1"/>
  <c r="K97" i="252" l="1"/>
  <c r="L97" i="252" s="1"/>
  <c r="M97" i="252" l="1"/>
  <c r="N97" i="252" l="1"/>
  <c r="O97" i="252" s="1"/>
  <c r="P97" i="252" l="1"/>
  <c r="Q97" i="252" l="1"/>
  <c r="R97" i="252" s="1"/>
  <c r="S97" i="252" l="1"/>
  <c r="T97" i="252" l="1"/>
  <c r="U97" i="252" s="1"/>
  <c r="D107" i="262" s="1"/>
  <c r="F107" i="262" s="1"/>
  <c r="G107" i="262" s="1"/>
  <c r="E97" i="255"/>
  <c r="F97" i="255" s="1"/>
  <c r="R97" i="256" l="1"/>
  <c r="R97" i="257" s="1"/>
  <c r="M107" i="262" l="1"/>
  <c r="H107" i="262" s="1"/>
  <c r="D107" i="263" s="1"/>
  <c r="F107" i="263" s="1"/>
  <c r="L107" i="263" l="1"/>
  <c r="G107" i="263" s="1"/>
  <c r="G97" i="255" l="1"/>
  <c r="H97" i="255" l="1"/>
  <c r="I97" i="255"/>
  <c r="J97" i="255" l="1"/>
  <c r="K97" i="255" l="1"/>
  <c r="L97" i="255"/>
  <c r="M97" i="255" l="1"/>
  <c r="N97" i="255" s="1"/>
  <c r="O97" i="255" l="1"/>
  <c r="P97" i="255" l="1"/>
  <c r="Q97" i="255" s="1"/>
  <c r="R97" i="255"/>
  <c r="S97" i="255" l="1"/>
  <c r="U97" i="255" s="1"/>
  <c r="T97" i="255" l="1"/>
  <c r="V97" i="255" l="1"/>
  <c r="W97" i="255" s="1"/>
  <c r="P97" i="256" s="1"/>
  <c r="P97" i="257" l="1"/>
  <c r="Q97" i="256"/>
  <c r="Q97" i="257" s="1"/>
  <c r="X97" i="255"/>
  <c r="F9" i="237" l="1"/>
  <c r="F121" i="237" s="1"/>
  <c r="D7" i="201"/>
  <c r="O13" i="242"/>
  <c r="D13" i="239"/>
  <c r="F13" i="239" s="1"/>
  <c r="F125" i="239" s="1"/>
  <c r="C21" i="244"/>
  <c r="G122" i="239" l="1"/>
  <c r="L116" i="201" s="1"/>
  <c r="G123" i="239"/>
  <c r="L117" i="201" s="1"/>
  <c r="G116" i="239"/>
  <c r="L110" i="201" s="1"/>
  <c r="G119" i="239"/>
  <c r="L113" i="201" s="1"/>
  <c r="G118" i="239"/>
  <c r="L112" i="201" s="1"/>
  <c r="G113" i="239"/>
  <c r="L107" i="201" s="1"/>
  <c r="G121" i="239"/>
  <c r="L115" i="201" s="1"/>
  <c r="G115" i="239"/>
  <c r="G117" i="239"/>
  <c r="L111" i="201" s="1"/>
  <c r="G124" i="239"/>
  <c r="L118" i="201" s="1"/>
  <c r="G120" i="239"/>
  <c r="L114" i="201" s="1"/>
  <c r="G114" i="239"/>
  <c r="L108" i="201" s="1"/>
  <c r="G117" i="237"/>
  <c r="J115" i="201" s="1"/>
  <c r="G116" i="237"/>
  <c r="J114" i="201" s="1"/>
  <c r="G112" i="237"/>
  <c r="J110" i="201" s="1"/>
  <c r="G120" i="237"/>
  <c r="J118" i="201" s="1"/>
  <c r="G114" i="237"/>
  <c r="J112" i="201" s="1"/>
  <c r="G113" i="237"/>
  <c r="J111" i="201" s="1"/>
  <c r="G109" i="237"/>
  <c r="J107" i="201" s="1"/>
  <c r="G118" i="237"/>
  <c r="J116" i="201" s="1"/>
  <c r="G115" i="237"/>
  <c r="J113" i="201" s="1"/>
  <c r="G111" i="237"/>
  <c r="J109" i="201" s="1"/>
  <c r="G110" i="237"/>
  <c r="J108" i="201" s="1"/>
  <c r="G119" i="237"/>
  <c r="J117" i="201" s="1"/>
  <c r="H21" i="244"/>
  <c r="H133" i="244" s="1"/>
  <c r="O21" i="244"/>
  <c r="N21" i="244"/>
  <c r="B21" i="244"/>
  <c r="S21" i="244"/>
  <c r="S18" i="244" s="1"/>
  <c r="C21" i="245"/>
  <c r="E21" i="245" s="1"/>
  <c r="G13" i="239"/>
  <c r="G9" i="237"/>
  <c r="P13" i="242"/>
  <c r="Q13" i="242"/>
  <c r="R13" i="242"/>
  <c r="AA13" i="242"/>
  <c r="E133" i="245" l="1"/>
  <c r="D1" i="245" s="1"/>
  <c r="S21" i="245"/>
  <c r="J123" i="244"/>
  <c r="D123" i="245" s="1"/>
  <c r="R123" i="245" s="1"/>
  <c r="U123" i="245" s="1"/>
  <c r="K123" i="244"/>
  <c r="J99" i="244"/>
  <c r="D99" i="245" s="1"/>
  <c r="R99" i="245" s="1"/>
  <c r="U99" i="245" s="1"/>
  <c r="G99" i="245" s="1"/>
  <c r="K99" i="244"/>
  <c r="I15" i="239"/>
  <c r="L109" i="201"/>
  <c r="S13" i="242" a="1"/>
  <c r="S13" i="242" s="1"/>
  <c r="I13" i="242" s="1"/>
  <c r="I125" i="242" s="1"/>
  <c r="J7" i="201"/>
  <c r="L7" i="201"/>
  <c r="G66" i="239"/>
  <c r="L60" i="201" s="1"/>
  <c r="G97" i="239"/>
  <c r="L91" i="201" s="1"/>
  <c r="G65" i="239"/>
  <c r="L59" i="201" s="1"/>
  <c r="G68" i="239"/>
  <c r="L62" i="201" s="1"/>
  <c r="G60" i="239"/>
  <c r="L54" i="201" s="1"/>
  <c r="G25" i="239"/>
  <c r="L19" i="201" s="1"/>
  <c r="G62" i="239"/>
  <c r="L56" i="201" s="1"/>
  <c r="G88" i="239"/>
  <c r="L82" i="201" s="1"/>
  <c r="G57" i="239"/>
  <c r="L51" i="201" s="1"/>
  <c r="G71" i="239"/>
  <c r="L65" i="201" s="1"/>
  <c r="G77" i="239"/>
  <c r="L71" i="201" s="1"/>
  <c r="G95" i="239"/>
  <c r="L89" i="201" s="1"/>
  <c r="G26" i="239"/>
  <c r="L20" i="201" s="1"/>
  <c r="G103" i="239"/>
  <c r="L97" i="201" s="1"/>
  <c r="G84" i="239"/>
  <c r="L78" i="201" s="1"/>
  <c r="G15" i="239"/>
  <c r="L9" i="201" s="1"/>
  <c r="G16" i="239"/>
  <c r="L10" i="201" s="1"/>
  <c r="G59" i="239"/>
  <c r="L53" i="201" s="1"/>
  <c r="G53" i="239"/>
  <c r="L47" i="201" s="1"/>
  <c r="G111" i="239"/>
  <c r="L105" i="201" s="1"/>
  <c r="G64" i="239"/>
  <c r="L58" i="201" s="1"/>
  <c r="G80" i="239"/>
  <c r="L74" i="201" s="1"/>
  <c r="G72" i="239"/>
  <c r="L66" i="201" s="1"/>
  <c r="G81" i="239"/>
  <c r="L75" i="201" s="1"/>
  <c r="G43" i="239"/>
  <c r="L37" i="201" s="1"/>
  <c r="G46" i="239"/>
  <c r="L40" i="201" s="1"/>
  <c r="G63" i="239"/>
  <c r="L57" i="201" s="1"/>
  <c r="G45" i="239"/>
  <c r="L39" i="201" s="1"/>
  <c r="G91" i="239"/>
  <c r="L85" i="201" s="1"/>
  <c r="G76" i="239"/>
  <c r="L70" i="201" s="1"/>
  <c r="G28" i="239"/>
  <c r="L22" i="201" s="1"/>
  <c r="G108" i="239"/>
  <c r="L102" i="201" s="1"/>
  <c r="G94" i="239"/>
  <c r="L88" i="201" s="1"/>
  <c r="G54" i="239"/>
  <c r="L48" i="201" s="1"/>
  <c r="G92" i="239"/>
  <c r="L86" i="201" s="1"/>
  <c r="G61" i="239"/>
  <c r="L55" i="201" s="1"/>
  <c r="G35" i="239"/>
  <c r="L29" i="201" s="1"/>
  <c r="G34" i="239"/>
  <c r="L28" i="201" s="1"/>
  <c r="G42" i="239"/>
  <c r="L36" i="201" s="1"/>
  <c r="G39" i="239"/>
  <c r="L33" i="201" s="1"/>
  <c r="G102" i="239"/>
  <c r="L96" i="201" s="1"/>
  <c r="G32" i="239"/>
  <c r="L26" i="201" s="1"/>
  <c r="G38" i="239"/>
  <c r="L32" i="201" s="1"/>
  <c r="G79" i="239"/>
  <c r="L73" i="201" s="1"/>
  <c r="G78" i="239"/>
  <c r="L72" i="201" s="1"/>
  <c r="G101" i="239"/>
  <c r="L95" i="201" s="1"/>
  <c r="G75" i="239"/>
  <c r="L69" i="201" s="1"/>
  <c r="G23" i="239"/>
  <c r="L17" i="201" s="1"/>
  <c r="G22" i="239"/>
  <c r="L16" i="201" s="1"/>
  <c r="G100" i="239"/>
  <c r="L94" i="201" s="1"/>
  <c r="G37" i="239"/>
  <c r="L31" i="201" s="1"/>
  <c r="G48" i="239"/>
  <c r="L42" i="201" s="1"/>
  <c r="G89" i="239"/>
  <c r="L83" i="201" s="1"/>
  <c r="G90" i="239"/>
  <c r="L84" i="201" s="1"/>
  <c r="G107" i="239"/>
  <c r="L101" i="201" s="1"/>
  <c r="G112" i="239"/>
  <c r="L106" i="201" s="1"/>
  <c r="G19" i="239"/>
  <c r="L13" i="201" s="1"/>
  <c r="G85" i="239"/>
  <c r="L79" i="201" s="1"/>
  <c r="G41" i="239"/>
  <c r="L35" i="201" s="1"/>
  <c r="G83" i="239"/>
  <c r="L77" i="201" s="1"/>
  <c r="G87" i="239"/>
  <c r="L81" i="201" s="1"/>
  <c r="G24" i="239"/>
  <c r="L18" i="201" s="1"/>
  <c r="G36" i="239"/>
  <c r="L30" i="201" s="1"/>
  <c r="G49" i="239"/>
  <c r="L43" i="201" s="1"/>
  <c r="G21" i="239"/>
  <c r="L15" i="201" s="1"/>
  <c r="G52" i="239"/>
  <c r="L46" i="201" s="1"/>
  <c r="G56" i="239"/>
  <c r="L50" i="201" s="1"/>
  <c r="G99" i="239"/>
  <c r="L93" i="201" s="1"/>
  <c r="G96" i="239"/>
  <c r="L90" i="201" s="1"/>
  <c r="G20" i="239"/>
  <c r="L14" i="201" s="1"/>
  <c r="G93" i="239"/>
  <c r="L87" i="201" s="1"/>
  <c r="G17" i="239"/>
  <c r="L11" i="201" s="1"/>
  <c r="G104" i="239"/>
  <c r="L98" i="201" s="1"/>
  <c r="G74" i="239"/>
  <c r="L68" i="201" s="1"/>
  <c r="G67" i="239"/>
  <c r="L61" i="201" s="1"/>
  <c r="G109" i="239"/>
  <c r="L103" i="201" s="1"/>
  <c r="G105" i="239"/>
  <c r="L99" i="201" s="1"/>
  <c r="G55" i="239"/>
  <c r="L49" i="201" s="1"/>
  <c r="G58" i="239"/>
  <c r="L52" i="201" s="1"/>
  <c r="G70" i="239"/>
  <c r="L64" i="201" s="1"/>
  <c r="G50" i="239"/>
  <c r="L44" i="201" s="1"/>
  <c r="G18" i="239"/>
  <c r="L12" i="201" s="1"/>
  <c r="G110" i="239"/>
  <c r="L104" i="201" s="1"/>
  <c r="G40" i="239"/>
  <c r="L34" i="201" s="1"/>
  <c r="G33" i="239"/>
  <c r="L27" i="201" s="1"/>
  <c r="G27" i="239"/>
  <c r="L21" i="201" s="1"/>
  <c r="G69" i="239"/>
  <c r="L63" i="201" s="1"/>
  <c r="G14" i="239"/>
  <c r="L8" i="201" s="1"/>
  <c r="G106" i="239"/>
  <c r="L100" i="201" s="1"/>
  <c r="G98" i="239"/>
  <c r="L92" i="201" s="1"/>
  <c r="G73" i="239"/>
  <c r="L67" i="201" s="1"/>
  <c r="G31" i="239"/>
  <c r="L25" i="201" s="1"/>
  <c r="G51" i="239"/>
  <c r="L45" i="201" s="1"/>
  <c r="G86" i="239"/>
  <c r="L80" i="201" s="1"/>
  <c r="G29" i="239"/>
  <c r="L23" i="201" s="1"/>
  <c r="G44" i="239"/>
  <c r="L38" i="201" s="1"/>
  <c r="G47" i="239"/>
  <c r="L41" i="201" s="1"/>
  <c r="G82" i="239"/>
  <c r="L76" i="201" s="1"/>
  <c r="G30" i="239"/>
  <c r="L24" i="201" s="1"/>
  <c r="P21" i="245"/>
  <c r="Q21" i="245"/>
  <c r="B21" i="245"/>
  <c r="C21" i="246"/>
  <c r="G79" i="237"/>
  <c r="J77" i="201" s="1"/>
  <c r="G85" i="237"/>
  <c r="J83" i="201" s="1"/>
  <c r="G55" i="237"/>
  <c r="J53" i="201" s="1"/>
  <c r="G92" i="237"/>
  <c r="J90" i="201" s="1"/>
  <c r="G107" i="237"/>
  <c r="J105" i="201" s="1"/>
  <c r="G14" i="237"/>
  <c r="J12" i="201" s="1"/>
  <c r="G108" i="237"/>
  <c r="J106" i="201" s="1"/>
  <c r="G59" i="237"/>
  <c r="J57" i="201" s="1"/>
  <c r="G61" i="237"/>
  <c r="J59" i="201" s="1"/>
  <c r="G71" i="237"/>
  <c r="J69" i="201" s="1"/>
  <c r="G21" i="237"/>
  <c r="J19" i="201" s="1"/>
  <c r="G73" i="237"/>
  <c r="J71" i="201" s="1"/>
  <c r="G99" i="237"/>
  <c r="J97" i="201" s="1"/>
  <c r="G56" i="237"/>
  <c r="J54" i="201" s="1"/>
  <c r="G54" i="237"/>
  <c r="J52" i="201" s="1"/>
  <c r="G20" i="237"/>
  <c r="J18" i="201" s="1"/>
  <c r="G74" i="237"/>
  <c r="J72" i="201" s="1"/>
  <c r="G98" i="237"/>
  <c r="J96" i="201" s="1"/>
  <c r="G62" i="237"/>
  <c r="J60" i="201" s="1"/>
  <c r="G102" i="237"/>
  <c r="J100" i="201" s="1"/>
  <c r="G22" i="237"/>
  <c r="J20" i="201" s="1"/>
  <c r="G10" i="237"/>
  <c r="J8" i="201" s="1"/>
  <c r="G89" i="237"/>
  <c r="J87" i="201" s="1"/>
  <c r="G95" i="237"/>
  <c r="J93" i="201" s="1"/>
  <c r="G81" i="237"/>
  <c r="J79" i="201" s="1"/>
  <c r="G82" i="237"/>
  <c r="J80" i="201" s="1"/>
  <c r="G33" i="237"/>
  <c r="J31" i="201" s="1"/>
  <c r="G57" i="237"/>
  <c r="J55" i="201" s="1"/>
  <c r="G64" i="237"/>
  <c r="J62" i="201" s="1"/>
  <c r="G11" i="237"/>
  <c r="J9" i="201" s="1"/>
  <c r="G17" i="237"/>
  <c r="J15" i="201" s="1"/>
  <c r="G69" i="237"/>
  <c r="J67" i="201" s="1"/>
  <c r="G106" i="237"/>
  <c r="J104" i="201" s="1"/>
  <c r="G19" i="237"/>
  <c r="J17" i="201" s="1"/>
  <c r="G48" i="237"/>
  <c r="J46" i="201" s="1"/>
  <c r="G90" i="237"/>
  <c r="J88" i="201" s="1"/>
  <c r="G97" i="237"/>
  <c r="J95" i="201" s="1"/>
  <c r="G100" i="237"/>
  <c r="J98" i="201" s="1"/>
  <c r="G53" i="237"/>
  <c r="J51" i="201" s="1"/>
  <c r="G70" i="237"/>
  <c r="J68" i="201" s="1"/>
  <c r="G16" i="237"/>
  <c r="J14" i="201" s="1"/>
  <c r="G50" i="237"/>
  <c r="J48" i="201" s="1"/>
  <c r="G25" i="237"/>
  <c r="J23" i="201" s="1"/>
  <c r="G49" i="237"/>
  <c r="J47" i="201" s="1"/>
  <c r="G52" i="237"/>
  <c r="J50" i="201" s="1"/>
  <c r="G96" i="237"/>
  <c r="J94" i="201" s="1"/>
  <c r="G94" i="237"/>
  <c r="J92" i="201" s="1"/>
  <c r="G103" i="237"/>
  <c r="J101" i="201" s="1"/>
  <c r="G80" i="237"/>
  <c r="J78" i="201" s="1"/>
  <c r="G101" i="237"/>
  <c r="J99" i="201" s="1"/>
  <c r="G68" i="237"/>
  <c r="J66" i="201" s="1"/>
  <c r="G37" i="237"/>
  <c r="J35" i="201" s="1"/>
  <c r="G30" i="237"/>
  <c r="J28" i="201" s="1"/>
  <c r="G23" i="237"/>
  <c r="J21" i="201" s="1"/>
  <c r="G31" i="237"/>
  <c r="J29" i="201" s="1"/>
  <c r="G32" i="237"/>
  <c r="J30" i="201" s="1"/>
  <c r="G67" i="237"/>
  <c r="J65" i="201" s="1"/>
  <c r="G104" i="237"/>
  <c r="J102" i="201" s="1"/>
  <c r="G26" i="237"/>
  <c r="J24" i="201" s="1"/>
  <c r="G15" i="237"/>
  <c r="J13" i="201" s="1"/>
  <c r="G12" i="237"/>
  <c r="J10" i="201" s="1"/>
  <c r="G91" i="237"/>
  <c r="J89" i="201" s="1"/>
  <c r="G78" i="237"/>
  <c r="J76" i="201" s="1"/>
  <c r="G29" i="237"/>
  <c r="J27" i="201" s="1"/>
  <c r="G40" i="237"/>
  <c r="J38" i="201" s="1"/>
  <c r="G24" i="237"/>
  <c r="J22" i="201" s="1"/>
  <c r="G41" i="237"/>
  <c r="J39" i="201" s="1"/>
  <c r="G75" i="237"/>
  <c r="J73" i="201" s="1"/>
  <c r="G47" i="237"/>
  <c r="J45" i="201" s="1"/>
  <c r="G13" i="237"/>
  <c r="J11" i="201" s="1"/>
  <c r="G43" i="237"/>
  <c r="J41" i="201" s="1"/>
  <c r="G76" i="237"/>
  <c r="J74" i="201" s="1"/>
  <c r="G58" i="237"/>
  <c r="J56" i="201" s="1"/>
  <c r="G34" i="237"/>
  <c r="J32" i="201" s="1"/>
  <c r="G38" i="237"/>
  <c r="J36" i="201" s="1"/>
  <c r="G28" i="237"/>
  <c r="J26" i="201" s="1"/>
  <c r="G65" i="237"/>
  <c r="J63" i="201" s="1"/>
  <c r="G45" i="237"/>
  <c r="J43" i="201" s="1"/>
  <c r="G86" i="237"/>
  <c r="J84" i="201" s="1"/>
  <c r="G39" i="237"/>
  <c r="J37" i="201" s="1"/>
  <c r="G60" i="237"/>
  <c r="J58" i="201" s="1"/>
  <c r="G18" i="237"/>
  <c r="J16" i="201" s="1"/>
  <c r="G35" i="237"/>
  <c r="J33" i="201" s="1"/>
  <c r="G36" i="237"/>
  <c r="J34" i="201" s="1"/>
  <c r="G93" i="237"/>
  <c r="J91" i="201" s="1"/>
  <c r="G51" i="237"/>
  <c r="J49" i="201" s="1"/>
  <c r="G46" i="237"/>
  <c r="J44" i="201" s="1"/>
  <c r="G87" i="237"/>
  <c r="J85" i="201" s="1"/>
  <c r="G63" i="237"/>
  <c r="J61" i="201" s="1"/>
  <c r="G42" i="237"/>
  <c r="J40" i="201" s="1"/>
  <c r="G27" i="237"/>
  <c r="J25" i="201" s="1"/>
  <c r="G105" i="237"/>
  <c r="J103" i="201" s="1"/>
  <c r="G83" i="237"/>
  <c r="J81" i="201" s="1"/>
  <c r="G44" i="237"/>
  <c r="J42" i="201" s="1"/>
  <c r="G77" i="237"/>
  <c r="J75" i="201" s="1"/>
  <c r="G84" i="237"/>
  <c r="J82" i="201" s="1"/>
  <c r="G72" i="237"/>
  <c r="J70" i="201" s="1"/>
  <c r="G88" i="237"/>
  <c r="J86" i="201" s="1"/>
  <c r="G66" i="237"/>
  <c r="J64" i="201" s="1"/>
  <c r="G123" i="245" l="1"/>
  <c r="J123" i="245"/>
  <c r="J99" i="245"/>
  <c r="E99" i="251"/>
  <c r="E99" i="246"/>
  <c r="J121" i="242"/>
  <c r="H115" i="201" s="1"/>
  <c r="M115" i="201" s="1"/>
  <c r="J122" i="242"/>
  <c r="H116" i="201" s="1"/>
  <c r="J117" i="242"/>
  <c r="H111" i="201" s="1"/>
  <c r="M111" i="201" s="1"/>
  <c r="J124" i="242"/>
  <c r="H118" i="201" s="1"/>
  <c r="M118" i="201" s="1"/>
  <c r="J114" i="242"/>
  <c r="H108" i="201" s="1"/>
  <c r="J118" i="242"/>
  <c r="H112" i="201" s="1"/>
  <c r="M112" i="201" s="1"/>
  <c r="J113" i="242"/>
  <c r="H107" i="201" s="1"/>
  <c r="M107" i="201" s="1"/>
  <c r="J115" i="242"/>
  <c r="H109" i="201" s="1"/>
  <c r="M109" i="201" s="1"/>
  <c r="J120" i="242"/>
  <c r="H114" i="201" s="1"/>
  <c r="J119" i="242"/>
  <c r="H113" i="201" s="1"/>
  <c r="M113" i="201" s="1"/>
  <c r="J116" i="242"/>
  <c r="H110" i="201" s="1"/>
  <c r="M110" i="201" s="1"/>
  <c r="J123" i="242"/>
  <c r="H117" i="201" s="1"/>
  <c r="M117" i="201" s="1"/>
  <c r="L119" i="201"/>
  <c r="J119" i="201"/>
  <c r="G121" i="237"/>
  <c r="G125" i="239"/>
  <c r="J107" i="242"/>
  <c r="H101" i="201" s="1"/>
  <c r="M101" i="201" s="1"/>
  <c r="J112" i="242"/>
  <c r="H106" i="201" s="1"/>
  <c r="M106" i="201" s="1"/>
  <c r="J87" i="242"/>
  <c r="H81" i="201" s="1"/>
  <c r="M81" i="201" s="1"/>
  <c r="J110" i="242"/>
  <c r="H104" i="201" s="1"/>
  <c r="M104" i="201" s="1"/>
  <c r="J102" i="242"/>
  <c r="H96" i="201" s="1"/>
  <c r="M96" i="201" s="1"/>
  <c r="J49" i="242"/>
  <c r="H43" i="201" s="1"/>
  <c r="M43" i="201" s="1"/>
  <c r="J54" i="242"/>
  <c r="H48" i="201" s="1"/>
  <c r="M48" i="201" s="1"/>
  <c r="J30" i="242"/>
  <c r="H24" i="201" s="1"/>
  <c r="M24" i="201" s="1"/>
  <c r="J97" i="242"/>
  <c r="H91" i="201" s="1"/>
  <c r="M91" i="201" s="1"/>
  <c r="J26" i="242"/>
  <c r="H20" i="201" s="1"/>
  <c r="M20" i="201" s="1"/>
  <c r="J25" i="242"/>
  <c r="H19" i="201" s="1"/>
  <c r="M19" i="201" s="1"/>
  <c r="J22" i="242"/>
  <c r="H16" i="201" s="1"/>
  <c r="M16" i="201" s="1"/>
  <c r="J91" i="242"/>
  <c r="H85" i="201" s="1"/>
  <c r="M85" i="201" s="1"/>
  <c r="J103" i="242"/>
  <c r="H97" i="201" s="1"/>
  <c r="M97" i="201" s="1"/>
  <c r="J85" i="242"/>
  <c r="H79" i="201" s="1"/>
  <c r="M79" i="201" s="1"/>
  <c r="J105" i="242"/>
  <c r="H99" i="201" s="1"/>
  <c r="M99" i="201" s="1"/>
  <c r="J111" i="242"/>
  <c r="H105" i="201" s="1"/>
  <c r="M105" i="201" s="1"/>
  <c r="J83" i="242"/>
  <c r="H77" i="201" s="1"/>
  <c r="M77" i="201" s="1"/>
  <c r="J88" i="242"/>
  <c r="H82" i="201" s="1"/>
  <c r="M82" i="201" s="1"/>
  <c r="J94" i="242"/>
  <c r="H88" i="201" s="1"/>
  <c r="M88" i="201" s="1"/>
  <c r="J27" i="242"/>
  <c r="H21" i="201" s="1"/>
  <c r="M21" i="201" s="1"/>
  <c r="J70" i="242"/>
  <c r="H64" i="201" s="1"/>
  <c r="M64" i="201" s="1"/>
  <c r="J60" i="242"/>
  <c r="H54" i="201" s="1"/>
  <c r="M54" i="201" s="1"/>
  <c r="J62" i="242"/>
  <c r="H56" i="201" s="1"/>
  <c r="M56" i="201" s="1"/>
  <c r="J90" i="242"/>
  <c r="H84" i="201" s="1"/>
  <c r="M84" i="201" s="1"/>
  <c r="J108" i="242"/>
  <c r="H102" i="201" s="1"/>
  <c r="M102" i="201" s="1"/>
  <c r="J109" i="242"/>
  <c r="H103" i="201" s="1"/>
  <c r="M103" i="201" s="1"/>
  <c r="J92" i="242"/>
  <c r="H86" i="201" s="1"/>
  <c r="M86" i="201" s="1"/>
  <c r="J44" i="242"/>
  <c r="H38" i="201" s="1"/>
  <c r="M38" i="201" s="1"/>
  <c r="J106" i="242"/>
  <c r="H100" i="201" s="1"/>
  <c r="M100" i="201" s="1"/>
  <c r="J23" i="242"/>
  <c r="H17" i="201" s="1"/>
  <c r="M17" i="201" s="1"/>
  <c r="J45" i="242"/>
  <c r="H39" i="201" s="1"/>
  <c r="M39" i="201" s="1"/>
  <c r="J76" i="242"/>
  <c r="H70" i="201" s="1"/>
  <c r="M70" i="201" s="1"/>
  <c r="J99" i="242"/>
  <c r="H93" i="201" s="1"/>
  <c r="M93" i="201" s="1"/>
  <c r="J71" i="242"/>
  <c r="H65" i="201" s="1"/>
  <c r="M65" i="201" s="1"/>
  <c r="J96" i="242"/>
  <c r="H90" i="201" s="1"/>
  <c r="M90" i="201" s="1"/>
  <c r="J93" i="242"/>
  <c r="H87" i="201" s="1"/>
  <c r="M87" i="201" s="1"/>
  <c r="J101" i="242"/>
  <c r="H95" i="201" s="1"/>
  <c r="M95" i="201" s="1"/>
  <c r="J43" i="242"/>
  <c r="H37" i="201" s="1"/>
  <c r="M37" i="201" s="1"/>
  <c r="J104" i="242"/>
  <c r="H98" i="201" s="1"/>
  <c r="M98" i="201" s="1"/>
  <c r="J89" i="242"/>
  <c r="H83" i="201" s="1"/>
  <c r="J74" i="242"/>
  <c r="H68" i="201" s="1"/>
  <c r="M68" i="201" s="1"/>
  <c r="J67" i="242"/>
  <c r="H61" i="201" s="1"/>
  <c r="M61" i="201" s="1"/>
  <c r="J47" i="242"/>
  <c r="H41" i="201" s="1"/>
  <c r="M41" i="201" s="1"/>
  <c r="J95" i="242"/>
  <c r="H89" i="201" s="1"/>
  <c r="M89" i="201" s="1"/>
  <c r="J17" i="242"/>
  <c r="H11" i="201" s="1"/>
  <c r="M11" i="201" s="1"/>
  <c r="J69" i="242"/>
  <c r="H63" i="201" s="1"/>
  <c r="M63" i="201" s="1"/>
  <c r="J100" i="242"/>
  <c r="H94" i="201" s="1"/>
  <c r="M94" i="201" s="1"/>
  <c r="J52" i="242"/>
  <c r="H46" i="201" s="1"/>
  <c r="M46" i="201" s="1"/>
  <c r="J37" i="242"/>
  <c r="H31" i="201" s="1"/>
  <c r="M31" i="201" s="1"/>
  <c r="J34" i="242"/>
  <c r="H28" i="201" s="1"/>
  <c r="M28" i="201" s="1"/>
  <c r="J50" i="242"/>
  <c r="H44" i="201" s="1"/>
  <c r="M44" i="201" s="1"/>
  <c r="J86" i="242"/>
  <c r="H80" i="201" s="1"/>
  <c r="M80" i="201" s="1"/>
  <c r="J39" i="242"/>
  <c r="H33" i="201" s="1"/>
  <c r="M33" i="201" s="1"/>
  <c r="J42" i="242"/>
  <c r="H36" i="201" s="1"/>
  <c r="M36" i="201" s="1"/>
  <c r="J79" i="242"/>
  <c r="H73" i="201" s="1"/>
  <c r="M73" i="201" s="1"/>
  <c r="J57" i="242"/>
  <c r="H51" i="201" s="1"/>
  <c r="M51" i="201" s="1"/>
  <c r="J73" i="242"/>
  <c r="H67" i="201" s="1"/>
  <c r="M67" i="201" s="1"/>
  <c r="J31" i="242"/>
  <c r="H25" i="201" s="1"/>
  <c r="M25" i="201" s="1"/>
  <c r="J77" i="242"/>
  <c r="H71" i="201" s="1"/>
  <c r="M71" i="201" s="1"/>
  <c r="J68" i="242"/>
  <c r="H62" i="201" s="1"/>
  <c r="M62" i="201" s="1"/>
  <c r="J75" i="242"/>
  <c r="H69" i="201" s="1"/>
  <c r="M69" i="201" s="1"/>
  <c r="J61" i="242"/>
  <c r="H55" i="201" s="1"/>
  <c r="M55" i="201" s="1"/>
  <c r="J33" i="242"/>
  <c r="H27" i="201" s="1"/>
  <c r="M27" i="201" s="1"/>
  <c r="J24" i="242"/>
  <c r="H18" i="201" s="1"/>
  <c r="M18" i="201" s="1"/>
  <c r="J72" i="242"/>
  <c r="H66" i="201" s="1"/>
  <c r="M66" i="201" s="1"/>
  <c r="J82" i="242"/>
  <c r="H76" i="201" s="1"/>
  <c r="M76" i="201" s="1"/>
  <c r="J80" i="242"/>
  <c r="H74" i="201" s="1"/>
  <c r="M74" i="201" s="1"/>
  <c r="J29" i="242"/>
  <c r="H23" i="201" s="1"/>
  <c r="M23" i="201" s="1"/>
  <c r="J28" i="242"/>
  <c r="H22" i="201" s="1"/>
  <c r="M22" i="201" s="1"/>
  <c r="J38" i="242"/>
  <c r="H32" i="201" s="1"/>
  <c r="M32" i="201" s="1"/>
  <c r="J20" i="242"/>
  <c r="H14" i="201" s="1"/>
  <c r="M14" i="201" s="1"/>
  <c r="J36" i="242"/>
  <c r="H30" i="201" s="1"/>
  <c r="M30" i="201" s="1"/>
  <c r="J40" i="242"/>
  <c r="H34" i="201" s="1"/>
  <c r="M34" i="201" s="1"/>
  <c r="J78" i="242"/>
  <c r="H72" i="201" s="1"/>
  <c r="M72" i="201" s="1"/>
  <c r="J53" i="242"/>
  <c r="H47" i="201" s="1"/>
  <c r="M47" i="201" s="1"/>
  <c r="J84" i="242"/>
  <c r="H78" i="201" s="1"/>
  <c r="M78" i="201" s="1"/>
  <c r="J63" i="242"/>
  <c r="H57" i="201" s="1"/>
  <c r="M57" i="201" s="1"/>
  <c r="J15" i="242"/>
  <c r="H9" i="201" s="1"/>
  <c r="M9" i="201" s="1"/>
  <c r="J48" i="242"/>
  <c r="H42" i="201" s="1"/>
  <c r="M42" i="201" s="1"/>
  <c r="J59" i="242"/>
  <c r="H53" i="201" s="1"/>
  <c r="M53" i="201" s="1"/>
  <c r="J58" i="242"/>
  <c r="H52" i="201" s="1"/>
  <c r="M52" i="201" s="1"/>
  <c r="J51" i="242"/>
  <c r="H45" i="201" s="1"/>
  <c r="M45" i="201" s="1"/>
  <c r="J32" i="242"/>
  <c r="H26" i="201" s="1"/>
  <c r="M26" i="201" s="1"/>
  <c r="J56" i="242"/>
  <c r="H50" i="201" s="1"/>
  <c r="M50" i="201" s="1"/>
  <c r="J66" i="242"/>
  <c r="H60" i="201" s="1"/>
  <c r="M60" i="201" s="1"/>
  <c r="J55" i="242"/>
  <c r="H49" i="201" s="1"/>
  <c r="M49" i="201" s="1"/>
  <c r="J35" i="242"/>
  <c r="H29" i="201" s="1"/>
  <c r="M29" i="201" s="1"/>
  <c r="J19" i="242"/>
  <c r="H13" i="201" s="1"/>
  <c r="M13" i="201" s="1"/>
  <c r="J14" i="242"/>
  <c r="H8" i="201" s="1"/>
  <c r="M8" i="201" s="1"/>
  <c r="J98" i="242"/>
  <c r="H92" i="201" s="1"/>
  <c r="M92" i="201" s="1"/>
  <c r="J46" i="242"/>
  <c r="H40" i="201" s="1"/>
  <c r="M40" i="201" s="1"/>
  <c r="J41" i="242"/>
  <c r="H35" i="201" s="1"/>
  <c r="M35" i="201" s="1"/>
  <c r="J21" i="242"/>
  <c r="H15" i="201" s="1"/>
  <c r="M15" i="201" s="1"/>
  <c r="J64" i="242"/>
  <c r="H58" i="201" s="1"/>
  <c r="M58" i="201" s="1"/>
  <c r="J16" i="242"/>
  <c r="H10" i="201" s="1"/>
  <c r="M10" i="201" s="1"/>
  <c r="J18" i="242"/>
  <c r="H12" i="201" s="1"/>
  <c r="M12" i="201" s="1"/>
  <c r="J65" i="242"/>
  <c r="H59" i="201" s="1"/>
  <c r="M59" i="201" s="1"/>
  <c r="J81" i="242"/>
  <c r="H75" i="201" s="1"/>
  <c r="M75" i="201" s="1"/>
  <c r="J13" i="242"/>
  <c r="BB21" i="246"/>
  <c r="B21" i="246"/>
  <c r="BA21" i="246"/>
  <c r="C21" i="251"/>
  <c r="E123" i="246" l="1"/>
  <c r="E123" i="251"/>
  <c r="J125" i="242"/>
  <c r="H7" i="201"/>
  <c r="H119" i="201" s="1"/>
  <c r="B21" i="251"/>
  <c r="D21" i="251"/>
  <c r="F21" i="251"/>
  <c r="F133" i="251" s="1"/>
  <c r="C21" i="252"/>
  <c r="B21" i="252" l="1"/>
  <c r="B31" i="262" s="1"/>
  <c r="B31" i="263" s="1"/>
  <c r="C31" i="262"/>
  <c r="M7" i="201"/>
  <c r="M119" i="201" s="1"/>
  <c r="N84" i="201" s="1"/>
  <c r="O84" i="201" s="1"/>
  <c r="D98" i="244" l="1"/>
  <c r="F98" i="244" s="1"/>
  <c r="I98" i="244" s="1"/>
  <c r="G98" i="251"/>
  <c r="N112" i="201"/>
  <c r="O112" i="201" s="1"/>
  <c r="D126" i="244" s="1"/>
  <c r="F126" i="244" s="1"/>
  <c r="I126" i="244" s="1"/>
  <c r="N115" i="201"/>
  <c r="O115" i="201" s="1"/>
  <c r="N109" i="201"/>
  <c r="O109" i="201" s="1"/>
  <c r="D123" i="244" s="1"/>
  <c r="N111" i="201"/>
  <c r="O111" i="201" s="1"/>
  <c r="G123" i="251"/>
  <c r="N117" i="201"/>
  <c r="O117" i="201" s="1"/>
  <c r="D131" i="244" s="1"/>
  <c r="F131" i="244" s="1"/>
  <c r="I131" i="244" s="1"/>
  <c r="N85" i="201"/>
  <c r="O85" i="201" s="1"/>
  <c r="N113" i="201"/>
  <c r="O113" i="201" s="1"/>
  <c r="D127" i="244" s="1"/>
  <c r="F127" i="244" s="1"/>
  <c r="I127" i="244" s="1"/>
  <c r="N118" i="201"/>
  <c r="O118" i="201" s="1"/>
  <c r="N107" i="201"/>
  <c r="O107" i="201" s="1"/>
  <c r="D121" i="244" s="1"/>
  <c r="N110" i="201"/>
  <c r="O110" i="201" s="1"/>
  <c r="K31" i="262"/>
  <c r="J31" i="262"/>
  <c r="C31" i="263"/>
  <c r="N106" i="201"/>
  <c r="G126" i="251" l="1"/>
  <c r="D129" i="244"/>
  <c r="F129" i="244" s="1"/>
  <c r="I129" i="244" s="1"/>
  <c r="G129" i="251"/>
  <c r="D125" i="244"/>
  <c r="F125" i="244" s="1"/>
  <c r="I125" i="244" s="1"/>
  <c r="G125" i="251"/>
  <c r="G121" i="251"/>
  <c r="G131" i="251"/>
  <c r="D99" i="244"/>
  <c r="G99" i="251"/>
  <c r="G127" i="251"/>
  <c r="D132" i="244"/>
  <c r="F132" i="244" s="1"/>
  <c r="I132" i="244" s="1"/>
  <c r="G132" i="251"/>
  <c r="D124" i="244"/>
  <c r="F124" i="244" s="1"/>
  <c r="I124" i="244" s="1"/>
  <c r="G124" i="251"/>
  <c r="O106" i="201"/>
  <c r="G120" i="251" s="1"/>
  <c r="N104" i="201"/>
  <c r="O104" i="201" s="1"/>
  <c r="N105" i="201"/>
  <c r="N102" i="201"/>
  <c r="O102" i="201" s="1"/>
  <c r="D116" i="244" s="1"/>
  <c r="N103" i="201"/>
  <c r="N100" i="201"/>
  <c r="O100" i="201" s="1"/>
  <c r="N101" i="201"/>
  <c r="N37" i="201"/>
  <c r="O37" i="201" s="1"/>
  <c r="D51" i="244" s="1"/>
  <c r="N99" i="201"/>
  <c r="N79" i="201"/>
  <c r="O79" i="201" s="1"/>
  <c r="N97" i="201"/>
  <c r="L31" i="262"/>
  <c r="N87" i="201"/>
  <c r="O87" i="201" s="1"/>
  <c r="N68" i="201"/>
  <c r="N38" i="201"/>
  <c r="O38" i="201" s="1"/>
  <c r="N17" i="201"/>
  <c r="N7" i="201"/>
  <c r="N90" i="201"/>
  <c r="N96" i="201"/>
  <c r="N81" i="201"/>
  <c r="N98" i="201"/>
  <c r="N95" i="201"/>
  <c r="N58" i="201"/>
  <c r="N41" i="201"/>
  <c r="N91" i="201"/>
  <c r="N43" i="201"/>
  <c r="N28" i="201"/>
  <c r="N77" i="201"/>
  <c r="N82" i="201"/>
  <c r="N70" i="201"/>
  <c r="N13" i="201"/>
  <c r="N9" i="201"/>
  <c r="N86" i="201"/>
  <c r="N29" i="201"/>
  <c r="N50" i="201"/>
  <c r="N65" i="201"/>
  <c r="N12" i="201"/>
  <c r="N80" i="201"/>
  <c r="N26" i="201"/>
  <c r="N34" i="201"/>
  <c r="N60" i="201"/>
  <c r="N47" i="201"/>
  <c r="N55" i="201"/>
  <c r="N16" i="201"/>
  <c r="N14" i="201"/>
  <c r="N23" i="201"/>
  <c r="N53" i="201"/>
  <c r="N21" i="201"/>
  <c r="N24" i="201"/>
  <c r="N74" i="201"/>
  <c r="N67" i="201"/>
  <c r="N30" i="201"/>
  <c r="N76" i="201"/>
  <c r="N63" i="201"/>
  <c r="N92" i="201"/>
  <c r="N73" i="201"/>
  <c r="N18" i="201"/>
  <c r="N10" i="201"/>
  <c r="N72" i="201"/>
  <c r="N56" i="201"/>
  <c r="N46" i="201"/>
  <c r="N32" i="201"/>
  <c r="N44" i="201"/>
  <c r="N59" i="201"/>
  <c r="N89" i="201"/>
  <c r="N64" i="201"/>
  <c r="N15" i="201"/>
  <c r="N25" i="201"/>
  <c r="N39" i="201"/>
  <c r="N8" i="201"/>
  <c r="N88" i="201"/>
  <c r="N52" i="201"/>
  <c r="N33" i="201"/>
  <c r="N57" i="201"/>
  <c r="N61" i="201"/>
  <c r="N94" i="201"/>
  <c r="N48" i="201"/>
  <c r="N66" i="201"/>
  <c r="N45" i="201"/>
  <c r="N69" i="201"/>
  <c r="N19" i="201"/>
  <c r="N49" i="201"/>
  <c r="N54" i="201"/>
  <c r="N40" i="201"/>
  <c r="N75" i="201"/>
  <c r="N71" i="201"/>
  <c r="N11" i="201"/>
  <c r="N27" i="201"/>
  <c r="N42" i="201"/>
  <c r="N36" i="201"/>
  <c r="N20" i="201"/>
  <c r="N22" i="201"/>
  <c r="N31" i="201"/>
  <c r="N35" i="201"/>
  <c r="N93" i="201"/>
  <c r="N78" i="201"/>
  <c r="N62" i="201"/>
  <c r="N51" i="201"/>
  <c r="I31" i="263"/>
  <c r="J31" i="263"/>
  <c r="C21" i="255"/>
  <c r="D114" i="244" l="1"/>
  <c r="G114" i="251"/>
  <c r="O7" i="201"/>
  <c r="G21" i="251" s="1"/>
  <c r="N119" i="201"/>
  <c r="D52" i="244"/>
  <c r="G52" i="251"/>
  <c r="D93" i="244"/>
  <c r="G93" i="251"/>
  <c r="D118" i="244"/>
  <c r="G118" i="251"/>
  <c r="D101" i="244"/>
  <c r="G101" i="251"/>
  <c r="D120" i="244"/>
  <c r="O105" i="201"/>
  <c r="O103" i="201"/>
  <c r="D117" i="244" s="1"/>
  <c r="O101" i="201"/>
  <c r="O99" i="201"/>
  <c r="D113" i="244" s="1"/>
  <c r="O97" i="201"/>
  <c r="K31" i="263"/>
  <c r="O68" i="201"/>
  <c r="O17" i="201"/>
  <c r="D31" i="244" s="1"/>
  <c r="O95" i="201"/>
  <c r="O98" i="201"/>
  <c r="O81" i="201"/>
  <c r="D95" i="244" s="1"/>
  <c r="O96" i="201"/>
  <c r="O90" i="201"/>
  <c r="O86" i="201"/>
  <c r="O13" i="201"/>
  <c r="O70" i="201"/>
  <c r="O21" i="201"/>
  <c r="O48" i="201"/>
  <c r="O82" i="201"/>
  <c r="O89" i="201"/>
  <c r="O93" i="201"/>
  <c r="O16" i="201"/>
  <c r="O77" i="201"/>
  <c r="O78" i="201"/>
  <c r="O66" i="201"/>
  <c r="O20" i="201"/>
  <c r="O55" i="201"/>
  <c r="O28" i="201"/>
  <c r="O59" i="201"/>
  <c r="O14" i="201"/>
  <c r="O10" i="201"/>
  <c r="D24" i="244" s="1"/>
  <c r="O47" i="201"/>
  <c r="O43" i="201"/>
  <c r="O69" i="201"/>
  <c r="O35" i="201"/>
  <c r="O94" i="201"/>
  <c r="O33" i="201"/>
  <c r="O60" i="201"/>
  <c r="O91" i="201"/>
  <c r="O53" i="201"/>
  <c r="D21" i="255"/>
  <c r="D133" i="255" s="1"/>
  <c r="B21" i="255"/>
  <c r="C21" i="256"/>
  <c r="O42" i="201"/>
  <c r="O27" i="201"/>
  <c r="O52" i="201"/>
  <c r="O73" i="201"/>
  <c r="O34" i="201"/>
  <c r="O41" i="201"/>
  <c r="O23" i="201"/>
  <c r="O22" i="201"/>
  <c r="O36" i="201"/>
  <c r="D50" i="244" s="1"/>
  <c r="O18" i="201"/>
  <c r="O11" i="201"/>
  <c r="O88" i="201"/>
  <c r="O92" i="201"/>
  <c r="O26" i="201"/>
  <c r="O58" i="201"/>
  <c r="O71" i="201"/>
  <c r="O8" i="201"/>
  <c r="O63" i="201"/>
  <c r="O80" i="201"/>
  <c r="O9" i="201"/>
  <c r="O46" i="201"/>
  <c r="O76" i="201"/>
  <c r="O12" i="201"/>
  <c r="O62" i="201"/>
  <c r="O45" i="201"/>
  <c r="O56" i="201"/>
  <c r="O57" i="201"/>
  <c r="O75" i="201"/>
  <c r="O40" i="201"/>
  <c r="O25" i="201"/>
  <c r="O30" i="201"/>
  <c r="O65" i="201"/>
  <c r="O19" i="201"/>
  <c r="O44" i="201"/>
  <c r="O31" i="201"/>
  <c r="O61" i="201"/>
  <c r="O39" i="201"/>
  <c r="O54" i="201"/>
  <c r="O15" i="201"/>
  <c r="O67" i="201"/>
  <c r="O50" i="201"/>
  <c r="O24" i="201"/>
  <c r="O32" i="201"/>
  <c r="O72" i="201"/>
  <c r="D86" i="244" s="1"/>
  <c r="O51" i="201"/>
  <c r="O49" i="201"/>
  <c r="O64" i="201"/>
  <c r="O74" i="201"/>
  <c r="O29" i="201"/>
  <c r="D104" i="244" l="1"/>
  <c r="G104" i="251"/>
  <c r="D100" i="244"/>
  <c r="G100" i="251"/>
  <c r="C21" i="257"/>
  <c r="G21" i="256"/>
  <c r="D82" i="244"/>
  <c r="G82" i="251"/>
  <c r="D119" i="244"/>
  <c r="G119" i="251"/>
  <c r="D111" i="244"/>
  <c r="G111" i="251"/>
  <c r="D21" i="244"/>
  <c r="O119" i="201"/>
  <c r="D64" i="244"/>
  <c r="G64" i="251"/>
  <c r="D54" i="244"/>
  <c r="G54" i="251"/>
  <c r="D22" i="244"/>
  <c r="G22" i="251"/>
  <c r="D106" i="244"/>
  <c r="G106" i="251"/>
  <c r="D48" i="244"/>
  <c r="G48" i="251"/>
  <c r="D56" i="244"/>
  <c r="G56" i="251"/>
  <c r="D67" i="244"/>
  <c r="G67" i="251"/>
  <c r="D108" i="244"/>
  <c r="G108" i="251"/>
  <c r="D61" i="244"/>
  <c r="G61" i="251"/>
  <c r="D42" i="244"/>
  <c r="G42" i="251"/>
  <c r="D92" i="244"/>
  <c r="G92" i="251"/>
  <c r="D103" i="244"/>
  <c r="G103" i="251"/>
  <c r="D84" i="244"/>
  <c r="G84" i="251"/>
  <c r="D110" i="244"/>
  <c r="G110" i="251"/>
  <c r="D43" i="244"/>
  <c r="G43" i="251"/>
  <c r="D88" i="244"/>
  <c r="G88" i="251"/>
  <c r="D53" i="244"/>
  <c r="G53" i="251"/>
  <c r="D59" i="244"/>
  <c r="G59" i="251"/>
  <c r="D78" i="244"/>
  <c r="G78" i="251"/>
  <c r="D75" i="244"/>
  <c r="G75" i="251"/>
  <c r="D89" i="244"/>
  <c r="G89" i="251"/>
  <c r="D76" i="244"/>
  <c r="G76" i="251"/>
  <c r="D23" i="244"/>
  <c r="G23" i="251"/>
  <c r="D85" i="244"/>
  <c r="G85" i="251"/>
  <c r="D102" i="244"/>
  <c r="G102" i="251"/>
  <c r="D36" i="244"/>
  <c r="G36" i="251"/>
  <c r="D87" i="244"/>
  <c r="G87" i="251"/>
  <c r="D105" i="244"/>
  <c r="G105" i="251"/>
  <c r="D49" i="244"/>
  <c r="G49" i="251"/>
  <c r="D69" i="244"/>
  <c r="G69" i="251"/>
  <c r="D91" i="244"/>
  <c r="G91" i="251"/>
  <c r="D96" i="244"/>
  <c r="G96" i="251"/>
  <c r="D27" i="244"/>
  <c r="G27" i="251"/>
  <c r="D115" i="244"/>
  <c r="G115" i="251"/>
  <c r="D33" i="244"/>
  <c r="G33" i="251"/>
  <c r="D60" i="244"/>
  <c r="G60" i="251"/>
  <c r="D46" i="244"/>
  <c r="G46" i="251"/>
  <c r="D81" i="244"/>
  <c r="G81" i="251"/>
  <c r="D79" i="244"/>
  <c r="G79" i="251"/>
  <c r="D63" i="244"/>
  <c r="G63" i="251"/>
  <c r="D38" i="244"/>
  <c r="G38" i="251"/>
  <c r="D29" i="244"/>
  <c r="G29" i="251"/>
  <c r="D45" i="244"/>
  <c r="G45" i="251"/>
  <c r="D44" i="244"/>
  <c r="G44" i="251"/>
  <c r="D71" i="244"/>
  <c r="G71" i="251"/>
  <c r="D26" i="244"/>
  <c r="G26" i="251"/>
  <c r="D94" i="244"/>
  <c r="G94" i="251"/>
  <c r="D72" i="244"/>
  <c r="G72" i="251"/>
  <c r="D25" i="244"/>
  <c r="G25" i="251"/>
  <c r="D37" i="244"/>
  <c r="G37" i="251"/>
  <c r="D66" i="244"/>
  <c r="G66" i="251"/>
  <c r="D74" i="244"/>
  <c r="G74" i="251"/>
  <c r="D83" i="244"/>
  <c r="G83" i="251"/>
  <c r="D28" i="244"/>
  <c r="G28" i="251"/>
  <c r="D34" i="244"/>
  <c r="G34" i="251"/>
  <c r="D30" i="244"/>
  <c r="G30" i="251"/>
  <c r="D62" i="244"/>
  <c r="G62" i="251"/>
  <c r="D112" i="244"/>
  <c r="G112" i="251"/>
  <c r="D65" i="244"/>
  <c r="G65" i="251"/>
  <c r="D68" i="244"/>
  <c r="G68" i="251"/>
  <c r="D58" i="244"/>
  <c r="G58" i="251"/>
  <c r="D39" i="244"/>
  <c r="G39" i="251"/>
  <c r="D70" i="244"/>
  <c r="G70" i="251"/>
  <c r="D90" i="244"/>
  <c r="G90" i="251"/>
  <c r="D77" i="244"/>
  <c r="G77" i="251"/>
  <c r="D40" i="244"/>
  <c r="G40" i="251"/>
  <c r="D32" i="244"/>
  <c r="G32" i="251"/>
  <c r="D55" i="244"/>
  <c r="G55" i="251"/>
  <c r="D41" i="244"/>
  <c r="G41" i="251"/>
  <c r="D47" i="244"/>
  <c r="G47" i="251"/>
  <c r="D57" i="244"/>
  <c r="G57" i="251"/>
  <c r="D73" i="244"/>
  <c r="G73" i="251"/>
  <c r="D80" i="244"/>
  <c r="G80" i="251"/>
  <c r="D107" i="244"/>
  <c r="G107" i="251"/>
  <c r="D35" i="244"/>
  <c r="G35" i="251"/>
  <c r="D109" i="244"/>
  <c r="G109" i="251"/>
  <c r="B21" i="256"/>
  <c r="G21" i="257" l="1"/>
  <c r="F21" i="246"/>
  <c r="G133" i="251"/>
  <c r="D133" i="244"/>
  <c r="O133" i="257"/>
  <c r="B21" i="257"/>
  <c r="F133" i="246" l="1"/>
  <c r="BD21" i="246"/>
  <c r="F120" i="244"/>
  <c r="I120" i="244" s="1"/>
  <c r="F51" i="244"/>
  <c r="I51" i="244" s="1"/>
  <c r="F93" i="244"/>
  <c r="I93" i="244" s="1"/>
  <c r="F118" i="244" l="1"/>
  <c r="I118" i="244" s="1"/>
  <c r="F119" i="244"/>
  <c r="I119" i="244" s="1"/>
  <c r="F116" i="244"/>
  <c r="I116" i="244" s="1"/>
  <c r="F117" i="244"/>
  <c r="I117" i="244" s="1"/>
  <c r="F114" i="244"/>
  <c r="I114" i="244" s="1"/>
  <c r="F115" i="244"/>
  <c r="I115" i="244" s="1"/>
  <c r="F113" i="244"/>
  <c r="I113" i="244" s="1"/>
  <c r="F111" i="244"/>
  <c r="I111" i="244" s="1"/>
  <c r="F101" i="244"/>
  <c r="I101" i="244" s="1"/>
  <c r="F82" i="244"/>
  <c r="I82" i="244" s="1"/>
  <c r="F52" i="244"/>
  <c r="I52" i="244" s="1"/>
  <c r="F31" i="244"/>
  <c r="I31" i="244" s="1"/>
  <c r="F110" i="244"/>
  <c r="I110" i="244" s="1"/>
  <c r="F95" i="244"/>
  <c r="I95" i="244" s="1"/>
  <c r="F104" i="244"/>
  <c r="I104" i="244" s="1"/>
  <c r="F109" i="244"/>
  <c r="I109" i="244" s="1"/>
  <c r="F112" i="244"/>
  <c r="I112" i="244" s="1"/>
  <c r="F28" i="244"/>
  <c r="I28" i="244" s="1"/>
  <c r="F58" i="244"/>
  <c r="I58" i="244" s="1"/>
  <c r="F59" i="244"/>
  <c r="I59" i="244" s="1"/>
  <c r="F74" i="244"/>
  <c r="I74" i="244" s="1"/>
  <c r="F35" i="244"/>
  <c r="I35" i="244" s="1"/>
  <c r="F38" i="244"/>
  <c r="I38" i="244" s="1"/>
  <c r="F96" i="244"/>
  <c r="I96" i="244" s="1"/>
  <c r="F107" i="244"/>
  <c r="I107" i="244" s="1"/>
  <c r="F94" i="244"/>
  <c r="I94" i="244" s="1"/>
  <c r="F25" i="244"/>
  <c r="I25" i="244" s="1"/>
  <c r="F61" i="244"/>
  <c r="I61" i="244" s="1"/>
  <c r="F56" i="244"/>
  <c r="I56" i="244" s="1"/>
  <c r="F70" i="244"/>
  <c r="I70" i="244" s="1"/>
  <c r="F63" i="244"/>
  <c r="I63" i="244" s="1"/>
  <c r="F88" i="244"/>
  <c r="I88" i="244" s="1"/>
  <c r="F49" i="244"/>
  <c r="I49" i="244" s="1"/>
  <c r="F34" i="244"/>
  <c r="I34" i="244" s="1"/>
  <c r="F50" i="244"/>
  <c r="I50" i="244" s="1"/>
  <c r="F55" i="244"/>
  <c r="I55" i="244" s="1"/>
  <c r="F100" i="244"/>
  <c r="I100" i="244" s="1"/>
  <c r="F83" i="244"/>
  <c r="I83" i="244" s="1"/>
  <c r="F62" i="244"/>
  <c r="I62" i="244" s="1"/>
  <c r="F37" i="244"/>
  <c r="I37" i="244" s="1"/>
  <c r="F68" i="244"/>
  <c r="I68" i="244" s="1"/>
  <c r="F76" i="244"/>
  <c r="I76" i="244" s="1"/>
  <c r="F46" i="244"/>
  <c r="I46" i="244" s="1"/>
  <c r="F86" i="244"/>
  <c r="I86" i="244" s="1"/>
  <c r="F29" i="244"/>
  <c r="I29" i="244" s="1"/>
  <c r="F85" i="244"/>
  <c r="I85" i="244" s="1"/>
  <c r="F67" i="244"/>
  <c r="I67" i="244" s="1"/>
  <c r="F27" i="244"/>
  <c r="I27" i="244" s="1"/>
  <c r="F106" i="244"/>
  <c r="I106" i="244" s="1"/>
  <c r="F60" i="244"/>
  <c r="I60" i="244" s="1"/>
  <c r="F57" i="244"/>
  <c r="I57" i="244" s="1"/>
  <c r="F45" i="244"/>
  <c r="I45" i="244" s="1"/>
  <c r="F79" i="244"/>
  <c r="I79" i="244" s="1"/>
  <c r="F23" i="244"/>
  <c r="I23" i="244" s="1"/>
  <c r="F92" i="244"/>
  <c r="I92" i="244" s="1"/>
  <c r="F91" i="244"/>
  <c r="I91" i="244" s="1"/>
  <c r="F73" i="244"/>
  <c r="I73" i="244" s="1"/>
  <c r="F87" i="244"/>
  <c r="I87" i="244" s="1"/>
  <c r="F71" i="244"/>
  <c r="I71" i="244" s="1"/>
  <c r="F36" i="244"/>
  <c r="I36" i="244" s="1"/>
  <c r="F42" i="244"/>
  <c r="I42" i="244" s="1"/>
  <c r="F33" i="244"/>
  <c r="I33" i="244" s="1"/>
  <c r="F105" i="244"/>
  <c r="I105" i="244" s="1"/>
  <c r="F24" i="244"/>
  <c r="I24" i="244" s="1"/>
  <c r="F22" i="244"/>
  <c r="I22" i="244" s="1"/>
  <c r="F66" i="244"/>
  <c r="I66" i="244" s="1"/>
  <c r="F81" i="244"/>
  <c r="I81" i="244" s="1"/>
  <c r="F84" i="244"/>
  <c r="I84" i="244" s="1"/>
  <c r="F89" i="244"/>
  <c r="I89" i="244" s="1"/>
  <c r="F78" i="244"/>
  <c r="I78" i="244" s="1"/>
  <c r="F39" i="244"/>
  <c r="I39" i="244" s="1"/>
  <c r="F65" i="244"/>
  <c r="I65" i="244" s="1"/>
  <c r="F32" i="244"/>
  <c r="I32" i="244" s="1"/>
  <c r="F47" i="244"/>
  <c r="I47" i="244" s="1"/>
  <c r="F75" i="244"/>
  <c r="I75" i="244" s="1"/>
  <c r="F44" i="244"/>
  <c r="I44" i="244" s="1"/>
  <c r="F72" i="244"/>
  <c r="I72" i="244" s="1"/>
  <c r="F80" i="244"/>
  <c r="I80" i="244" s="1"/>
  <c r="F40" i="244"/>
  <c r="I40" i="244" s="1"/>
  <c r="F102" i="244"/>
  <c r="I102" i="244" s="1"/>
  <c r="F108" i="244"/>
  <c r="I108" i="244" s="1"/>
  <c r="F69" i="244"/>
  <c r="I69" i="244" s="1"/>
  <c r="F90" i="244"/>
  <c r="I90" i="244" s="1"/>
  <c r="F103" i="244"/>
  <c r="I103" i="244" s="1"/>
  <c r="F64" i="244"/>
  <c r="I64" i="244" s="1"/>
  <c r="F26" i="244"/>
  <c r="I26" i="244" s="1"/>
  <c r="F77" i="244"/>
  <c r="I77" i="244" s="1"/>
  <c r="F54" i="244"/>
  <c r="I54" i="244" s="1"/>
  <c r="F48" i="244"/>
  <c r="I48" i="244" s="1"/>
  <c r="F30" i="244"/>
  <c r="I30" i="244" s="1"/>
  <c r="F53" i="244"/>
  <c r="I53" i="244" s="1"/>
  <c r="F43" i="244"/>
  <c r="I43" i="244" s="1"/>
  <c r="F41" i="244"/>
  <c r="I41" i="244" s="1"/>
  <c r="F21" i="244" l="1"/>
  <c r="F133" i="244" s="1"/>
  <c r="I21" i="244" l="1"/>
  <c r="I133" i="244" s="1"/>
  <c r="J98" i="244" s="1"/>
  <c r="D98" i="245" l="1"/>
  <c r="R98" i="245" s="1"/>
  <c r="U98" i="245" s="1"/>
  <c r="K98" i="244"/>
  <c r="J129" i="244"/>
  <c r="J126" i="244"/>
  <c r="J125" i="244"/>
  <c r="J132" i="244"/>
  <c r="J127" i="244"/>
  <c r="J131" i="244"/>
  <c r="J121" i="244"/>
  <c r="D121" i="245" s="1"/>
  <c r="R121" i="245" s="1"/>
  <c r="U121" i="245" s="1"/>
  <c r="J124" i="244"/>
  <c r="K121" i="244"/>
  <c r="J120" i="244"/>
  <c r="G98" i="245" l="1"/>
  <c r="J98" i="245" s="1"/>
  <c r="D126" i="245"/>
  <c r="R126" i="245" s="1"/>
  <c r="U126" i="245" s="1"/>
  <c r="K126" i="244"/>
  <c r="D125" i="245"/>
  <c r="R125" i="245" s="1"/>
  <c r="U125" i="245" s="1"/>
  <c r="K125" i="244"/>
  <c r="D129" i="245"/>
  <c r="R129" i="245" s="1"/>
  <c r="U129" i="245" s="1"/>
  <c r="K129" i="244"/>
  <c r="J121" i="245"/>
  <c r="G121" i="245"/>
  <c r="D131" i="245"/>
  <c r="R131" i="245" s="1"/>
  <c r="U131" i="245" s="1"/>
  <c r="K131" i="244"/>
  <c r="D127" i="245"/>
  <c r="R127" i="245" s="1"/>
  <c r="U127" i="245" s="1"/>
  <c r="K127" i="244"/>
  <c r="D132" i="245"/>
  <c r="R132" i="245" s="1"/>
  <c r="U132" i="245" s="1"/>
  <c r="K132" i="244"/>
  <c r="K124" i="244"/>
  <c r="D124" i="245"/>
  <c r="R124" i="245" s="1"/>
  <c r="U124" i="245" s="1"/>
  <c r="D120" i="245"/>
  <c r="R120" i="245" s="1"/>
  <c r="U120" i="245" s="1"/>
  <c r="K120" i="244"/>
  <c r="J118" i="244"/>
  <c r="D118" i="245" s="1"/>
  <c r="R118" i="245" s="1"/>
  <c r="U118" i="245" s="1"/>
  <c r="J119" i="244"/>
  <c r="J116" i="244"/>
  <c r="D116" i="245" s="1"/>
  <c r="R116" i="245" s="1"/>
  <c r="U116" i="245" s="1"/>
  <c r="J117" i="244"/>
  <c r="J114" i="244"/>
  <c r="K114" i="244" s="1"/>
  <c r="J115" i="244"/>
  <c r="J51" i="244"/>
  <c r="D51" i="245" s="1"/>
  <c r="R51" i="245" s="1"/>
  <c r="U51" i="245" s="1"/>
  <c r="J113" i="244"/>
  <c r="J93" i="244"/>
  <c r="D93" i="245" s="1"/>
  <c r="R93" i="245" s="1"/>
  <c r="U93" i="245" s="1"/>
  <c r="J111" i="244"/>
  <c r="J82" i="244"/>
  <c r="J31" i="244"/>
  <c r="J52" i="244"/>
  <c r="J101" i="244"/>
  <c r="J21" i="244"/>
  <c r="J112" i="244"/>
  <c r="J109" i="244"/>
  <c r="J104" i="244"/>
  <c r="J110" i="244"/>
  <c r="J95" i="244"/>
  <c r="J75" i="244"/>
  <c r="J63" i="244"/>
  <c r="J90" i="244"/>
  <c r="J41" i="244"/>
  <c r="J103" i="244"/>
  <c r="J69" i="244"/>
  <c r="J68" i="244"/>
  <c r="J77" i="244"/>
  <c r="J64" i="244"/>
  <c r="J26" i="244"/>
  <c r="J59" i="244"/>
  <c r="J102" i="244"/>
  <c r="J48" i="244"/>
  <c r="J81" i="244"/>
  <c r="J66" i="244"/>
  <c r="J43" i="244"/>
  <c r="J49" i="244"/>
  <c r="J92" i="244"/>
  <c r="J30" i="244"/>
  <c r="J106" i="244"/>
  <c r="J29" i="244"/>
  <c r="J89" i="244"/>
  <c r="J73" i="244"/>
  <c r="J91" i="244"/>
  <c r="J42" i="244"/>
  <c r="J108" i="244"/>
  <c r="J86" i="244"/>
  <c r="J96" i="244"/>
  <c r="J53" i="244"/>
  <c r="J23" i="244"/>
  <c r="J74" i="244"/>
  <c r="J25" i="244"/>
  <c r="J62" i="244"/>
  <c r="J24" i="244"/>
  <c r="J45" i="244"/>
  <c r="J57" i="244"/>
  <c r="J34" i="244"/>
  <c r="J56" i="244"/>
  <c r="J78" i="244"/>
  <c r="J100" i="244"/>
  <c r="J55" i="244"/>
  <c r="J37" i="244"/>
  <c r="J38" i="244"/>
  <c r="J54" i="244"/>
  <c r="J70" i="244"/>
  <c r="J44" i="244"/>
  <c r="J80" i="244"/>
  <c r="J84" i="244"/>
  <c r="J88" i="244"/>
  <c r="J32" i="244"/>
  <c r="J50" i="244"/>
  <c r="J22" i="244"/>
  <c r="J107" i="244"/>
  <c r="J28" i="244"/>
  <c r="J33" i="244"/>
  <c r="J71" i="244"/>
  <c r="J79" i="244"/>
  <c r="J85" i="244"/>
  <c r="J72" i="244"/>
  <c r="J39" i="244"/>
  <c r="J40" i="244"/>
  <c r="J76" i="244"/>
  <c r="J60" i="244"/>
  <c r="J65" i="244"/>
  <c r="J94" i="244"/>
  <c r="J61" i="244"/>
  <c r="J35" i="244"/>
  <c r="J27" i="244"/>
  <c r="J83" i="244"/>
  <c r="J36" i="244"/>
  <c r="J47" i="244"/>
  <c r="J67" i="244"/>
  <c r="J105" i="244"/>
  <c r="J87" i="244"/>
  <c r="J58" i="244"/>
  <c r="J46" i="244"/>
  <c r="E98" i="246" l="1"/>
  <c r="E98" i="251"/>
  <c r="J129" i="245"/>
  <c r="G129" i="245"/>
  <c r="J125" i="245"/>
  <c r="G125" i="245"/>
  <c r="G126" i="245"/>
  <c r="J126" i="245" s="1"/>
  <c r="E121" i="246"/>
  <c r="E121" i="251"/>
  <c r="G124" i="245"/>
  <c r="J124" i="245"/>
  <c r="G127" i="245"/>
  <c r="J127" i="245" s="1"/>
  <c r="G132" i="245"/>
  <c r="J132" i="245" s="1"/>
  <c r="G131" i="245"/>
  <c r="J131" i="245" s="1"/>
  <c r="D21" i="245"/>
  <c r="R21" i="245" s="1"/>
  <c r="U21" i="245" s="1"/>
  <c r="J133" i="244"/>
  <c r="G120" i="245"/>
  <c r="J120" i="245" s="1"/>
  <c r="K118" i="244"/>
  <c r="D119" i="245"/>
  <c r="R119" i="245" s="1"/>
  <c r="U119" i="245" s="1"/>
  <c r="K119" i="244"/>
  <c r="K116" i="244"/>
  <c r="G118" i="245"/>
  <c r="J118" i="245" s="1"/>
  <c r="D117" i="245"/>
  <c r="R117" i="245" s="1"/>
  <c r="U117" i="245" s="1"/>
  <c r="K117" i="244"/>
  <c r="D114" i="245"/>
  <c r="R114" i="245" s="1"/>
  <c r="U114" i="245" s="1"/>
  <c r="G114" i="245" s="1"/>
  <c r="J114" i="245" s="1"/>
  <c r="G116" i="245"/>
  <c r="J116" i="245" s="1"/>
  <c r="D115" i="245"/>
  <c r="R115" i="245" s="1"/>
  <c r="U115" i="245" s="1"/>
  <c r="K115" i="244"/>
  <c r="K51" i="244"/>
  <c r="D113" i="245"/>
  <c r="R113" i="245" s="1"/>
  <c r="U113" i="245" s="1"/>
  <c r="K113" i="244"/>
  <c r="K93" i="244"/>
  <c r="G51" i="245"/>
  <c r="J51" i="245" s="1"/>
  <c r="D111" i="245"/>
  <c r="R111" i="245" s="1"/>
  <c r="U111" i="245" s="1"/>
  <c r="K111" i="244"/>
  <c r="G93" i="245"/>
  <c r="J93" i="245" s="1"/>
  <c r="K21" i="244"/>
  <c r="D101" i="245"/>
  <c r="R101" i="245" s="1"/>
  <c r="U101" i="245" s="1"/>
  <c r="K101" i="244"/>
  <c r="D52" i="245"/>
  <c r="R52" i="245" s="1"/>
  <c r="U52" i="245" s="1"/>
  <c r="K52" i="244"/>
  <c r="D31" i="245"/>
  <c r="R31" i="245" s="1"/>
  <c r="U31" i="245" s="1"/>
  <c r="K31" i="244"/>
  <c r="D82" i="245"/>
  <c r="R82" i="245" s="1"/>
  <c r="U82" i="245" s="1"/>
  <c r="K82" i="244"/>
  <c r="D104" i="245"/>
  <c r="R104" i="245" s="1"/>
  <c r="U104" i="245" s="1"/>
  <c r="K104" i="244"/>
  <c r="D109" i="245"/>
  <c r="R109" i="245" s="1"/>
  <c r="U109" i="245" s="1"/>
  <c r="K109" i="244"/>
  <c r="D95" i="245"/>
  <c r="R95" i="245" s="1"/>
  <c r="U95" i="245" s="1"/>
  <c r="K95" i="244"/>
  <c r="D112" i="245"/>
  <c r="R112" i="245" s="1"/>
  <c r="U112" i="245" s="1"/>
  <c r="K112" i="244"/>
  <c r="D110" i="245"/>
  <c r="R110" i="245" s="1"/>
  <c r="U110" i="245" s="1"/>
  <c r="K110" i="244"/>
  <c r="D59" i="245"/>
  <c r="R59" i="245" s="1"/>
  <c r="U59" i="245" s="1"/>
  <c r="K59" i="244"/>
  <c r="D26" i="245"/>
  <c r="R26" i="245" s="1"/>
  <c r="U26" i="245" s="1"/>
  <c r="K26" i="244"/>
  <c r="D48" i="245"/>
  <c r="R48" i="245" s="1"/>
  <c r="U48" i="245" s="1"/>
  <c r="K48" i="244"/>
  <c r="D55" i="245"/>
  <c r="R55" i="245" s="1"/>
  <c r="U55" i="245" s="1"/>
  <c r="K55" i="244"/>
  <c r="D64" i="245"/>
  <c r="R64" i="245" s="1"/>
  <c r="U64" i="245" s="1"/>
  <c r="K64" i="244"/>
  <c r="D54" i="245"/>
  <c r="R54" i="245" s="1"/>
  <c r="U54" i="245" s="1"/>
  <c r="K54" i="244"/>
  <c r="D71" i="245"/>
  <c r="R71" i="245" s="1"/>
  <c r="U71" i="245" s="1"/>
  <c r="K71" i="244"/>
  <c r="D77" i="245"/>
  <c r="R77" i="245" s="1"/>
  <c r="U77" i="245" s="1"/>
  <c r="K77" i="244"/>
  <c r="D70" i="245"/>
  <c r="R70" i="245" s="1"/>
  <c r="U70" i="245" s="1"/>
  <c r="K70" i="244"/>
  <c r="D68" i="245"/>
  <c r="R68" i="245" s="1"/>
  <c r="U68" i="245" s="1"/>
  <c r="K68" i="244"/>
  <c r="D38" i="245"/>
  <c r="R38" i="245" s="1"/>
  <c r="U38" i="245" s="1"/>
  <c r="K38" i="244"/>
  <c r="D91" i="245"/>
  <c r="R91" i="245" s="1"/>
  <c r="U91" i="245" s="1"/>
  <c r="K91" i="244"/>
  <c r="D89" i="245"/>
  <c r="R89" i="245" s="1"/>
  <c r="U89" i="245" s="1"/>
  <c r="K89" i="244"/>
  <c r="D69" i="245"/>
  <c r="R69" i="245" s="1"/>
  <c r="U69" i="245" s="1"/>
  <c r="K69" i="244"/>
  <c r="D102" i="245"/>
  <c r="R102" i="245" s="1"/>
  <c r="U102" i="245" s="1"/>
  <c r="K102" i="244"/>
  <c r="D42" i="245"/>
  <c r="R42" i="245" s="1"/>
  <c r="U42" i="245" s="1"/>
  <c r="K42" i="244"/>
  <c r="D107" i="245"/>
  <c r="R107" i="245" s="1"/>
  <c r="U107" i="245" s="1"/>
  <c r="K107" i="244"/>
  <c r="D34" i="245"/>
  <c r="R34" i="245" s="1"/>
  <c r="U34" i="245" s="1"/>
  <c r="K34" i="244"/>
  <c r="D29" i="245"/>
  <c r="R29" i="245" s="1"/>
  <c r="U29" i="245" s="1"/>
  <c r="K29" i="244"/>
  <c r="D103" i="245"/>
  <c r="R103" i="245" s="1"/>
  <c r="U103" i="245" s="1"/>
  <c r="K103" i="244"/>
  <c r="D53" i="245"/>
  <c r="R53" i="245" s="1"/>
  <c r="U53" i="245" s="1"/>
  <c r="K53" i="244"/>
  <c r="D87" i="245"/>
  <c r="R87" i="245" s="1"/>
  <c r="U87" i="245" s="1"/>
  <c r="K87" i="244"/>
  <c r="D67" i="245"/>
  <c r="R67" i="245" s="1"/>
  <c r="U67" i="245" s="1"/>
  <c r="K67" i="244"/>
  <c r="D28" i="245"/>
  <c r="R28" i="245" s="1"/>
  <c r="U28" i="245" s="1"/>
  <c r="K28" i="244"/>
  <c r="D57" i="245"/>
  <c r="R57" i="245" s="1"/>
  <c r="U57" i="245" s="1"/>
  <c r="K57" i="244"/>
  <c r="D106" i="245"/>
  <c r="R106" i="245" s="1"/>
  <c r="U106" i="245" s="1"/>
  <c r="K106" i="244"/>
  <c r="D41" i="245"/>
  <c r="R41" i="245" s="1"/>
  <c r="U41" i="245" s="1"/>
  <c r="K41" i="244"/>
  <c r="D46" i="245"/>
  <c r="R46" i="245" s="1"/>
  <c r="U46" i="245" s="1"/>
  <c r="K46" i="244"/>
  <c r="D85" i="245"/>
  <c r="R85" i="245" s="1"/>
  <c r="U85" i="245" s="1"/>
  <c r="K85" i="244"/>
  <c r="D73" i="245"/>
  <c r="R73" i="245" s="1"/>
  <c r="U73" i="245" s="1"/>
  <c r="K73" i="244"/>
  <c r="D45" i="245"/>
  <c r="R45" i="245" s="1"/>
  <c r="U45" i="245" s="1"/>
  <c r="K45" i="244"/>
  <c r="D30" i="245"/>
  <c r="R30" i="245" s="1"/>
  <c r="U30" i="245" s="1"/>
  <c r="K30" i="244"/>
  <c r="D90" i="245"/>
  <c r="R90" i="245" s="1"/>
  <c r="U90" i="245" s="1"/>
  <c r="K90" i="244"/>
  <c r="D40" i="245"/>
  <c r="R40" i="245" s="1"/>
  <c r="U40" i="245" s="1"/>
  <c r="K40" i="244"/>
  <c r="D58" i="245"/>
  <c r="R58" i="245" s="1"/>
  <c r="U58" i="245" s="1"/>
  <c r="K58" i="244"/>
  <c r="D79" i="245"/>
  <c r="R79" i="245" s="1"/>
  <c r="U79" i="245" s="1"/>
  <c r="K79" i="244"/>
  <c r="D56" i="245"/>
  <c r="R56" i="245" s="1"/>
  <c r="U56" i="245" s="1"/>
  <c r="K56" i="244"/>
  <c r="D61" i="245"/>
  <c r="R61" i="245" s="1"/>
  <c r="U61" i="245" s="1"/>
  <c r="K61" i="244"/>
  <c r="D32" i="245"/>
  <c r="R32" i="245" s="1"/>
  <c r="U32" i="245" s="1"/>
  <c r="K32" i="244"/>
  <c r="D24" i="245"/>
  <c r="R24" i="245" s="1"/>
  <c r="U24" i="245" s="1"/>
  <c r="K24" i="244"/>
  <c r="D92" i="245"/>
  <c r="R92" i="245" s="1"/>
  <c r="U92" i="245" s="1"/>
  <c r="K92" i="244"/>
  <c r="D63" i="245"/>
  <c r="R63" i="245" s="1"/>
  <c r="U63" i="245" s="1"/>
  <c r="K63" i="244"/>
  <c r="D96" i="245"/>
  <c r="R96" i="245" s="1"/>
  <c r="U96" i="245" s="1"/>
  <c r="K96" i="244"/>
  <c r="D108" i="245"/>
  <c r="R108" i="245" s="1"/>
  <c r="U108" i="245" s="1"/>
  <c r="K108" i="244"/>
  <c r="D33" i="245"/>
  <c r="R33" i="245" s="1"/>
  <c r="U33" i="245" s="1"/>
  <c r="K33" i="244"/>
  <c r="D27" i="245"/>
  <c r="R27" i="245" s="1"/>
  <c r="U27" i="245" s="1"/>
  <c r="K27" i="244"/>
  <c r="D94" i="245"/>
  <c r="R94" i="245" s="1"/>
  <c r="U94" i="245" s="1"/>
  <c r="K94" i="244"/>
  <c r="D88" i="245"/>
  <c r="R88" i="245" s="1"/>
  <c r="U88" i="245" s="1"/>
  <c r="K88" i="244"/>
  <c r="D62" i="245"/>
  <c r="R62" i="245" s="1"/>
  <c r="U62" i="245" s="1"/>
  <c r="K62" i="244"/>
  <c r="D49" i="245"/>
  <c r="R49" i="245" s="1"/>
  <c r="U49" i="245" s="1"/>
  <c r="K49" i="244"/>
  <c r="D75" i="245"/>
  <c r="R75" i="245" s="1"/>
  <c r="U75" i="245" s="1"/>
  <c r="K75" i="244"/>
  <c r="D86" i="245"/>
  <c r="R86" i="245" s="1"/>
  <c r="U86" i="245" s="1"/>
  <c r="K86" i="244"/>
  <c r="D100" i="245"/>
  <c r="R100" i="245" s="1"/>
  <c r="U100" i="245" s="1"/>
  <c r="K100" i="244"/>
  <c r="D36" i="245"/>
  <c r="R36" i="245" s="1"/>
  <c r="U36" i="245" s="1"/>
  <c r="K36" i="244"/>
  <c r="D50" i="245"/>
  <c r="R50" i="245" s="1"/>
  <c r="U50" i="245" s="1"/>
  <c r="K50" i="244"/>
  <c r="D84" i="245"/>
  <c r="R84" i="245" s="1"/>
  <c r="U84" i="245" s="1"/>
  <c r="K84" i="244"/>
  <c r="D25" i="245"/>
  <c r="R25" i="245" s="1"/>
  <c r="U25" i="245" s="1"/>
  <c r="K25" i="244"/>
  <c r="D43" i="245"/>
  <c r="R43" i="245" s="1"/>
  <c r="U43" i="245" s="1"/>
  <c r="K43" i="244"/>
  <c r="D39" i="245"/>
  <c r="R39" i="245" s="1"/>
  <c r="U39" i="245" s="1"/>
  <c r="K39" i="244"/>
  <c r="D37" i="245"/>
  <c r="R37" i="245" s="1"/>
  <c r="U37" i="245" s="1"/>
  <c r="K37" i="244"/>
  <c r="D78" i="245"/>
  <c r="R78" i="245" s="1"/>
  <c r="U78" i="245" s="1"/>
  <c r="K78" i="244"/>
  <c r="D22" i="245"/>
  <c r="R22" i="245" s="1"/>
  <c r="U22" i="245" s="1"/>
  <c r="K22" i="244"/>
  <c r="D80" i="245"/>
  <c r="R80" i="245" s="1"/>
  <c r="U80" i="245" s="1"/>
  <c r="K80" i="244"/>
  <c r="D74" i="245"/>
  <c r="R74" i="245" s="1"/>
  <c r="U74" i="245" s="1"/>
  <c r="K74" i="244"/>
  <c r="D66" i="245"/>
  <c r="R66" i="245" s="1"/>
  <c r="U66" i="245" s="1"/>
  <c r="K66" i="244"/>
  <c r="D72" i="245"/>
  <c r="R72" i="245" s="1"/>
  <c r="U72" i="245" s="1"/>
  <c r="K72" i="244"/>
  <c r="D105" i="245"/>
  <c r="R105" i="245" s="1"/>
  <c r="U105" i="245" s="1"/>
  <c r="K105" i="244"/>
  <c r="D47" i="245"/>
  <c r="R47" i="245" s="1"/>
  <c r="U47" i="245" s="1"/>
  <c r="K47" i="244"/>
  <c r="D83" i="245"/>
  <c r="R83" i="245" s="1"/>
  <c r="U83" i="245" s="1"/>
  <c r="K83" i="244"/>
  <c r="D35" i="245"/>
  <c r="R35" i="245" s="1"/>
  <c r="U35" i="245" s="1"/>
  <c r="K35" i="244"/>
  <c r="D65" i="245"/>
  <c r="R65" i="245" s="1"/>
  <c r="U65" i="245" s="1"/>
  <c r="K65" i="244"/>
  <c r="D60" i="245"/>
  <c r="R60" i="245" s="1"/>
  <c r="U60" i="245" s="1"/>
  <c r="K60" i="244"/>
  <c r="D76" i="245"/>
  <c r="R76" i="245" s="1"/>
  <c r="U76" i="245" s="1"/>
  <c r="K76" i="244"/>
  <c r="D44" i="245"/>
  <c r="R44" i="245" s="1"/>
  <c r="U44" i="245" s="1"/>
  <c r="K44" i="244"/>
  <c r="D23" i="245"/>
  <c r="R23" i="245" s="1"/>
  <c r="U23" i="245" s="1"/>
  <c r="K23" i="244"/>
  <c r="D81" i="245"/>
  <c r="R81" i="245" s="1"/>
  <c r="U81" i="245" s="1"/>
  <c r="K81" i="244"/>
  <c r="E126" i="251" l="1"/>
  <c r="E126" i="246"/>
  <c r="E125" i="246"/>
  <c r="E125" i="251"/>
  <c r="E129" i="251"/>
  <c r="E129" i="246"/>
  <c r="E127" i="246"/>
  <c r="E127" i="251"/>
  <c r="E131" i="246"/>
  <c r="E131" i="251"/>
  <c r="E132" i="246"/>
  <c r="E132" i="251"/>
  <c r="E124" i="246"/>
  <c r="E124" i="251"/>
  <c r="E120" i="246"/>
  <c r="E120" i="251"/>
  <c r="D133" i="245"/>
  <c r="K133" i="244"/>
  <c r="G119" i="245"/>
  <c r="E119" i="251" s="1"/>
  <c r="E118" i="246"/>
  <c r="E118" i="251"/>
  <c r="G117" i="245"/>
  <c r="J117" i="245" s="1"/>
  <c r="E116" i="246"/>
  <c r="E116" i="251"/>
  <c r="G115" i="245"/>
  <c r="J115" i="245" s="1"/>
  <c r="E114" i="246"/>
  <c r="E114" i="251"/>
  <c r="G113" i="245"/>
  <c r="J113" i="245" s="1"/>
  <c r="E51" i="246"/>
  <c r="E51" i="251"/>
  <c r="G111" i="245"/>
  <c r="J111" i="245" s="1"/>
  <c r="E93" i="246"/>
  <c r="E93" i="251"/>
  <c r="G82" i="245"/>
  <c r="J82" i="245" s="1"/>
  <c r="G52" i="245"/>
  <c r="J52" i="245" s="1"/>
  <c r="G31" i="245"/>
  <c r="J31" i="245" s="1"/>
  <c r="G101" i="245"/>
  <c r="G112" i="245"/>
  <c r="J112" i="245" s="1"/>
  <c r="G109" i="245"/>
  <c r="G110" i="245"/>
  <c r="G95" i="245"/>
  <c r="J95" i="245" s="1"/>
  <c r="G104" i="245"/>
  <c r="J104" i="245" s="1"/>
  <c r="G84" i="245"/>
  <c r="J84" i="245" s="1"/>
  <c r="G35" i="245"/>
  <c r="G45" i="245"/>
  <c r="J45" i="245" s="1"/>
  <c r="G67" i="245"/>
  <c r="G102" i="245"/>
  <c r="J102" i="245" s="1"/>
  <c r="G71" i="245"/>
  <c r="G83" i="245"/>
  <c r="J83" i="245" s="1"/>
  <c r="G30" i="245"/>
  <c r="J30" i="245" s="1"/>
  <c r="G27" i="245"/>
  <c r="J27" i="245" s="1"/>
  <c r="G61" i="245"/>
  <c r="J61" i="245" s="1"/>
  <c r="G73" i="245"/>
  <c r="J73" i="245" s="1"/>
  <c r="G87" i="245"/>
  <c r="J87" i="245" s="1"/>
  <c r="G69" i="245"/>
  <c r="J69" i="245" s="1"/>
  <c r="G54" i="245"/>
  <c r="J54" i="245" s="1"/>
  <c r="G24" i="245"/>
  <c r="G78" i="245"/>
  <c r="J78" i="245" s="1"/>
  <c r="G47" i="245"/>
  <c r="J47" i="245" s="1"/>
  <c r="G32" i="245"/>
  <c r="J32" i="245" s="1"/>
  <c r="G100" i="245"/>
  <c r="G33" i="245"/>
  <c r="G56" i="245"/>
  <c r="J56" i="245" s="1"/>
  <c r="G85" i="245"/>
  <c r="J85" i="245" s="1"/>
  <c r="G53" i="245"/>
  <c r="J53" i="245" s="1"/>
  <c r="G89" i="245"/>
  <c r="J89" i="245" s="1"/>
  <c r="G64" i="245"/>
  <c r="G65" i="245"/>
  <c r="G50" i="245"/>
  <c r="J50" i="245" s="1"/>
  <c r="G37" i="245"/>
  <c r="J37" i="245" s="1"/>
  <c r="G23" i="245"/>
  <c r="G105" i="245"/>
  <c r="J105" i="245" s="1"/>
  <c r="G22" i="245"/>
  <c r="J22" i="245" s="1"/>
  <c r="G39" i="245"/>
  <c r="J39" i="245" s="1"/>
  <c r="G86" i="245"/>
  <c r="G108" i="245"/>
  <c r="J108" i="245" s="1"/>
  <c r="G79" i="245"/>
  <c r="G46" i="245"/>
  <c r="J46" i="245" s="1"/>
  <c r="G103" i="245"/>
  <c r="J103" i="245" s="1"/>
  <c r="G91" i="245"/>
  <c r="J91" i="245" s="1"/>
  <c r="G55" i="245"/>
  <c r="J55" i="245" s="1"/>
  <c r="G80" i="245"/>
  <c r="J80" i="245" s="1"/>
  <c r="G36" i="245"/>
  <c r="G44" i="245"/>
  <c r="J44" i="245" s="1"/>
  <c r="G72" i="245"/>
  <c r="G77" i="245"/>
  <c r="G75" i="245"/>
  <c r="J75" i="245" s="1"/>
  <c r="G96" i="245"/>
  <c r="J96" i="245" s="1"/>
  <c r="G58" i="245"/>
  <c r="G41" i="245"/>
  <c r="G29" i="245"/>
  <c r="G38" i="245"/>
  <c r="G48" i="245"/>
  <c r="G28" i="245"/>
  <c r="J28" i="245" s="1"/>
  <c r="G81" i="245"/>
  <c r="J81" i="245" s="1"/>
  <c r="U18" i="245"/>
  <c r="G21" i="245"/>
  <c r="G76" i="245"/>
  <c r="J76" i="245" s="1"/>
  <c r="G88" i="245"/>
  <c r="J88" i="245" s="1"/>
  <c r="G66" i="245"/>
  <c r="J66" i="245" s="1"/>
  <c r="G49" i="245"/>
  <c r="J49" i="245" s="1"/>
  <c r="G63" i="245"/>
  <c r="J63" i="245" s="1"/>
  <c r="G40" i="245"/>
  <c r="J40" i="245" s="1"/>
  <c r="G106" i="245"/>
  <c r="J106" i="245" s="1"/>
  <c r="G34" i="245"/>
  <c r="G68" i="245"/>
  <c r="J68" i="245" s="1"/>
  <c r="G26" i="245"/>
  <c r="G42" i="245"/>
  <c r="J42" i="245" s="1"/>
  <c r="G43" i="245"/>
  <c r="J43" i="245" s="1"/>
  <c r="G60" i="245"/>
  <c r="G94" i="245"/>
  <c r="G74" i="245"/>
  <c r="J74" i="245" s="1"/>
  <c r="G25" i="245"/>
  <c r="J25" i="245" s="1"/>
  <c r="G62" i="245"/>
  <c r="J62" i="245" s="1"/>
  <c r="G92" i="245"/>
  <c r="G90" i="245"/>
  <c r="G57" i="245"/>
  <c r="G107" i="245"/>
  <c r="J107" i="245" s="1"/>
  <c r="G70" i="245"/>
  <c r="G59" i="245"/>
  <c r="K123" i="245" l="1"/>
  <c r="D123" i="246" s="1"/>
  <c r="G123" i="246" s="1"/>
  <c r="L123" i="245"/>
  <c r="K121" i="245"/>
  <c r="L121" i="245"/>
  <c r="K99" i="245"/>
  <c r="D99" i="246" s="1"/>
  <c r="G99" i="246" s="1"/>
  <c r="L99" i="245"/>
  <c r="J21" i="245"/>
  <c r="G133" i="245"/>
  <c r="G138" i="245" s="1"/>
  <c r="J119" i="245"/>
  <c r="E119" i="246"/>
  <c r="E117" i="251"/>
  <c r="E117" i="246"/>
  <c r="E115" i="246"/>
  <c r="E115" i="251"/>
  <c r="E113" i="246"/>
  <c r="E113" i="251"/>
  <c r="E111" i="246"/>
  <c r="E111" i="251"/>
  <c r="E101" i="246"/>
  <c r="E101" i="251"/>
  <c r="J101" i="245"/>
  <c r="E52" i="251"/>
  <c r="E52" i="246"/>
  <c r="E31" i="246"/>
  <c r="E31" i="251"/>
  <c r="E82" i="246"/>
  <c r="E82" i="251"/>
  <c r="E109" i="246"/>
  <c r="E109" i="251"/>
  <c r="E95" i="251"/>
  <c r="E95" i="246"/>
  <c r="J109" i="245"/>
  <c r="E110" i="246"/>
  <c r="E110" i="251"/>
  <c r="E104" i="246"/>
  <c r="E104" i="251"/>
  <c r="J110" i="245"/>
  <c r="E112" i="246"/>
  <c r="E112" i="251"/>
  <c r="E39" i="251"/>
  <c r="E39" i="246"/>
  <c r="E78" i="251"/>
  <c r="E78" i="246"/>
  <c r="E30" i="246"/>
  <c r="E30" i="251"/>
  <c r="E89" i="246"/>
  <c r="E89" i="251"/>
  <c r="E22" i="251"/>
  <c r="E22" i="246"/>
  <c r="E53" i="246"/>
  <c r="E53" i="251"/>
  <c r="E24" i="246"/>
  <c r="E24" i="251"/>
  <c r="E21" i="246"/>
  <c r="E21" i="251"/>
  <c r="J24" i="245"/>
  <c r="E83" i="246"/>
  <c r="E83" i="251"/>
  <c r="E68" i="246"/>
  <c r="E68" i="251"/>
  <c r="E105" i="251"/>
  <c r="E105" i="246"/>
  <c r="E71" i="251"/>
  <c r="E71" i="246"/>
  <c r="E59" i="246"/>
  <c r="E59" i="251"/>
  <c r="E91" i="251"/>
  <c r="E91" i="246"/>
  <c r="E85" i="246"/>
  <c r="E85" i="251"/>
  <c r="E54" i="251"/>
  <c r="E54" i="246"/>
  <c r="J71" i="245"/>
  <c r="E58" i="251"/>
  <c r="E58" i="246"/>
  <c r="E94" i="251"/>
  <c r="E94" i="246"/>
  <c r="E23" i="251"/>
  <c r="E23" i="246"/>
  <c r="E55" i="246"/>
  <c r="E55" i="251"/>
  <c r="E77" i="251"/>
  <c r="E77" i="246"/>
  <c r="J23" i="245"/>
  <c r="E56" i="251"/>
  <c r="E56" i="246"/>
  <c r="E69" i="251"/>
  <c r="E69" i="246"/>
  <c r="E102" i="246"/>
  <c r="E102" i="251"/>
  <c r="E60" i="246"/>
  <c r="E60" i="251"/>
  <c r="E28" i="246"/>
  <c r="E28" i="251"/>
  <c r="J77" i="245"/>
  <c r="E33" i="246"/>
  <c r="E33" i="251"/>
  <c r="E67" i="246"/>
  <c r="E67" i="251"/>
  <c r="E34" i="251"/>
  <c r="E34" i="246"/>
  <c r="E96" i="251"/>
  <c r="E96" i="246"/>
  <c r="E70" i="246"/>
  <c r="E70" i="251"/>
  <c r="E48" i="246"/>
  <c r="E48" i="251"/>
  <c r="E46" i="251"/>
  <c r="E46" i="246"/>
  <c r="E37" i="246"/>
  <c r="E37" i="251"/>
  <c r="J33" i="245"/>
  <c r="E87" i="251"/>
  <c r="E87" i="246"/>
  <c r="J67" i="245"/>
  <c r="E81" i="251"/>
  <c r="E81" i="246"/>
  <c r="J48" i="245"/>
  <c r="E72" i="246"/>
  <c r="E72" i="251"/>
  <c r="E79" i="251"/>
  <c r="E79" i="246"/>
  <c r="E100" i="251"/>
  <c r="E100" i="246"/>
  <c r="E41" i="246"/>
  <c r="E41" i="251"/>
  <c r="E75" i="246"/>
  <c r="E75" i="251"/>
  <c r="E107" i="246"/>
  <c r="E107" i="251"/>
  <c r="E57" i="246"/>
  <c r="E57" i="251"/>
  <c r="E49" i="251"/>
  <c r="E49" i="246"/>
  <c r="E38" i="246"/>
  <c r="E38" i="251"/>
  <c r="J72" i="245"/>
  <c r="J79" i="245"/>
  <c r="E50" i="251"/>
  <c r="E50" i="246"/>
  <c r="J100" i="245"/>
  <c r="E73" i="251"/>
  <c r="E73" i="246"/>
  <c r="E45" i="251"/>
  <c r="E45" i="246"/>
  <c r="E80" i="246"/>
  <c r="E80" i="251"/>
  <c r="J58" i="245"/>
  <c r="E106" i="251"/>
  <c r="E106" i="246"/>
  <c r="E103" i="246"/>
  <c r="E103" i="251"/>
  <c r="J60" i="245"/>
  <c r="J38" i="245"/>
  <c r="E65" i="246"/>
  <c r="E65" i="251"/>
  <c r="E35" i="246"/>
  <c r="E35" i="251"/>
  <c r="E25" i="246"/>
  <c r="E25" i="251"/>
  <c r="E74" i="246"/>
  <c r="E74" i="251"/>
  <c r="E40" i="246"/>
  <c r="E40" i="251"/>
  <c r="E43" i="246"/>
  <c r="E43" i="251"/>
  <c r="E42" i="246"/>
  <c r="E42" i="251"/>
  <c r="E66" i="251"/>
  <c r="E66" i="246"/>
  <c r="E29" i="246"/>
  <c r="E29" i="251"/>
  <c r="E44" i="251"/>
  <c r="E44" i="246"/>
  <c r="E108" i="246"/>
  <c r="E108" i="251"/>
  <c r="J65" i="245"/>
  <c r="E32" i="251"/>
  <c r="E32" i="246"/>
  <c r="E61" i="251"/>
  <c r="E61" i="246"/>
  <c r="J35" i="245"/>
  <c r="E62" i="251"/>
  <c r="E62" i="246"/>
  <c r="E76" i="246"/>
  <c r="E76" i="251"/>
  <c r="J34" i="245"/>
  <c r="J94" i="245"/>
  <c r="E26" i="251"/>
  <c r="E26" i="246"/>
  <c r="J29" i="245"/>
  <c r="E36" i="246"/>
  <c r="E36" i="251"/>
  <c r="E86" i="246"/>
  <c r="E86" i="251"/>
  <c r="E64" i="251"/>
  <c r="E64" i="246"/>
  <c r="J59" i="245"/>
  <c r="J70" i="245"/>
  <c r="E63" i="246"/>
  <c r="E63" i="251"/>
  <c r="J57" i="245"/>
  <c r="E90" i="251"/>
  <c r="E90" i="246"/>
  <c r="J90" i="245"/>
  <c r="E92" i="251"/>
  <c r="E92" i="246"/>
  <c r="J92" i="245"/>
  <c r="J26" i="245"/>
  <c r="E88" i="251"/>
  <c r="E88" i="246"/>
  <c r="J41" i="245"/>
  <c r="J36" i="245"/>
  <c r="J86" i="245"/>
  <c r="J64" i="245"/>
  <c r="E47" i="251"/>
  <c r="E47" i="246"/>
  <c r="E27" i="246"/>
  <c r="E27" i="251"/>
  <c r="E84" i="246"/>
  <c r="E84" i="251"/>
  <c r="J123" i="246" l="1"/>
  <c r="K123" i="246" s="1"/>
  <c r="H123" i="246"/>
  <c r="I123" i="246" s="1"/>
  <c r="H99" i="246"/>
  <c r="I99" i="246" s="1"/>
  <c r="J99" i="246"/>
  <c r="K99" i="246" s="1"/>
  <c r="E133" i="251"/>
  <c r="J133" i="245"/>
  <c r="K98" i="245" s="1"/>
  <c r="E133" i="246"/>
  <c r="D98" i="246" l="1"/>
  <c r="G98" i="246" s="1"/>
  <c r="L98" i="245"/>
  <c r="K129" i="245"/>
  <c r="K126" i="245"/>
  <c r="K125" i="245"/>
  <c r="N123" i="246"/>
  <c r="O123" i="246" s="1"/>
  <c r="L123" i="246"/>
  <c r="M123" i="246" s="1"/>
  <c r="L99" i="246"/>
  <c r="M99" i="246" s="1"/>
  <c r="N99" i="246"/>
  <c r="O99" i="246" s="1"/>
  <c r="K124" i="245"/>
  <c r="L124" i="245" s="1"/>
  <c r="K127" i="245"/>
  <c r="L127" i="245" s="1"/>
  <c r="K132" i="245"/>
  <c r="L132" i="245" s="1"/>
  <c r="K131" i="245"/>
  <c r="L131" i="245" s="1"/>
  <c r="D121" i="246"/>
  <c r="G121" i="246" s="1"/>
  <c r="K120" i="245"/>
  <c r="D120" i="246" s="1"/>
  <c r="G120" i="246" s="1"/>
  <c r="H120" i="246" s="1"/>
  <c r="I120" i="246" s="1"/>
  <c r="K118" i="245"/>
  <c r="D118" i="246" s="1"/>
  <c r="G118" i="246" s="1"/>
  <c r="K119" i="245"/>
  <c r="D119" i="246" s="1"/>
  <c r="G119" i="246" s="1"/>
  <c r="K116" i="245"/>
  <c r="D116" i="246" s="1"/>
  <c r="K117" i="245"/>
  <c r="K114" i="245"/>
  <c r="D114" i="246" s="1"/>
  <c r="G114" i="246" s="1"/>
  <c r="K115" i="245"/>
  <c r="K51" i="245"/>
  <c r="D51" i="246" s="1"/>
  <c r="G51" i="246" s="1"/>
  <c r="H51" i="246" s="1"/>
  <c r="I51" i="246" s="1"/>
  <c r="K113" i="245"/>
  <c r="K93" i="245"/>
  <c r="D93" i="246" s="1"/>
  <c r="G93" i="246" s="1"/>
  <c r="H93" i="246" s="1"/>
  <c r="I93" i="246" s="1"/>
  <c r="K111" i="245"/>
  <c r="K82" i="245"/>
  <c r="K31" i="245"/>
  <c r="K101" i="245"/>
  <c r="K52" i="245"/>
  <c r="K65" i="245"/>
  <c r="L65" i="245" s="1"/>
  <c r="K112" i="245"/>
  <c r="K109" i="245"/>
  <c r="K95" i="245"/>
  <c r="K104" i="245"/>
  <c r="K110" i="245"/>
  <c r="K38" i="245"/>
  <c r="K72" i="245"/>
  <c r="K34" i="245"/>
  <c r="K79" i="245"/>
  <c r="K67" i="245"/>
  <c r="K64" i="245"/>
  <c r="K29" i="245"/>
  <c r="K86" i="245"/>
  <c r="K94" i="245"/>
  <c r="K81" i="245"/>
  <c r="K69" i="245"/>
  <c r="K39" i="245"/>
  <c r="K88" i="245"/>
  <c r="K96" i="245"/>
  <c r="K30" i="245"/>
  <c r="K106" i="245"/>
  <c r="K49" i="245"/>
  <c r="K55" i="245"/>
  <c r="K22" i="245"/>
  <c r="K85" i="245"/>
  <c r="K73" i="245"/>
  <c r="K80" i="245"/>
  <c r="K63" i="245"/>
  <c r="K66" i="245"/>
  <c r="K68" i="245"/>
  <c r="K75" i="245"/>
  <c r="K76" i="245"/>
  <c r="K54" i="245"/>
  <c r="K56" i="245"/>
  <c r="K61" i="245"/>
  <c r="K27" i="245"/>
  <c r="K105" i="245"/>
  <c r="K43" i="245"/>
  <c r="K83" i="245"/>
  <c r="K40" i="245"/>
  <c r="K37" i="245"/>
  <c r="K50" i="245"/>
  <c r="K107" i="245"/>
  <c r="K45" i="245"/>
  <c r="K91" i="245"/>
  <c r="K44" i="245"/>
  <c r="K78" i="245"/>
  <c r="K108" i="245"/>
  <c r="K28" i="245"/>
  <c r="K89" i="245"/>
  <c r="K71" i="245"/>
  <c r="K62" i="245"/>
  <c r="K87" i="245"/>
  <c r="K74" i="245"/>
  <c r="K32" i="245"/>
  <c r="K46" i="245"/>
  <c r="K25" i="245"/>
  <c r="K77" i="245"/>
  <c r="K102" i="245"/>
  <c r="K21" i="245"/>
  <c r="K84" i="245"/>
  <c r="K24" i="245"/>
  <c r="K47" i="245"/>
  <c r="K42" i="245"/>
  <c r="K103" i="245"/>
  <c r="K53" i="245"/>
  <c r="K58" i="245"/>
  <c r="K70" i="245"/>
  <c r="K35" i="245"/>
  <c r="K36" i="245"/>
  <c r="K26" i="245"/>
  <c r="K41" i="245"/>
  <c r="K90" i="245"/>
  <c r="K33" i="245"/>
  <c r="K92" i="245"/>
  <c r="K48" i="245"/>
  <c r="K57" i="245"/>
  <c r="K100" i="245"/>
  <c r="K60" i="245"/>
  <c r="K23" i="245"/>
  <c r="K59" i="245"/>
  <c r="H98" i="246" l="1"/>
  <c r="I98" i="246" s="1"/>
  <c r="D125" i="246"/>
  <c r="G125" i="246" s="1"/>
  <c r="L125" i="245"/>
  <c r="D126" i="246"/>
  <c r="G126" i="246" s="1"/>
  <c r="L126" i="245"/>
  <c r="D129" i="246"/>
  <c r="G129" i="246" s="1"/>
  <c r="L129" i="245"/>
  <c r="R123" i="246"/>
  <c r="S123" i="246" s="1"/>
  <c r="P123" i="246"/>
  <c r="Q123" i="246" s="1"/>
  <c r="H114" i="246"/>
  <c r="I114" i="246" s="1"/>
  <c r="P99" i="246"/>
  <c r="Q99" i="246" s="1"/>
  <c r="R99" i="246"/>
  <c r="S99" i="246" s="1"/>
  <c r="D132" i="246"/>
  <c r="G132" i="246" s="1"/>
  <c r="D127" i="246"/>
  <c r="G127" i="246" s="1"/>
  <c r="D131" i="246"/>
  <c r="G131" i="246" s="1"/>
  <c r="H119" i="246"/>
  <c r="I119" i="246" s="1"/>
  <c r="D124" i="246"/>
  <c r="G124" i="246" s="1"/>
  <c r="L120" i="245"/>
  <c r="J121" i="246"/>
  <c r="K121" i="246" s="1"/>
  <c r="H121" i="246"/>
  <c r="I121" i="246" s="1"/>
  <c r="H118" i="246"/>
  <c r="I118" i="246" s="1"/>
  <c r="K133" i="245"/>
  <c r="K138" i="245" s="1"/>
  <c r="L118" i="245"/>
  <c r="L119" i="245"/>
  <c r="L116" i="245"/>
  <c r="D117" i="246"/>
  <c r="L117" i="245"/>
  <c r="L114" i="245"/>
  <c r="D115" i="246"/>
  <c r="G115" i="246" s="1"/>
  <c r="L115" i="245"/>
  <c r="L51" i="245"/>
  <c r="D113" i="246"/>
  <c r="L113" i="245"/>
  <c r="L93" i="245"/>
  <c r="D111" i="246"/>
  <c r="G111" i="246" s="1"/>
  <c r="L111" i="245"/>
  <c r="D52" i="246"/>
  <c r="G52" i="246" s="1"/>
  <c r="L52" i="245"/>
  <c r="D101" i="246"/>
  <c r="G101" i="246" s="1"/>
  <c r="L101" i="245"/>
  <c r="D31" i="246"/>
  <c r="G31" i="246" s="1"/>
  <c r="L31" i="245"/>
  <c r="D82" i="246"/>
  <c r="G82" i="246" s="1"/>
  <c r="L82" i="245"/>
  <c r="D65" i="246"/>
  <c r="G65" i="246" s="1"/>
  <c r="H65" i="246" s="1"/>
  <c r="I65" i="246" s="1"/>
  <c r="D109" i="246"/>
  <c r="G109" i="246" s="1"/>
  <c r="L109" i="245"/>
  <c r="D95" i="246"/>
  <c r="G95" i="246" s="1"/>
  <c r="L95" i="245"/>
  <c r="D110" i="246"/>
  <c r="G110" i="246" s="1"/>
  <c r="L110" i="245"/>
  <c r="D112" i="246"/>
  <c r="G112" i="246" s="1"/>
  <c r="L112" i="245"/>
  <c r="D104" i="246"/>
  <c r="G104" i="246" s="1"/>
  <c r="L104" i="245"/>
  <c r="D71" i="246"/>
  <c r="G71" i="246" s="1"/>
  <c r="L71" i="245"/>
  <c r="D103" i="246"/>
  <c r="G103" i="246" s="1"/>
  <c r="L103" i="245"/>
  <c r="D81" i="246"/>
  <c r="G81" i="246" s="1"/>
  <c r="L81" i="245"/>
  <c r="D53" i="246"/>
  <c r="G53" i="246" s="1"/>
  <c r="L53" i="245"/>
  <c r="D94" i="246"/>
  <c r="G94" i="246" s="1"/>
  <c r="L94" i="245"/>
  <c r="D61" i="246"/>
  <c r="G61" i="246" s="1"/>
  <c r="L61" i="245"/>
  <c r="D76" i="246"/>
  <c r="G76" i="246" s="1"/>
  <c r="L76" i="245"/>
  <c r="D86" i="246"/>
  <c r="G86" i="246" s="1"/>
  <c r="L86" i="245"/>
  <c r="D96" i="246"/>
  <c r="G96" i="246" s="1"/>
  <c r="L96" i="245"/>
  <c r="D23" i="246"/>
  <c r="G23" i="246" s="1"/>
  <c r="L23" i="245"/>
  <c r="D44" i="246"/>
  <c r="G44" i="246" s="1"/>
  <c r="L44" i="245"/>
  <c r="D29" i="246"/>
  <c r="G29" i="246" s="1"/>
  <c r="L29" i="245"/>
  <c r="D88" i="246"/>
  <c r="G88" i="246" s="1"/>
  <c r="L88" i="245"/>
  <c r="D78" i="246"/>
  <c r="G78" i="246" s="1"/>
  <c r="L78" i="245"/>
  <c r="D102" i="246"/>
  <c r="G102" i="246" s="1"/>
  <c r="L102" i="245"/>
  <c r="D64" i="246"/>
  <c r="G64" i="246" s="1"/>
  <c r="L64" i="245"/>
  <c r="D28" i="246"/>
  <c r="G28" i="246" s="1"/>
  <c r="L28" i="245"/>
  <c r="D60" i="246"/>
  <c r="G60" i="246" s="1"/>
  <c r="L60" i="245"/>
  <c r="D66" i="246"/>
  <c r="G66" i="246" s="1"/>
  <c r="L66" i="245"/>
  <c r="D50" i="246"/>
  <c r="G50" i="246" s="1"/>
  <c r="L50" i="245"/>
  <c r="D73" i="246"/>
  <c r="G73" i="246" s="1"/>
  <c r="L73" i="245"/>
  <c r="D67" i="246"/>
  <c r="G67" i="246" s="1"/>
  <c r="L67" i="245"/>
  <c r="D54" i="246"/>
  <c r="G54" i="246" s="1"/>
  <c r="L54" i="245"/>
  <c r="D47" i="246"/>
  <c r="G47" i="246" s="1"/>
  <c r="L47" i="245"/>
  <c r="D91" i="246"/>
  <c r="G91" i="246" s="1"/>
  <c r="L91" i="245"/>
  <c r="D63" i="246"/>
  <c r="G63" i="246" s="1"/>
  <c r="L63" i="245"/>
  <c r="D90" i="246"/>
  <c r="G90" i="246" s="1"/>
  <c r="L90" i="245"/>
  <c r="D25" i="246"/>
  <c r="G25" i="246" s="1"/>
  <c r="L25" i="245"/>
  <c r="D37" i="246"/>
  <c r="G37" i="246" s="1"/>
  <c r="L37" i="245"/>
  <c r="D85" i="246"/>
  <c r="G85" i="246" s="1"/>
  <c r="L85" i="245"/>
  <c r="D79" i="246"/>
  <c r="G79" i="246" s="1"/>
  <c r="L79" i="245"/>
  <c r="D59" i="246"/>
  <c r="G59" i="246" s="1"/>
  <c r="L59" i="245"/>
  <c r="D75" i="246"/>
  <c r="G75" i="246" s="1"/>
  <c r="L75" i="245"/>
  <c r="D57" i="246"/>
  <c r="G57" i="246" s="1"/>
  <c r="L57" i="245"/>
  <c r="D21" i="246"/>
  <c r="L21" i="245"/>
  <c r="D77" i="246"/>
  <c r="G77" i="246" s="1"/>
  <c r="L77" i="245"/>
  <c r="D41" i="246"/>
  <c r="G41" i="246" s="1"/>
  <c r="L41" i="245"/>
  <c r="D46" i="246"/>
  <c r="G46" i="246" s="1"/>
  <c r="L46" i="245"/>
  <c r="D40" i="246"/>
  <c r="G40" i="246" s="1"/>
  <c r="L40" i="245"/>
  <c r="D22" i="246"/>
  <c r="G22" i="246" s="1"/>
  <c r="L22" i="245"/>
  <c r="D34" i="246"/>
  <c r="G34" i="246" s="1"/>
  <c r="L34" i="245"/>
  <c r="D39" i="246"/>
  <c r="G39" i="246" s="1"/>
  <c r="L39" i="245"/>
  <c r="D68" i="246"/>
  <c r="G68" i="246" s="1"/>
  <c r="L68" i="245"/>
  <c r="D48" i="246"/>
  <c r="G48" i="246" s="1"/>
  <c r="L48" i="245"/>
  <c r="D92" i="246"/>
  <c r="G92" i="246" s="1"/>
  <c r="L92" i="245"/>
  <c r="D26" i="246"/>
  <c r="G26" i="246" s="1"/>
  <c r="L26" i="245"/>
  <c r="D32" i="246"/>
  <c r="G32" i="246" s="1"/>
  <c r="L32" i="245"/>
  <c r="D83" i="246"/>
  <c r="G83" i="246" s="1"/>
  <c r="L83" i="245"/>
  <c r="D55" i="246"/>
  <c r="G55" i="246" s="1"/>
  <c r="L55" i="245"/>
  <c r="D72" i="246"/>
  <c r="G72" i="246" s="1"/>
  <c r="L72" i="245"/>
  <c r="D58" i="246"/>
  <c r="G58" i="246" s="1"/>
  <c r="L58" i="245"/>
  <c r="D69" i="246"/>
  <c r="G69" i="246" s="1"/>
  <c r="L69" i="245"/>
  <c r="D84" i="246"/>
  <c r="G84" i="246" s="1"/>
  <c r="L84" i="245"/>
  <c r="D107" i="246"/>
  <c r="G107" i="246" s="1"/>
  <c r="L107" i="245"/>
  <c r="D36" i="246"/>
  <c r="G36" i="246" s="1"/>
  <c r="L36" i="245"/>
  <c r="D74" i="246"/>
  <c r="G74" i="246" s="1"/>
  <c r="L74" i="245"/>
  <c r="D43" i="246"/>
  <c r="G43" i="246" s="1"/>
  <c r="L43" i="245"/>
  <c r="D49" i="246"/>
  <c r="G49" i="246" s="1"/>
  <c r="L49" i="245"/>
  <c r="D38" i="246"/>
  <c r="G38" i="246" s="1"/>
  <c r="L38" i="245"/>
  <c r="D56" i="246"/>
  <c r="G56" i="246" s="1"/>
  <c r="L56" i="245"/>
  <c r="D108" i="246"/>
  <c r="G108" i="246" s="1"/>
  <c r="L108" i="245"/>
  <c r="D100" i="246"/>
  <c r="G100" i="246" s="1"/>
  <c r="L100" i="245"/>
  <c r="D45" i="246"/>
  <c r="G45" i="246" s="1"/>
  <c r="L45" i="245"/>
  <c r="D33" i="246"/>
  <c r="G33" i="246" s="1"/>
  <c r="L33" i="245"/>
  <c r="D35" i="246"/>
  <c r="G35" i="246" s="1"/>
  <c r="L35" i="245"/>
  <c r="D87" i="246"/>
  <c r="G87" i="246" s="1"/>
  <c r="L87" i="245"/>
  <c r="D105" i="246"/>
  <c r="G105" i="246" s="1"/>
  <c r="L105" i="245"/>
  <c r="D106" i="246"/>
  <c r="G106" i="246" s="1"/>
  <c r="L106" i="245"/>
  <c r="D89" i="246"/>
  <c r="G89" i="246" s="1"/>
  <c r="L89" i="245"/>
  <c r="D42" i="246"/>
  <c r="G42" i="246" s="1"/>
  <c r="L42" i="245"/>
  <c r="D24" i="246"/>
  <c r="G24" i="246" s="1"/>
  <c r="L24" i="245"/>
  <c r="D80" i="246"/>
  <c r="G80" i="246" s="1"/>
  <c r="L80" i="245"/>
  <c r="D70" i="246"/>
  <c r="G70" i="246" s="1"/>
  <c r="L70" i="245"/>
  <c r="D62" i="246"/>
  <c r="G62" i="246" s="1"/>
  <c r="L62" i="245"/>
  <c r="D27" i="246"/>
  <c r="G27" i="246" s="1"/>
  <c r="L27" i="245"/>
  <c r="D30" i="246"/>
  <c r="G30" i="246" s="1"/>
  <c r="L30" i="245"/>
  <c r="H126" i="246" l="1"/>
  <c r="I126" i="246" s="1"/>
  <c r="H129" i="246"/>
  <c r="I129" i="246" s="1"/>
  <c r="H125" i="246"/>
  <c r="I125" i="246" s="1"/>
  <c r="V123" i="246"/>
  <c r="W123" i="246" s="1"/>
  <c r="T123" i="246"/>
  <c r="U123" i="246" s="1"/>
  <c r="T99" i="246"/>
  <c r="U99" i="246" s="1"/>
  <c r="V99" i="246"/>
  <c r="W99" i="246" s="1"/>
  <c r="H127" i="246"/>
  <c r="I127" i="246" s="1"/>
  <c r="H131" i="246"/>
  <c r="I131" i="246" s="1"/>
  <c r="H132" i="246"/>
  <c r="I132" i="246" s="1"/>
  <c r="H124" i="246"/>
  <c r="I124" i="246" s="1"/>
  <c r="N121" i="246"/>
  <c r="O121" i="246" s="1"/>
  <c r="L121" i="246"/>
  <c r="M121" i="246" s="1"/>
  <c r="H115" i="246"/>
  <c r="I115" i="246" s="1"/>
  <c r="L133" i="245"/>
  <c r="H111" i="246"/>
  <c r="I111" i="246" s="1"/>
  <c r="H82" i="246"/>
  <c r="I82" i="246" s="1"/>
  <c r="H101" i="246"/>
  <c r="I101" i="246" s="1"/>
  <c r="H31" i="246"/>
  <c r="I31" i="246" s="1"/>
  <c r="H52" i="246"/>
  <c r="I52" i="246" s="1"/>
  <c r="H112" i="246"/>
  <c r="I112" i="246" s="1"/>
  <c r="H95" i="246"/>
  <c r="I95" i="246" s="1"/>
  <c r="H104" i="246"/>
  <c r="I104" i="246" s="1"/>
  <c r="H110" i="246"/>
  <c r="I110" i="246" s="1"/>
  <c r="H109" i="246"/>
  <c r="I109" i="246" s="1"/>
  <c r="H33" i="246"/>
  <c r="I33" i="246" s="1"/>
  <c r="H74" i="246"/>
  <c r="I74" i="246" s="1"/>
  <c r="H83" i="246"/>
  <c r="I83" i="246" s="1"/>
  <c r="H22" i="246"/>
  <c r="I22" i="246" s="1"/>
  <c r="H59" i="246"/>
  <c r="I59" i="246" s="1"/>
  <c r="H47" i="246"/>
  <c r="I47" i="246" s="1"/>
  <c r="H64" i="246"/>
  <c r="I64" i="246" s="1"/>
  <c r="H86" i="246"/>
  <c r="I86" i="246" s="1"/>
  <c r="H24" i="246"/>
  <c r="I24" i="246" s="1"/>
  <c r="H36" i="246"/>
  <c r="I36" i="246" s="1"/>
  <c r="H32" i="246"/>
  <c r="I32" i="246" s="1"/>
  <c r="H40" i="246"/>
  <c r="I40" i="246" s="1"/>
  <c r="H79" i="246"/>
  <c r="I79" i="246" s="1"/>
  <c r="H54" i="246"/>
  <c r="I54" i="246" s="1"/>
  <c r="H102" i="246"/>
  <c r="I102" i="246" s="1"/>
  <c r="H76" i="246"/>
  <c r="I76" i="246" s="1"/>
  <c r="H100" i="246"/>
  <c r="I100" i="246" s="1"/>
  <c r="H107" i="246"/>
  <c r="I107" i="246" s="1"/>
  <c r="H26" i="246"/>
  <c r="I26" i="246" s="1"/>
  <c r="H46" i="246"/>
  <c r="I46" i="246" s="1"/>
  <c r="H78" i="246"/>
  <c r="I78" i="246" s="1"/>
  <c r="H61" i="246"/>
  <c r="I61" i="246" s="1"/>
  <c r="H108" i="246"/>
  <c r="I108" i="246" s="1"/>
  <c r="H84" i="246"/>
  <c r="I84" i="246" s="1"/>
  <c r="H92" i="246"/>
  <c r="I92" i="246" s="1"/>
  <c r="H41" i="246"/>
  <c r="I41" i="246" s="1"/>
  <c r="H80" i="246"/>
  <c r="I80" i="246" s="1"/>
  <c r="H37" i="246"/>
  <c r="I37" i="246" s="1"/>
  <c r="H73" i="246"/>
  <c r="I73" i="246" s="1"/>
  <c r="H88" i="246"/>
  <c r="I88" i="246" s="1"/>
  <c r="H94" i="246"/>
  <c r="I94" i="246" s="1"/>
  <c r="H106" i="246"/>
  <c r="I106" i="246" s="1"/>
  <c r="H69" i="246"/>
  <c r="I69" i="246" s="1"/>
  <c r="H48" i="246"/>
  <c r="I48" i="246" s="1"/>
  <c r="H77" i="246"/>
  <c r="I77" i="246" s="1"/>
  <c r="H67" i="246"/>
  <c r="I67" i="246" s="1"/>
  <c r="H25" i="246"/>
  <c r="I25" i="246" s="1"/>
  <c r="H50" i="246"/>
  <c r="I50" i="246" s="1"/>
  <c r="H29" i="246"/>
  <c r="I29" i="246" s="1"/>
  <c r="H53" i="246"/>
  <c r="I53" i="246" s="1"/>
  <c r="H85" i="246"/>
  <c r="I85" i="246" s="1"/>
  <c r="H105" i="246"/>
  <c r="I105" i="246" s="1"/>
  <c r="H38" i="246"/>
  <c r="I38" i="246" s="1"/>
  <c r="H58" i="246"/>
  <c r="I58" i="246" s="1"/>
  <c r="H68" i="246"/>
  <c r="I68" i="246" s="1"/>
  <c r="D133" i="246"/>
  <c r="G21" i="246"/>
  <c r="H90" i="246"/>
  <c r="I90" i="246" s="1"/>
  <c r="H66" i="246"/>
  <c r="I66" i="246" s="1"/>
  <c r="H44" i="246"/>
  <c r="I44" i="246" s="1"/>
  <c r="H81" i="246"/>
  <c r="I81" i="246" s="1"/>
  <c r="H30" i="246"/>
  <c r="I30" i="246" s="1"/>
  <c r="H62" i="246"/>
  <c r="I62" i="246" s="1"/>
  <c r="H87" i="246"/>
  <c r="I87" i="246" s="1"/>
  <c r="H49" i="246"/>
  <c r="I49" i="246" s="1"/>
  <c r="H72" i="246"/>
  <c r="I72" i="246" s="1"/>
  <c r="H39" i="246"/>
  <c r="I39" i="246" s="1"/>
  <c r="H45" i="246"/>
  <c r="I45" i="246" s="1"/>
  <c r="H56" i="246"/>
  <c r="I56" i="246" s="1"/>
  <c r="H57" i="246"/>
  <c r="I57" i="246" s="1"/>
  <c r="H63" i="246"/>
  <c r="I63" i="246" s="1"/>
  <c r="H60" i="246"/>
  <c r="I60" i="246" s="1"/>
  <c r="H23" i="246"/>
  <c r="I23" i="246" s="1"/>
  <c r="H103" i="246"/>
  <c r="I103" i="246" s="1"/>
  <c r="H27" i="246"/>
  <c r="I27" i="246" s="1"/>
  <c r="H35" i="246"/>
  <c r="I35" i="246" s="1"/>
  <c r="H43" i="246"/>
  <c r="I43" i="246" s="1"/>
  <c r="H55" i="246"/>
  <c r="I55" i="246" s="1"/>
  <c r="H34" i="246"/>
  <c r="I34" i="246" s="1"/>
  <c r="H42" i="246"/>
  <c r="I42" i="246" s="1"/>
  <c r="H89" i="246"/>
  <c r="I89" i="246" s="1"/>
  <c r="H70" i="246"/>
  <c r="I70" i="246" s="1"/>
  <c r="H75" i="246"/>
  <c r="I75" i="246" s="1"/>
  <c r="H91" i="246"/>
  <c r="I91" i="246" s="1"/>
  <c r="H28" i="246"/>
  <c r="I28" i="246" s="1"/>
  <c r="H96" i="246"/>
  <c r="I96" i="246" s="1"/>
  <c r="H71" i="246"/>
  <c r="I71" i="246" s="1"/>
  <c r="Z123" i="246" l="1"/>
  <c r="AA123" i="246" s="1"/>
  <c r="X123" i="246"/>
  <c r="Y123" i="246" s="1"/>
  <c r="X99" i="246"/>
  <c r="Y99" i="246" s="1"/>
  <c r="Z99" i="246"/>
  <c r="AA99" i="246" s="1"/>
  <c r="R121" i="246"/>
  <c r="S121" i="246" s="1"/>
  <c r="P121" i="246"/>
  <c r="Q121" i="246" s="1"/>
  <c r="G133" i="246"/>
  <c r="H21" i="246"/>
  <c r="L138" i="245"/>
  <c r="AO138" i="245"/>
  <c r="AD123" i="246" l="1"/>
  <c r="AE123" i="246" s="1"/>
  <c r="AB123" i="246"/>
  <c r="AC123" i="246" s="1"/>
  <c r="AB99" i="246"/>
  <c r="AC99" i="246" s="1"/>
  <c r="AD99" i="246"/>
  <c r="AE99" i="246" s="1"/>
  <c r="V121" i="246"/>
  <c r="W121" i="246" s="1"/>
  <c r="T121" i="246"/>
  <c r="U121" i="246" s="1"/>
  <c r="H133" i="246"/>
  <c r="I21" i="246"/>
  <c r="J131" i="246" s="1"/>
  <c r="K131" i="246" s="1"/>
  <c r="L131" i="246" s="1"/>
  <c r="M131" i="246" s="1"/>
  <c r="J100" i="246"/>
  <c r="K100" i="246" s="1"/>
  <c r="J98" i="246" l="1"/>
  <c r="K98" i="246" s="1"/>
  <c r="L98" i="246" s="1"/>
  <c r="M98" i="246" s="1"/>
  <c r="J129" i="246"/>
  <c r="K129" i="246" s="1"/>
  <c r="J114" i="246"/>
  <c r="K114" i="246" s="1"/>
  <c r="J125" i="246"/>
  <c r="K125" i="246" s="1"/>
  <c r="J126" i="246"/>
  <c r="K126" i="246" s="1"/>
  <c r="AH123" i="246"/>
  <c r="AI123" i="246" s="1"/>
  <c r="AF123" i="246"/>
  <c r="AG123" i="246" s="1"/>
  <c r="AF99" i="246"/>
  <c r="AG99" i="246" s="1"/>
  <c r="AH99" i="246"/>
  <c r="AI99" i="246" s="1"/>
  <c r="J71" i="246"/>
  <c r="K71" i="246" s="1"/>
  <c r="L71" i="246" s="1"/>
  <c r="M71" i="246" s="1"/>
  <c r="J132" i="246"/>
  <c r="K132" i="246" s="1"/>
  <c r="L132" i="246" s="1"/>
  <c r="M132" i="246" s="1"/>
  <c r="J124" i="246"/>
  <c r="K124" i="246" s="1"/>
  <c r="L124" i="246" s="1"/>
  <c r="M124" i="246" s="1"/>
  <c r="J119" i="246"/>
  <c r="K119" i="246" s="1"/>
  <c r="L119" i="246" s="1"/>
  <c r="M119" i="246" s="1"/>
  <c r="J83" i="246"/>
  <c r="K83" i="246" s="1"/>
  <c r="L83" i="246" s="1"/>
  <c r="M83" i="246" s="1"/>
  <c r="J127" i="246"/>
  <c r="K127" i="246" s="1"/>
  <c r="L127" i="246" s="1"/>
  <c r="M127" i="246" s="1"/>
  <c r="J118" i="246"/>
  <c r="K118" i="246" s="1"/>
  <c r="L118" i="246" s="1"/>
  <c r="M118" i="246" s="1"/>
  <c r="J120" i="246"/>
  <c r="K120" i="246" s="1"/>
  <c r="L120" i="246" s="1"/>
  <c r="M120" i="246" s="1"/>
  <c r="J115" i="246"/>
  <c r="K115" i="246" s="1"/>
  <c r="L115" i="246" s="1"/>
  <c r="M115" i="246" s="1"/>
  <c r="Z121" i="246"/>
  <c r="AA121" i="246" s="1"/>
  <c r="X121" i="246"/>
  <c r="Y121" i="246" s="1"/>
  <c r="J51" i="246"/>
  <c r="K51" i="246" s="1"/>
  <c r="L51" i="246" s="1"/>
  <c r="M51" i="246" s="1"/>
  <c r="J111" i="246"/>
  <c r="K111" i="246" s="1"/>
  <c r="L111" i="246" s="1"/>
  <c r="M111" i="246" s="1"/>
  <c r="J77" i="246"/>
  <c r="K77" i="246" s="1"/>
  <c r="L77" i="246" s="1"/>
  <c r="M77" i="246" s="1"/>
  <c r="J55" i="246"/>
  <c r="K55" i="246" s="1"/>
  <c r="L55" i="246" s="1"/>
  <c r="M55" i="246" s="1"/>
  <c r="J67" i="246"/>
  <c r="K67" i="246" s="1"/>
  <c r="L67" i="246" s="1"/>
  <c r="M67" i="246" s="1"/>
  <c r="J76" i="246"/>
  <c r="K76" i="246" s="1"/>
  <c r="L76" i="246" s="1"/>
  <c r="M76" i="246" s="1"/>
  <c r="J75" i="246"/>
  <c r="K75" i="246" s="1"/>
  <c r="L75" i="246" s="1"/>
  <c r="M75" i="246" s="1"/>
  <c r="J94" i="246"/>
  <c r="K94" i="246" s="1"/>
  <c r="L94" i="246" s="1"/>
  <c r="M94" i="246" s="1"/>
  <c r="J70" i="246"/>
  <c r="K70" i="246" s="1"/>
  <c r="L70" i="246" s="1"/>
  <c r="M70" i="246" s="1"/>
  <c r="J78" i="246"/>
  <c r="K78" i="246" s="1"/>
  <c r="L78" i="246" s="1"/>
  <c r="M78" i="246" s="1"/>
  <c r="J90" i="246"/>
  <c r="K90" i="246" s="1"/>
  <c r="L90" i="246" s="1"/>
  <c r="M90" i="246" s="1"/>
  <c r="J81" i="246"/>
  <c r="K81" i="246" s="1"/>
  <c r="L81" i="246" s="1"/>
  <c r="M81" i="246" s="1"/>
  <c r="J39" i="246"/>
  <c r="K39" i="246" s="1"/>
  <c r="L39" i="246" s="1"/>
  <c r="M39" i="246" s="1"/>
  <c r="J93" i="246"/>
  <c r="K93" i="246" s="1"/>
  <c r="L93" i="246" s="1"/>
  <c r="M93" i="246" s="1"/>
  <c r="J74" i="246"/>
  <c r="K74" i="246" s="1"/>
  <c r="L74" i="246" s="1"/>
  <c r="M74" i="246" s="1"/>
  <c r="J89" i="246"/>
  <c r="K89" i="246" s="1"/>
  <c r="L89" i="246" s="1"/>
  <c r="M89" i="246" s="1"/>
  <c r="J69" i="246"/>
  <c r="K69" i="246" s="1"/>
  <c r="L69" i="246" s="1"/>
  <c r="M69" i="246" s="1"/>
  <c r="J92" i="246"/>
  <c r="K92" i="246" s="1"/>
  <c r="L92" i="246" s="1"/>
  <c r="M92" i="246" s="1"/>
  <c r="J54" i="246"/>
  <c r="K54" i="246" s="1"/>
  <c r="L54" i="246" s="1"/>
  <c r="M54" i="246" s="1"/>
  <c r="J66" i="246"/>
  <c r="K66" i="246" s="1"/>
  <c r="L66" i="246" s="1"/>
  <c r="M66" i="246" s="1"/>
  <c r="J88" i="246"/>
  <c r="K88" i="246" s="1"/>
  <c r="L88" i="246" s="1"/>
  <c r="M88" i="246" s="1"/>
  <c r="J79" i="246"/>
  <c r="K79" i="246" s="1"/>
  <c r="L79" i="246" s="1"/>
  <c r="M79" i="246" s="1"/>
  <c r="J85" i="246"/>
  <c r="K85" i="246" s="1"/>
  <c r="L85" i="246" s="1"/>
  <c r="M85" i="246" s="1"/>
  <c r="J58" i="246"/>
  <c r="K58" i="246" s="1"/>
  <c r="L58" i="246" s="1"/>
  <c r="M58" i="246" s="1"/>
  <c r="J72" i="246"/>
  <c r="K72" i="246" s="1"/>
  <c r="L72" i="246" s="1"/>
  <c r="M72" i="246" s="1"/>
  <c r="J73" i="246"/>
  <c r="K73" i="246" s="1"/>
  <c r="L73" i="246" s="1"/>
  <c r="M73" i="246" s="1"/>
  <c r="J56" i="246"/>
  <c r="K56" i="246" s="1"/>
  <c r="L56" i="246" s="1"/>
  <c r="M56" i="246" s="1"/>
  <c r="J86" i="246"/>
  <c r="K86" i="246" s="1"/>
  <c r="L86" i="246" s="1"/>
  <c r="M86" i="246" s="1"/>
  <c r="J35" i="246"/>
  <c r="K35" i="246" s="1"/>
  <c r="L35" i="246" s="1"/>
  <c r="M35" i="246" s="1"/>
  <c r="J57" i="246"/>
  <c r="K57" i="246" s="1"/>
  <c r="L57" i="246" s="1"/>
  <c r="M57" i="246" s="1"/>
  <c r="J91" i="246"/>
  <c r="K91" i="246" s="1"/>
  <c r="L91" i="246" s="1"/>
  <c r="M91" i="246" s="1"/>
  <c r="J108" i="246"/>
  <c r="K108" i="246" s="1"/>
  <c r="L108" i="246" s="1"/>
  <c r="M108" i="246" s="1"/>
  <c r="J29" i="246"/>
  <c r="K29" i="246" s="1"/>
  <c r="L29" i="246" s="1"/>
  <c r="M29" i="246" s="1"/>
  <c r="J37" i="246"/>
  <c r="K37" i="246" s="1"/>
  <c r="L37" i="246" s="1"/>
  <c r="M37" i="246" s="1"/>
  <c r="J46" i="246"/>
  <c r="K46" i="246" s="1"/>
  <c r="L46" i="246" s="1"/>
  <c r="M46" i="246" s="1"/>
  <c r="J61" i="246"/>
  <c r="K61" i="246" s="1"/>
  <c r="L61" i="246" s="1"/>
  <c r="M61" i="246" s="1"/>
  <c r="J59" i="246"/>
  <c r="K59" i="246" s="1"/>
  <c r="L59" i="246" s="1"/>
  <c r="M59" i="246" s="1"/>
  <c r="J106" i="246"/>
  <c r="K106" i="246" s="1"/>
  <c r="L106" i="246" s="1"/>
  <c r="M106" i="246" s="1"/>
  <c r="J30" i="246"/>
  <c r="K30" i="246" s="1"/>
  <c r="L30" i="246" s="1"/>
  <c r="M30" i="246" s="1"/>
  <c r="J105" i="246"/>
  <c r="K105" i="246" s="1"/>
  <c r="L105" i="246" s="1"/>
  <c r="M105" i="246" s="1"/>
  <c r="J96" i="246"/>
  <c r="K96" i="246" s="1"/>
  <c r="L96" i="246" s="1"/>
  <c r="M96" i="246" s="1"/>
  <c r="J28" i="246"/>
  <c r="K28" i="246" s="1"/>
  <c r="L28" i="246" s="1"/>
  <c r="M28" i="246" s="1"/>
  <c r="J24" i="246"/>
  <c r="K24" i="246" s="1"/>
  <c r="L24" i="246" s="1"/>
  <c r="M24" i="246" s="1"/>
  <c r="J40" i="246"/>
  <c r="K40" i="246" s="1"/>
  <c r="L40" i="246" s="1"/>
  <c r="M40" i="246" s="1"/>
  <c r="J23" i="246"/>
  <c r="K23" i="246" s="1"/>
  <c r="L23" i="246" s="1"/>
  <c r="M23" i="246" s="1"/>
  <c r="J21" i="246"/>
  <c r="K21" i="246" s="1"/>
  <c r="J102" i="246"/>
  <c r="K102" i="246" s="1"/>
  <c r="L102" i="246" s="1"/>
  <c r="M102" i="246" s="1"/>
  <c r="J47" i="246"/>
  <c r="K47" i="246" s="1"/>
  <c r="L47" i="246" s="1"/>
  <c r="M47" i="246" s="1"/>
  <c r="J84" i="246"/>
  <c r="K84" i="246" s="1"/>
  <c r="L84" i="246" s="1"/>
  <c r="M84" i="246" s="1"/>
  <c r="J38" i="246"/>
  <c r="K38" i="246" s="1"/>
  <c r="L38" i="246" s="1"/>
  <c r="M38" i="246" s="1"/>
  <c r="J43" i="246"/>
  <c r="K43" i="246" s="1"/>
  <c r="L43" i="246" s="1"/>
  <c r="M43" i="246" s="1"/>
  <c r="J63" i="246"/>
  <c r="K63" i="246" s="1"/>
  <c r="L63" i="246" s="1"/>
  <c r="M63" i="246" s="1"/>
  <c r="J44" i="246"/>
  <c r="K44" i="246" s="1"/>
  <c r="L44" i="246" s="1"/>
  <c r="M44" i="246" s="1"/>
  <c r="J27" i="246"/>
  <c r="K27" i="246" s="1"/>
  <c r="L27" i="246" s="1"/>
  <c r="M27" i="246" s="1"/>
  <c r="J33" i="246"/>
  <c r="K33" i="246" s="1"/>
  <c r="L33" i="246" s="1"/>
  <c r="M33" i="246" s="1"/>
  <c r="J49" i="246"/>
  <c r="K49" i="246" s="1"/>
  <c r="L49" i="246" s="1"/>
  <c r="M49" i="246" s="1"/>
  <c r="J64" i="246"/>
  <c r="K64" i="246" s="1"/>
  <c r="L64" i="246" s="1"/>
  <c r="M64" i="246" s="1"/>
  <c r="J103" i="246"/>
  <c r="K103" i="246" s="1"/>
  <c r="L103" i="246" s="1"/>
  <c r="M103" i="246" s="1"/>
  <c r="J62" i="246"/>
  <c r="K62" i="246" s="1"/>
  <c r="L62" i="246" s="1"/>
  <c r="M62" i="246" s="1"/>
  <c r="J34" i="246"/>
  <c r="K34" i="246" s="1"/>
  <c r="L34" i="246" s="1"/>
  <c r="M34" i="246" s="1"/>
  <c r="J101" i="246"/>
  <c r="K101" i="246" s="1"/>
  <c r="J65" i="246"/>
  <c r="K65" i="246" s="1"/>
  <c r="L65" i="246" s="1"/>
  <c r="M65" i="246" s="1"/>
  <c r="J31" i="246"/>
  <c r="K31" i="246" s="1"/>
  <c r="J82" i="246"/>
  <c r="K82" i="246" s="1"/>
  <c r="J52" i="246"/>
  <c r="K52" i="246" s="1"/>
  <c r="J45" i="246"/>
  <c r="K45" i="246" s="1"/>
  <c r="L45" i="246" s="1"/>
  <c r="M45" i="246" s="1"/>
  <c r="J112" i="246"/>
  <c r="K112" i="246" s="1"/>
  <c r="L112" i="246" s="1"/>
  <c r="M112" i="246" s="1"/>
  <c r="J104" i="246"/>
  <c r="K104" i="246" s="1"/>
  <c r="L104" i="246" s="1"/>
  <c r="M104" i="246" s="1"/>
  <c r="J95" i="246"/>
  <c r="K95" i="246" s="1"/>
  <c r="L95" i="246" s="1"/>
  <c r="M95" i="246" s="1"/>
  <c r="J109" i="246"/>
  <c r="K109" i="246" s="1"/>
  <c r="L109" i="246" s="1"/>
  <c r="M109" i="246" s="1"/>
  <c r="J110" i="246"/>
  <c r="K110" i="246" s="1"/>
  <c r="L110" i="246" s="1"/>
  <c r="M110" i="246" s="1"/>
  <c r="L100" i="246"/>
  <c r="M100" i="246" s="1"/>
  <c r="I133" i="246"/>
  <c r="J42" i="246"/>
  <c r="K42" i="246" s="1"/>
  <c r="J80" i="246"/>
  <c r="K80" i="246" s="1"/>
  <c r="J26" i="246"/>
  <c r="K26" i="246" s="1"/>
  <c r="J60" i="246"/>
  <c r="K60" i="246" s="1"/>
  <c r="J68" i="246"/>
  <c r="K68" i="246" s="1"/>
  <c r="J32" i="246"/>
  <c r="K32" i="246" s="1"/>
  <c r="J53" i="246"/>
  <c r="K53" i="246" s="1"/>
  <c r="J22" i="246"/>
  <c r="K22" i="246" s="1"/>
  <c r="J87" i="246"/>
  <c r="K87" i="246" s="1"/>
  <c r="J50" i="246"/>
  <c r="K50" i="246" s="1"/>
  <c r="J48" i="246"/>
  <c r="K48" i="246" s="1"/>
  <c r="J41" i="246"/>
  <c r="K41" i="246" s="1"/>
  <c r="J25" i="246"/>
  <c r="K25" i="246" s="1"/>
  <c r="J107" i="246"/>
  <c r="K107" i="246" s="1"/>
  <c r="J36" i="246"/>
  <c r="K36" i="246" s="1"/>
  <c r="L129" i="246" l="1"/>
  <c r="M129" i="246" s="1"/>
  <c r="L114" i="246"/>
  <c r="M114" i="246" s="1"/>
  <c r="L125" i="246"/>
  <c r="M125" i="246" s="1"/>
  <c r="L126" i="246"/>
  <c r="M126" i="246" s="1"/>
  <c r="AL123" i="246"/>
  <c r="AM123" i="246" s="1"/>
  <c r="AJ123" i="246"/>
  <c r="AK123" i="246" s="1"/>
  <c r="AJ99" i="246"/>
  <c r="AK99" i="246" s="1"/>
  <c r="AL99" i="246"/>
  <c r="AM99" i="246" s="1"/>
  <c r="AD121" i="246"/>
  <c r="AE121" i="246" s="1"/>
  <c r="AB121" i="246"/>
  <c r="AC121" i="246" s="1"/>
  <c r="L82" i="246"/>
  <c r="M82" i="246" s="1"/>
  <c r="L31" i="246"/>
  <c r="M31" i="246" s="1"/>
  <c r="L52" i="246"/>
  <c r="M52" i="246" s="1"/>
  <c r="L101" i="246"/>
  <c r="M101" i="246" s="1"/>
  <c r="L25" i="246"/>
  <c r="M25" i="246" s="1"/>
  <c r="L41" i="246"/>
  <c r="M41" i="246" s="1"/>
  <c r="L48" i="246"/>
  <c r="M48" i="246" s="1"/>
  <c r="L50" i="246"/>
  <c r="M50" i="246" s="1"/>
  <c r="L87" i="246"/>
  <c r="M87" i="246" s="1"/>
  <c r="L53" i="246"/>
  <c r="M53" i="246" s="1"/>
  <c r="L32" i="246"/>
  <c r="M32" i="246" s="1"/>
  <c r="L68" i="246"/>
  <c r="M68" i="246" s="1"/>
  <c r="L60" i="246"/>
  <c r="M60" i="246" s="1"/>
  <c r="L22" i="246"/>
  <c r="M22" i="246" s="1"/>
  <c r="L26" i="246"/>
  <c r="M26" i="246" s="1"/>
  <c r="K133" i="246"/>
  <c r="L21" i="246"/>
  <c r="L80" i="246"/>
  <c r="M80" i="246" s="1"/>
  <c r="J133" i="246"/>
  <c r="L42" i="246"/>
  <c r="M42" i="246" s="1"/>
  <c r="L36" i="246"/>
  <c r="M36" i="246" s="1"/>
  <c r="L107" i="246"/>
  <c r="M107" i="246" s="1"/>
  <c r="AP123" i="246" l="1"/>
  <c r="AN123" i="246"/>
  <c r="AO123" i="246" s="1"/>
  <c r="AN99" i="246"/>
  <c r="AO99" i="246" s="1"/>
  <c r="AP99" i="246"/>
  <c r="AH121" i="246"/>
  <c r="AI121" i="246" s="1"/>
  <c r="AF121" i="246"/>
  <c r="AG121" i="246" s="1"/>
  <c r="L133" i="246"/>
  <c r="M21" i="246"/>
  <c r="N98" i="246" s="1"/>
  <c r="O98" i="246" s="1"/>
  <c r="P98" i="246" l="1"/>
  <c r="Q98" i="246" s="1"/>
  <c r="N80" i="246"/>
  <c r="O80" i="246" s="1"/>
  <c r="N126" i="246"/>
  <c r="O126" i="246" s="1"/>
  <c r="N114" i="246"/>
  <c r="O114" i="246" s="1"/>
  <c r="N129" i="246"/>
  <c r="O129" i="246" s="1"/>
  <c r="N125" i="246"/>
  <c r="O125" i="246" s="1"/>
  <c r="AQ123" i="246"/>
  <c r="AQ99" i="246"/>
  <c r="AR99" i="246" s="1"/>
  <c r="AS99" i="246" s="1"/>
  <c r="N132" i="246"/>
  <c r="O132" i="246" s="1"/>
  <c r="N131" i="246"/>
  <c r="O131" i="246" s="1"/>
  <c r="N127" i="246"/>
  <c r="O127" i="246" s="1"/>
  <c r="N124" i="246"/>
  <c r="O124" i="246" s="1"/>
  <c r="N119" i="246"/>
  <c r="O119" i="246" s="1"/>
  <c r="AL121" i="246"/>
  <c r="AM121" i="246" s="1"/>
  <c r="AJ121" i="246"/>
  <c r="AK121" i="246" s="1"/>
  <c r="N118" i="246"/>
  <c r="O118" i="246" s="1"/>
  <c r="P118" i="246" s="1"/>
  <c r="Q118" i="246" s="1"/>
  <c r="N120" i="246"/>
  <c r="O120" i="246" s="1"/>
  <c r="N115" i="246"/>
  <c r="O115" i="246" s="1"/>
  <c r="N51" i="246"/>
  <c r="O51" i="246" s="1"/>
  <c r="N111" i="246"/>
  <c r="O111" i="246" s="1"/>
  <c r="N93" i="246"/>
  <c r="O93" i="246" s="1"/>
  <c r="P93" i="246" s="1"/>
  <c r="Q93" i="246" s="1"/>
  <c r="N52" i="246"/>
  <c r="O52" i="246" s="1"/>
  <c r="N31" i="246"/>
  <c r="O31" i="246" s="1"/>
  <c r="N101" i="246"/>
  <c r="O101" i="246" s="1"/>
  <c r="N82" i="246"/>
  <c r="O82" i="246" s="1"/>
  <c r="N112" i="246"/>
  <c r="O112" i="246" s="1"/>
  <c r="N104" i="246"/>
  <c r="O104" i="246" s="1"/>
  <c r="N95" i="246"/>
  <c r="O95" i="246" s="1"/>
  <c r="N109" i="246"/>
  <c r="O109" i="246" s="1"/>
  <c r="N110" i="246"/>
  <c r="O110" i="246" s="1"/>
  <c r="N41" i="246"/>
  <c r="O41" i="246" s="1"/>
  <c r="P41" i="246" s="1"/>
  <c r="Q41" i="246" s="1"/>
  <c r="N33" i="246"/>
  <c r="O33" i="246" s="1"/>
  <c r="P33" i="246" s="1"/>
  <c r="Q33" i="246" s="1"/>
  <c r="N71" i="246"/>
  <c r="O71" i="246" s="1"/>
  <c r="P71" i="246" s="1"/>
  <c r="Q71" i="246" s="1"/>
  <c r="N94" i="246"/>
  <c r="O94" i="246" s="1"/>
  <c r="P94" i="246" s="1"/>
  <c r="Q94" i="246" s="1"/>
  <c r="N63" i="246"/>
  <c r="O63" i="246" s="1"/>
  <c r="P63" i="246" s="1"/>
  <c r="Q63" i="246" s="1"/>
  <c r="N53" i="246"/>
  <c r="O53" i="246" s="1"/>
  <c r="P53" i="246" s="1"/>
  <c r="Q53" i="246" s="1"/>
  <c r="N26" i="246"/>
  <c r="O26" i="246" s="1"/>
  <c r="P26" i="246" s="1"/>
  <c r="Q26" i="246" s="1"/>
  <c r="N73" i="246"/>
  <c r="O73" i="246" s="1"/>
  <c r="P73" i="246" s="1"/>
  <c r="Q73" i="246" s="1"/>
  <c r="N59" i="246"/>
  <c r="O59" i="246" s="1"/>
  <c r="P59" i="246" s="1"/>
  <c r="Q59" i="246" s="1"/>
  <c r="N90" i="246"/>
  <c r="O90" i="246" s="1"/>
  <c r="P90" i="246" s="1"/>
  <c r="Q90" i="246" s="1"/>
  <c r="N32" i="246"/>
  <c r="O32" i="246" s="1"/>
  <c r="P32" i="246" s="1"/>
  <c r="Q32" i="246" s="1"/>
  <c r="N61" i="246"/>
  <c r="O61" i="246" s="1"/>
  <c r="P61" i="246" s="1"/>
  <c r="Q61" i="246" s="1"/>
  <c r="N49" i="246"/>
  <c r="O49" i="246" s="1"/>
  <c r="P49" i="246" s="1"/>
  <c r="Q49" i="246" s="1"/>
  <c r="N102" i="246"/>
  <c r="O102" i="246" s="1"/>
  <c r="P102" i="246" s="1"/>
  <c r="Q102" i="246" s="1"/>
  <c r="N89" i="246"/>
  <c r="O89" i="246" s="1"/>
  <c r="P89" i="246" s="1"/>
  <c r="Q89" i="246" s="1"/>
  <c r="N55" i="246"/>
  <c r="O55" i="246" s="1"/>
  <c r="P55" i="246" s="1"/>
  <c r="Q55" i="246" s="1"/>
  <c r="N105" i="246"/>
  <c r="O105" i="246" s="1"/>
  <c r="P105" i="246" s="1"/>
  <c r="Q105" i="246" s="1"/>
  <c r="N75" i="246"/>
  <c r="O75" i="246" s="1"/>
  <c r="P75" i="246" s="1"/>
  <c r="Q75" i="246" s="1"/>
  <c r="N100" i="246"/>
  <c r="O100" i="246" s="1"/>
  <c r="P100" i="246" s="1"/>
  <c r="Q100" i="246" s="1"/>
  <c r="N85" i="246"/>
  <c r="O85" i="246" s="1"/>
  <c r="P85" i="246" s="1"/>
  <c r="Q85" i="246" s="1"/>
  <c r="N66" i="246"/>
  <c r="O66" i="246" s="1"/>
  <c r="P66" i="246" s="1"/>
  <c r="Q66" i="246" s="1"/>
  <c r="N88" i="246"/>
  <c r="O88" i="246" s="1"/>
  <c r="P88" i="246" s="1"/>
  <c r="Q88" i="246" s="1"/>
  <c r="N37" i="246"/>
  <c r="O37" i="246" s="1"/>
  <c r="P37" i="246" s="1"/>
  <c r="Q37" i="246" s="1"/>
  <c r="N103" i="246"/>
  <c r="O103" i="246" s="1"/>
  <c r="P103" i="246" s="1"/>
  <c r="Q103" i="246" s="1"/>
  <c r="N39" i="246"/>
  <c r="O39" i="246" s="1"/>
  <c r="P39" i="246" s="1"/>
  <c r="Q39" i="246" s="1"/>
  <c r="N86" i="246"/>
  <c r="O86" i="246" s="1"/>
  <c r="P86" i="246" s="1"/>
  <c r="Q86" i="246" s="1"/>
  <c r="N29" i="246"/>
  <c r="O29" i="246" s="1"/>
  <c r="P29" i="246" s="1"/>
  <c r="Q29" i="246" s="1"/>
  <c r="P80" i="246"/>
  <c r="Q80" i="246" s="1"/>
  <c r="N76" i="246"/>
  <c r="O76" i="246" s="1"/>
  <c r="M133" i="246"/>
  <c r="N74" i="246"/>
  <c r="O74" i="246" s="1"/>
  <c r="N35" i="246"/>
  <c r="O35" i="246" s="1"/>
  <c r="N30" i="246"/>
  <c r="O30" i="246" s="1"/>
  <c r="N84" i="246"/>
  <c r="O84" i="246" s="1"/>
  <c r="N46" i="246"/>
  <c r="O46" i="246" s="1"/>
  <c r="N91" i="246"/>
  <c r="O91" i="246" s="1"/>
  <c r="N38" i="246"/>
  <c r="O38" i="246" s="1"/>
  <c r="N65" i="246"/>
  <c r="O65" i="246" s="1"/>
  <c r="N72" i="246"/>
  <c r="O72" i="246" s="1"/>
  <c r="N34" i="246"/>
  <c r="O34" i="246" s="1"/>
  <c r="N70" i="246"/>
  <c r="O70" i="246" s="1"/>
  <c r="N56" i="246"/>
  <c r="O56" i="246" s="1"/>
  <c r="N92" i="246"/>
  <c r="O92" i="246" s="1"/>
  <c r="N45" i="246"/>
  <c r="O45" i="246" s="1"/>
  <c r="N69" i="246"/>
  <c r="O69" i="246" s="1"/>
  <c r="N57" i="246"/>
  <c r="O57" i="246" s="1"/>
  <c r="N106" i="246"/>
  <c r="O106" i="246" s="1"/>
  <c r="N58" i="246"/>
  <c r="O58" i="246" s="1"/>
  <c r="N79" i="246"/>
  <c r="O79" i="246" s="1"/>
  <c r="N96" i="246"/>
  <c r="O96" i="246" s="1"/>
  <c r="N62" i="246"/>
  <c r="O62" i="246" s="1"/>
  <c r="N27" i="246"/>
  <c r="O27" i="246" s="1"/>
  <c r="N25" i="246"/>
  <c r="O25" i="246" s="1"/>
  <c r="N22" i="246"/>
  <c r="O22" i="246" s="1"/>
  <c r="N36" i="246"/>
  <c r="O36" i="246" s="1"/>
  <c r="N44" i="246"/>
  <c r="O44" i="246" s="1"/>
  <c r="N24" i="246"/>
  <c r="O24" i="246" s="1"/>
  <c r="N60" i="246"/>
  <c r="O60" i="246" s="1"/>
  <c r="N40" i="246"/>
  <c r="O40" i="246" s="1"/>
  <c r="N54" i="246"/>
  <c r="O54" i="246" s="1"/>
  <c r="N83" i="246"/>
  <c r="O83" i="246" s="1"/>
  <c r="N43" i="246"/>
  <c r="O43" i="246" s="1"/>
  <c r="N50" i="246"/>
  <c r="O50" i="246" s="1"/>
  <c r="N107" i="246"/>
  <c r="O107" i="246" s="1"/>
  <c r="N21" i="246"/>
  <c r="N67" i="246"/>
  <c r="O67" i="246" s="1"/>
  <c r="N64" i="246"/>
  <c r="O64" i="246" s="1"/>
  <c r="N23" i="246"/>
  <c r="O23" i="246" s="1"/>
  <c r="N77" i="246"/>
  <c r="O77" i="246" s="1"/>
  <c r="N48" i="246"/>
  <c r="O48" i="246" s="1"/>
  <c r="N81" i="246"/>
  <c r="O81" i="246" s="1"/>
  <c r="N47" i="246"/>
  <c r="O47" i="246" s="1"/>
  <c r="N42" i="246"/>
  <c r="O42" i="246" s="1"/>
  <c r="N108" i="246"/>
  <c r="O108" i="246" s="1"/>
  <c r="N28" i="246"/>
  <c r="O28" i="246" s="1"/>
  <c r="N87" i="246"/>
  <c r="O87" i="246" s="1"/>
  <c r="N68" i="246"/>
  <c r="O68" i="246" s="1"/>
  <c r="N78" i="246"/>
  <c r="O78" i="246" s="1"/>
  <c r="P125" i="246" l="1"/>
  <c r="Q125" i="246" s="1"/>
  <c r="P129" i="246"/>
  <c r="Q129" i="246" s="1"/>
  <c r="P126" i="246"/>
  <c r="Q126" i="246" s="1"/>
  <c r="P114" i="246"/>
  <c r="Q114" i="246" s="1"/>
  <c r="AT123" i="246"/>
  <c r="AR123" i="246"/>
  <c r="AS123" i="246" s="1"/>
  <c r="AT99" i="246"/>
  <c r="P124" i="246"/>
  <c r="Q124" i="246" s="1"/>
  <c r="P127" i="246"/>
  <c r="Q127" i="246" s="1"/>
  <c r="P131" i="246"/>
  <c r="Q131" i="246" s="1"/>
  <c r="P119" i="246"/>
  <c r="Q119" i="246" s="1"/>
  <c r="P132" i="246"/>
  <c r="Q132" i="246" s="1"/>
  <c r="AP121" i="246"/>
  <c r="AN121" i="246"/>
  <c r="AO121" i="246" s="1"/>
  <c r="P115" i="246"/>
  <c r="Q115" i="246" s="1"/>
  <c r="P120" i="246"/>
  <c r="Q120" i="246" s="1"/>
  <c r="P51" i="246"/>
  <c r="Q51" i="246" s="1"/>
  <c r="P111" i="246"/>
  <c r="Q111" i="246" s="1"/>
  <c r="P82" i="246"/>
  <c r="Q82" i="246" s="1"/>
  <c r="P101" i="246"/>
  <c r="Q101" i="246" s="1"/>
  <c r="P31" i="246"/>
  <c r="Q31" i="246" s="1"/>
  <c r="P52" i="246"/>
  <c r="Q52" i="246" s="1"/>
  <c r="P109" i="246"/>
  <c r="Q109" i="246" s="1"/>
  <c r="P95" i="246"/>
  <c r="Q95" i="246" s="1"/>
  <c r="P104" i="246"/>
  <c r="Q104" i="246" s="1"/>
  <c r="P110" i="246"/>
  <c r="Q110" i="246" s="1"/>
  <c r="P112" i="246"/>
  <c r="Q112" i="246" s="1"/>
  <c r="P43" i="246"/>
  <c r="Q43" i="246" s="1"/>
  <c r="P22" i="246"/>
  <c r="Q22" i="246" s="1"/>
  <c r="P45" i="246"/>
  <c r="Q45" i="246" s="1"/>
  <c r="P68" i="246"/>
  <c r="Q68" i="246" s="1"/>
  <c r="P83" i="246"/>
  <c r="Q83" i="246" s="1"/>
  <c r="P92" i="246"/>
  <c r="Q92" i="246" s="1"/>
  <c r="P67" i="246"/>
  <c r="Q67" i="246" s="1"/>
  <c r="P54" i="246"/>
  <c r="Q54" i="246" s="1"/>
  <c r="P56" i="246"/>
  <c r="Q56" i="246" s="1"/>
  <c r="P64" i="246"/>
  <c r="Q64" i="246" s="1"/>
  <c r="P81" i="246"/>
  <c r="Q81" i="246" s="1"/>
  <c r="P70" i="246"/>
  <c r="Q70" i="246" s="1"/>
  <c r="P42" i="246"/>
  <c r="Q42" i="246" s="1"/>
  <c r="P40" i="246"/>
  <c r="Q40" i="246" s="1"/>
  <c r="P34" i="246"/>
  <c r="Q34" i="246" s="1"/>
  <c r="P47" i="246"/>
  <c r="Q47" i="246" s="1"/>
  <c r="P25" i="246"/>
  <c r="Q25" i="246" s="1"/>
  <c r="P72" i="246"/>
  <c r="Q72" i="246" s="1"/>
  <c r="P48" i="246"/>
  <c r="Q48" i="246" s="1"/>
  <c r="P27" i="246"/>
  <c r="Q27" i="246" s="1"/>
  <c r="P65" i="246"/>
  <c r="Q65" i="246" s="1"/>
  <c r="P77" i="246"/>
  <c r="Q77" i="246" s="1"/>
  <c r="P38" i="246"/>
  <c r="Q38" i="246" s="1"/>
  <c r="P76" i="246"/>
  <c r="Q76" i="246" s="1"/>
  <c r="P23" i="246"/>
  <c r="Q23" i="246" s="1"/>
  <c r="P60" i="246"/>
  <c r="Q60" i="246" s="1"/>
  <c r="P91" i="246"/>
  <c r="Q91" i="246" s="1"/>
  <c r="P24" i="246"/>
  <c r="Q24" i="246" s="1"/>
  <c r="P62" i="246"/>
  <c r="Q62" i="246" s="1"/>
  <c r="P46" i="246"/>
  <c r="Q46" i="246" s="1"/>
  <c r="P44" i="246"/>
  <c r="Q44" i="246" s="1"/>
  <c r="P96" i="246"/>
  <c r="Q96" i="246" s="1"/>
  <c r="P84" i="246"/>
  <c r="Q84" i="246" s="1"/>
  <c r="N133" i="246"/>
  <c r="O21" i="246"/>
  <c r="P79" i="246"/>
  <c r="Q79" i="246" s="1"/>
  <c r="P30" i="246"/>
  <c r="Q30" i="246" s="1"/>
  <c r="P107" i="246"/>
  <c r="Q107" i="246" s="1"/>
  <c r="P58" i="246"/>
  <c r="Q58" i="246" s="1"/>
  <c r="P35" i="246"/>
  <c r="Q35" i="246" s="1"/>
  <c r="P28" i="246"/>
  <c r="Q28" i="246" s="1"/>
  <c r="P106" i="246"/>
  <c r="Q106" i="246" s="1"/>
  <c r="P74" i="246"/>
  <c r="Q74" i="246" s="1"/>
  <c r="P87" i="246"/>
  <c r="Q87" i="246" s="1"/>
  <c r="P108" i="246"/>
  <c r="Q108" i="246" s="1"/>
  <c r="P57" i="246"/>
  <c r="Q57" i="246" s="1"/>
  <c r="P78" i="246"/>
  <c r="Q78" i="246" s="1"/>
  <c r="P50" i="246"/>
  <c r="Q50" i="246" s="1"/>
  <c r="P36" i="246"/>
  <c r="Q36" i="246" s="1"/>
  <c r="P69" i="246"/>
  <c r="Q69" i="246" s="1"/>
  <c r="AQ121" i="246" l="1"/>
  <c r="AT121" i="246" s="1"/>
  <c r="O133" i="246"/>
  <c r="P21" i="246"/>
  <c r="AR121" i="246" l="1"/>
  <c r="AS121" i="246" s="1"/>
  <c r="P133" i="246"/>
  <c r="Q21" i="246"/>
  <c r="R124" i="246" s="1"/>
  <c r="S124" i="246" s="1"/>
  <c r="R100" i="246"/>
  <c r="S100" i="246" s="1"/>
  <c r="R98" i="246" l="1"/>
  <c r="S98" i="246" s="1"/>
  <c r="R126" i="246"/>
  <c r="S126" i="246" s="1"/>
  <c r="R129" i="246"/>
  <c r="S129" i="246" s="1"/>
  <c r="R125" i="246"/>
  <c r="S125" i="246" s="1"/>
  <c r="R114" i="246"/>
  <c r="S114" i="246" s="1"/>
  <c r="R120" i="246"/>
  <c r="S120" i="246" s="1"/>
  <c r="T120" i="246" s="1"/>
  <c r="U120" i="246" s="1"/>
  <c r="R119" i="246"/>
  <c r="S119" i="246" s="1"/>
  <c r="T119" i="246" s="1"/>
  <c r="U119" i="246" s="1"/>
  <c r="R132" i="246"/>
  <c r="S132" i="246" s="1"/>
  <c r="T132" i="246" s="1"/>
  <c r="U132" i="246" s="1"/>
  <c r="T124" i="246"/>
  <c r="U124" i="246" s="1"/>
  <c r="R112" i="246"/>
  <c r="S112" i="246" s="1"/>
  <c r="T112" i="246" s="1"/>
  <c r="U112" i="246" s="1"/>
  <c r="R127" i="246"/>
  <c r="S127" i="246" s="1"/>
  <c r="R131" i="246"/>
  <c r="S131" i="246" s="1"/>
  <c r="R115" i="246"/>
  <c r="S115" i="246" s="1"/>
  <c r="T115" i="246" s="1"/>
  <c r="U115" i="246" s="1"/>
  <c r="R118" i="246"/>
  <c r="S118" i="246" s="1"/>
  <c r="T118" i="246" s="1"/>
  <c r="U118" i="246" s="1"/>
  <c r="R111" i="246"/>
  <c r="S111" i="246" s="1"/>
  <c r="T111" i="246" s="1"/>
  <c r="U111" i="246" s="1"/>
  <c r="R51" i="246"/>
  <c r="S51" i="246" s="1"/>
  <c r="T51" i="246" s="1"/>
  <c r="U51" i="246" s="1"/>
  <c r="R71" i="246"/>
  <c r="S71" i="246" s="1"/>
  <c r="T71" i="246" s="1"/>
  <c r="U71" i="246" s="1"/>
  <c r="R75" i="246"/>
  <c r="S75" i="246" s="1"/>
  <c r="T75" i="246" s="1"/>
  <c r="U75" i="246" s="1"/>
  <c r="R76" i="246"/>
  <c r="S76" i="246" s="1"/>
  <c r="T76" i="246" s="1"/>
  <c r="U76" i="246" s="1"/>
  <c r="R93" i="246"/>
  <c r="S93" i="246" s="1"/>
  <c r="T93" i="246" s="1"/>
  <c r="U93" i="246" s="1"/>
  <c r="R83" i="246"/>
  <c r="S83" i="246" s="1"/>
  <c r="T83" i="246" s="1"/>
  <c r="U83" i="246" s="1"/>
  <c r="R65" i="246"/>
  <c r="S65" i="246" s="1"/>
  <c r="T65" i="246" s="1"/>
  <c r="U65" i="246" s="1"/>
  <c r="R74" i="246"/>
  <c r="S74" i="246" s="1"/>
  <c r="T74" i="246" s="1"/>
  <c r="U74" i="246" s="1"/>
  <c r="R78" i="246"/>
  <c r="S78" i="246" s="1"/>
  <c r="T78" i="246" s="1"/>
  <c r="U78" i="246" s="1"/>
  <c r="R68" i="246"/>
  <c r="S68" i="246" s="1"/>
  <c r="T68" i="246" s="1"/>
  <c r="U68" i="246" s="1"/>
  <c r="R73" i="246"/>
  <c r="S73" i="246" s="1"/>
  <c r="T73" i="246" s="1"/>
  <c r="U73" i="246" s="1"/>
  <c r="R84" i="246"/>
  <c r="S84" i="246" s="1"/>
  <c r="T84" i="246" s="1"/>
  <c r="U84" i="246" s="1"/>
  <c r="R28" i="246"/>
  <c r="S28" i="246" s="1"/>
  <c r="T28" i="246" s="1"/>
  <c r="U28" i="246" s="1"/>
  <c r="R58" i="246"/>
  <c r="S58" i="246" s="1"/>
  <c r="T58" i="246" s="1"/>
  <c r="U58" i="246" s="1"/>
  <c r="R60" i="246"/>
  <c r="S60" i="246" s="1"/>
  <c r="T60" i="246" s="1"/>
  <c r="U60" i="246" s="1"/>
  <c r="R23" i="246"/>
  <c r="S23" i="246" s="1"/>
  <c r="T23" i="246" s="1"/>
  <c r="U23" i="246" s="1"/>
  <c r="R54" i="246"/>
  <c r="S54" i="246" s="1"/>
  <c r="T54" i="246" s="1"/>
  <c r="U54" i="246" s="1"/>
  <c r="R36" i="246"/>
  <c r="S36" i="246" s="1"/>
  <c r="T36" i="246" s="1"/>
  <c r="U36" i="246" s="1"/>
  <c r="R22" i="246"/>
  <c r="S22" i="246" s="1"/>
  <c r="T22" i="246" s="1"/>
  <c r="U22" i="246" s="1"/>
  <c r="R108" i="246"/>
  <c r="S108" i="246" s="1"/>
  <c r="T108" i="246" s="1"/>
  <c r="U108" i="246" s="1"/>
  <c r="R106" i="246"/>
  <c r="S106" i="246" s="1"/>
  <c r="T106" i="246" s="1"/>
  <c r="U106" i="246" s="1"/>
  <c r="R30" i="246"/>
  <c r="S30" i="246" s="1"/>
  <c r="T30" i="246" s="1"/>
  <c r="U30" i="246" s="1"/>
  <c r="R42" i="246"/>
  <c r="S42" i="246" s="1"/>
  <c r="T42" i="246" s="1"/>
  <c r="U42" i="246" s="1"/>
  <c r="R48" i="246"/>
  <c r="S48" i="246" s="1"/>
  <c r="T48" i="246" s="1"/>
  <c r="U48" i="246" s="1"/>
  <c r="R103" i="246"/>
  <c r="S103" i="246" s="1"/>
  <c r="T103" i="246" s="1"/>
  <c r="U103" i="246" s="1"/>
  <c r="R29" i="246"/>
  <c r="S29" i="246" s="1"/>
  <c r="T29" i="246" s="1"/>
  <c r="U29" i="246" s="1"/>
  <c r="R72" i="246"/>
  <c r="S72" i="246" s="1"/>
  <c r="T72" i="246" s="1"/>
  <c r="U72" i="246" s="1"/>
  <c r="R107" i="246"/>
  <c r="S107" i="246" s="1"/>
  <c r="T107" i="246" s="1"/>
  <c r="U107" i="246" s="1"/>
  <c r="R21" i="246"/>
  <c r="S21" i="246" s="1"/>
  <c r="R91" i="246"/>
  <c r="S91" i="246" s="1"/>
  <c r="T91" i="246" s="1"/>
  <c r="U91" i="246" s="1"/>
  <c r="R70" i="246"/>
  <c r="S70" i="246" s="1"/>
  <c r="T70" i="246" s="1"/>
  <c r="U70" i="246" s="1"/>
  <c r="R96" i="246"/>
  <c r="S96" i="246" s="1"/>
  <c r="T96" i="246" s="1"/>
  <c r="U96" i="246" s="1"/>
  <c r="R35" i="246"/>
  <c r="S35" i="246" s="1"/>
  <c r="T35" i="246" s="1"/>
  <c r="U35" i="246" s="1"/>
  <c r="R47" i="246"/>
  <c r="S47" i="246" s="1"/>
  <c r="T47" i="246" s="1"/>
  <c r="U47" i="246" s="1"/>
  <c r="R44" i="246"/>
  <c r="S44" i="246" s="1"/>
  <c r="T44" i="246" s="1"/>
  <c r="U44" i="246" s="1"/>
  <c r="R80" i="246"/>
  <c r="S80" i="246" s="1"/>
  <c r="T80" i="246" s="1"/>
  <c r="U80" i="246" s="1"/>
  <c r="R102" i="246"/>
  <c r="S102" i="246" s="1"/>
  <c r="T102" i="246" s="1"/>
  <c r="U102" i="246" s="1"/>
  <c r="R63" i="246"/>
  <c r="S63" i="246" s="1"/>
  <c r="T63" i="246" s="1"/>
  <c r="U63" i="246" s="1"/>
  <c r="R25" i="246"/>
  <c r="S25" i="246" s="1"/>
  <c r="T25" i="246" s="1"/>
  <c r="U25" i="246" s="1"/>
  <c r="R79" i="246"/>
  <c r="S79" i="246" s="1"/>
  <c r="T79" i="246" s="1"/>
  <c r="U79" i="246" s="1"/>
  <c r="R66" i="246"/>
  <c r="S66" i="246" s="1"/>
  <c r="T66" i="246" s="1"/>
  <c r="U66" i="246" s="1"/>
  <c r="R61" i="246"/>
  <c r="S61" i="246" s="1"/>
  <c r="T61" i="246" s="1"/>
  <c r="U61" i="246" s="1"/>
  <c r="R59" i="246"/>
  <c r="S59" i="246" s="1"/>
  <c r="T59" i="246" s="1"/>
  <c r="U59" i="246" s="1"/>
  <c r="R38" i="246"/>
  <c r="S38" i="246" s="1"/>
  <c r="T38" i="246" s="1"/>
  <c r="U38" i="246" s="1"/>
  <c r="R41" i="246"/>
  <c r="S41" i="246" s="1"/>
  <c r="T41" i="246" s="1"/>
  <c r="U41" i="246" s="1"/>
  <c r="R105" i="246"/>
  <c r="S105" i="246" s="1"/>
  <c r="T105" i="246" s="1"/>
  <c r="U105" i="246" s="1"/>
  <c r="R32" i="246"/>
  <c r="S32" i="246" s="1"/>
  <c r="T32" i="246" s="1"/>
  <c r="U32" i="246" s="1"/>
  <c r="R46" i="246"/>
  <c r="S46" i="246" s="1"/>
  <c r="T46" i="246" s="1"/>
  <c r="U46" i="246" s="1"/>
  <c r="R34" i="246"/>
  <c r="S34" i="246" s="1"/>
  <c r="T34" i="246" s="1"/>
  <c r="U34" i="246" s="1"/>
  <c r="R69" i="246"/>
  <c r="S69" i="246" s="1"/>
  <c r="T69" i="246" s="1"/>
  <c r="U69" i="246" s="1"/>
  <c r="R43" i="246"/>
  <c r="S43" i="246" s="1"/>
  <c r="T43" i="246" s="1"/>
  <c r="U43" i="246" s="1"/>
  <c r="R77" i="246"/>
  <c r="S77" i="246" s="1"/>
  <c r="T77" i="246" s="1"/>
  <c r="U77" i="246" s="1"/>
  <c r="R39" i="246"/>
  <c r="S39" i="246" s="1"/>
  <c r="T39" i="246" s="1"/>
  <c r="U39" i="246" s="1"/>
  <c r="R86" i="246"/>
  <c r="S86" i="246" s="1"/>
  <c r="T86" i="246" s="1"/>
  <c r="U86" i="246" s="1"/>
  <c r="R67" i="246"/>
  <c r="S67" i="246" s="1"/>
  <c r="T67" i="246" s="1"/>
  <c r="U67" i="246" s="1"/>
  <c r="R49" i="246"/>
  <c r="S49" i="246" s="1"/>
  <c r="T49" i="246" s="1"/>
  <c r="U49" i="246" s="1"/>
  <c r="R40" i="246"/>
  <c r="S40" i="246" s="1"/>
  <c r="T40" i="246" s="1"/>
  <c r="U40" i="246" s="1"/>
  <c r="R88" i="246"/>
  <c r="S88" i="246" s="1"/>
  <c r="T88" i="246" s="1"/>
  <c r="U88" i="246" s="1"/>
  <c r="R90" i="246"/>
  <c r="S90" i="246" s="1"/>
  <c r="T90" i="246" s="1"/>
  <c r="U90" i="246" s="1"/>
  <c r="R55" i="246"/>
  <c r="S55" i="246" s="1"/>
  <c r="T55" i="246" s="1"/>
  <c r="U55" i="246" s="1"/>
  <c r="R33" i="246"/>
  <c r="S33" i="246" s="1"/>
  <c r="T33" i="246" s="1"/>
  <c r="U33" i="246" s="1"/>
  <c r="R89" i="246"/>
  <c r="S89" i="246" s="1"/>
  <c r="T89" i="246" s="1"/>
  <c r="U89" i="246" s="1"/>
  <c r="R85" i="246"/>
  <c r="S85" i="246" s="1"/>
  <c r="T85" i="246" s="1"/>
  <c r="U85" i="246" s="1"/>
  <c r="R37" i="246"/>
  <c r="S37" i="246" s="1"/>
  <c r="T37" i="246" s="1"/>
  <c r="U37" i="246" s="1"/>
  <c r="R53" i="246"/>
  <c r="S53" i="246" s="1"/>
  <c r="T53" i="246" s="1"/>
  <c r="U53" i="246" s="1"/>
  <c r="R26" i="246"/>
  <c r="S26" i="246" s="1"/>
  <c r="T26" i="246" s="1"/>
  <c r="U26" i="246" s="1"/>
  <c r="R94" i="246"/>
  <c r="S94" i="246" s="1"/>
  <c r="T94" i="246" s="1"/>
  <c r="U94" i="246" s="1"/>
  <c r="R95" i="246"/>
  <c r="S95" i="246" s="1"/>
  <c r="T95" i="246" s="1"/>
  <c r="U95" i="246" s="1"/>
  <c r="R52" i="246"/>
  <c r="S52" i="246" s="1"/>
  <c r="R31" i="246"/>
  <c r="S31" i="246" s="1"/>
  <c r="R82" i="246"/>
  <c r="S82" i="246" s="1"/>
  <c r="R101" i="246"/>
  <c r="S101" i="246" s="1"/>
  <c r="R110" i="246"/>
  <c r="S110" i="246" s="1"/>
  <c r="R104" i="246"/>
  <c r="S104" i="246" s="1"/>
  <c r="R109" i="246"/>
  <c r="S109" i="246" s="1"/>
  <c r="T100" i="246"/>
  <c r="U100" i="246" s="1"/>
  <c r="Q133" i="246"/>
  <c r="R27" i="246"/>
  <c r="S27" i="246" s="1"/>
  <c r="R24" i="246"/>
  <c r="S24" i="246" s="1"/>
  <c r="R87" i="246"/>
  <c r="S87" i="246" s="1"/>
  <c r="R45" i="246"/>
  <c r="S45" i="246" s="1"/>
  <c r="R81" i="246"/>
  <c r="S81" i="246" s="1"/>
  <c r="R64" i="246"/>
  <c r="S64" i="246" s="1"/>
  <c r="R57" i="246"/>
  <c r="S57" i="246" s="1"/>
  <c r="R92" i="246"/>
  <c r="S92" i="246" s="1"/>
  <c r="R62" i="246"/>
  <c r="S62" i="246" s="1"/>
  <c r="R56" i="246"/>
  <c r="S56" i="246" s="1"/>
  <c r="R50" i="246"/>
  <c r="S50" i="246" s="1"/>
  <c r="T98" i="246" l="1"/>
  <c r="U98" i="246" s="1"/>
  <c r="T114" i="246"/>
  <c r="U114" i="246" s="1"/>
  <c r="T125" i="246"/>
  <c r="U125" i="246" s="1"/>
  <c r="T129" i="246"/>
  <c r="U129" i="246" s="1"/>
  <c r="T126" i="246"/>
  <c r="U126" i="246" s="1"/>
  <c r="T127" i="246"/>
  <c r="U127" i="246" s="1"/>
  <c r="T131" i="246"/>
  <c r="U131" i="246" s="1"/>
  <c r="T101" i="246"/>
  <c r="U101" i="246" s="1"/>
  <c r="T82" i="246"/>
  <c r="U82" i="246" s="1"/>
  <c r="T31" i="246"/>
  <c r="U31" i="246" s="1"/>
  <c r="T52" i="246"/>
  <c r="U52" i="246" s="1"/>
  <c r="T104" i="246"/>
  <c r="U104" i="246" s="1"/>
  <c r="T110" i="246"/>
  <c r="U110" i="246" s="1"/>
  <c r="T109" i="246"/>
  <c r="U109" i="246" s="1"/>
  <c r="T81" i="246"/>
  <c r="U81" i="246" s="1"/>
  <c r="T87" i="246"/>
  <c r="U87" i="246" s="1"/>
  <c r="S133" i="246"/>
  <c r="T21" i="246"/>
  <c r="T27" i="246"/>
  <c r="U27" i="246" s="1"/>
  <c r="R133" i="246"/>
  <c r="T45" i="246"/>
  <c r="U45" i="246" s="1"/>
  <c r="T24" i="246"/>
  <c r="U24" i="246" s="1"/>
  <c r="T50" i="246"/>
  <c r="U50" i="246" s="1"/>
  <c r="T56" i="246"/>
  <c r="U56" i="246" s="1"/>
  <c r="T62" i="246"/>
  <c r="U62" i="246" s="1"/>
  <c r="T92" i="246"/>
  <c r="U92" i="246" s="1"/>
  <c r="T57" i="246"/>
  <c r="U57" i="246" s="1"/>
  <c r="T64" i="246"/>
  <c r="U64" i="246" s="1"/>
  <c r="T133" i="246" l="1"/>
  <c r="U21" i="246"/>
  <c r="V98" i="246" s="1"/>
  <c r="W98" i="246" s="1"/>
  <c r="X98" i="246" l="1"/>
  <c r="Y98" i="246" s="1"/>
  <c r="V104" i="246"/>
  <c r="W104" i="246" s="1"/>
  <c r="V125" i="246"/>
  <c r="W125" i="246" s="1"/>
  <c r="V114" i="246"/>
  <c r="W114" i="246" s="1"/>
  <c r="V129" i="246"/>
  <c r="W129" i="246" s="1"/>
  <c r="V126" i="246"/>
  <c r="W126" i="246" s="1"/>
  <c r="V132" i="246"/>
  <c r="W132" i="246" s="1"/>
  <c r="X132" i="246" s="1"/>
  <c r="Y132" i="246" s="1"/>
  <c r="V124" i="246"/>
  <c r="W124" i="246" s="1"/>
  <c r="X124" i="246" s="1"/>
  <c r="Y124" i="246" s="1"/>
  <c r="V131" i="246"/>
  <c r="W131" i="246" s="1"/>
  <c r="X131" i="246" s="1"/>
  <c r="Y131" i="246" s="1"/>
  <c r="V127" i="246"/>
  <c r="W127" i="246" s="1"/>
  <c r="V119" i="246"/>
  <c r="W119" i="246" s="1"/>
  <c r="V118" i="246"/>
  <c r="W118" i="246" s="1"/>
  <c r="V120" i="246"/>
  <c r="W120" i="246" s="1"/>
  <c r="V115" i="246"/>
  <c r="W115" i="246" s="1"/>
  <c r="V51" i="246"/>
  <c r="W51" i="246" s="1"/>
  <c r="X51" i="246" s="1"/>
  <c r="Y51" i="246" s="1"/>
  <c r="V111" i="246"/>
  <c r="W111" i="246" s="1"/>
  <c r="V93" i="246"/>
  <c r="W93" i="246" s="1"/>
  <c r="V44" i="246"/>
  <c r="W44" i="246" s="1"/>
  <c r="X44" i="246" s="1"/>
  <c r="Y44" i="246" s="1"/>
  <c r="V35" i="246"/>
  <c r="W35" i="246" s="1"/>
  <c r="X35" i="246" s="1"/>
  <c r="Y35" i="246" s="1"/>
  <c r="V54" i="246"/>
  <c r="W54" i="246" s="1"/>
  <c r="X54" i="246" s="1"/>
  <c r="Y54" i="246" s="1"/>
  <c r="V23" i="246"/>
  <c r="W23" i="246" s="1"/>
  <c r="X23" i="246" s="1"/>
  <c r="Y23" i="246" s="1"/>
  <c r="V85" i="246"/>
  <c r="W85" i="246" s="1"/>
  <c r="X85" i="246" s="1"/>
  <c r="Y85" i="246" s="1"/>
  <c r="V47" i="246"/>
  <c r="W47" i="246" s="1"/>
  <c r="X47" i="246" s="1"/>
  <c r="Y47" i="246" s="1"/>
  <c r="V60" i="246"/>
  <c r="W60" i="246" s="1"/>
  <c r="X60" i="246" s="1"/>
  <c r="Y60" i="246" s="1"/>
  <c r="V29" i="246"/>
  <c r="W29" i="246" s="1"/>
  <c r="X29" i="246" s="1"/>
  <c r="Y29" i="246" s="1"/>
  <c r="V40" i="246"/>
  <c r="W40" i="246" s="1"/>
  <c r="X40" i="246" s="1"/>
  <c r="Y40" i="246" s="1"/>
  <c r="V88" i="246"/>
  <c r="W88" i="246" s="1"/>
  <c r="X88" i="246" s="1"/>
  <c r="Y88" i="246" s="1"/>
  <c r="V58" i="246"/>
  <c r="W58" i="246" s="1"/>
  <c r="X58" i="246" s="1"/>
  <c r="Y58" i="246" s="1"/>
  <c r="V80" i="246"/>
  <c r="W80" i="246" s="1"/>
  <c r="X80" i="246" s="1"/>
  <c r="Y80" i="246" s="1"/>
  <c r="V34" i="246"/>
  <c r="W34" i="246" s="1"/>
  <c r="X34" i="246" s="1"/>
  <c r="Y34" i="246" s="1"/>
  <c r="V59" i="246"/>
  <c r="W59" i="246" s="1"/>
  <c r="X59" i="246" s="1"/>
  <c r="Y59" i="246" s="1"/>
  <c r="V75" i="246"/>
  <c r="W75" i="246" s="1"/>
  <c r="X75" i="246" s="1"/>
  <c r="Y75" i="246" s="1"/>
  <c r="V22" i="246"/>
  <c r="W22" i="246" s="1"/>
  <c r="X22" i="246" s="1"/>
  <c r="Y22" i="246" s="1"/>
  <c r="V70" i="246"/>
  <c r="W70" i="246" s="1"/>
  <c r="X70" i="246" s="1"/>
  <c r="Y70" i="246" s="1"/>
  <c r="V38" i="246"/>
  <c r="W38" i="246" s="1"/>
  <c r="X38" i="246" s="1"/>
  <c r="Y38" i="246" s="1"/>
  <c r="V68" i="246"/>
  <c r="W68" i="246" s="1"/>
  <c r="X68" i="246" s="1"/>
  <c r="Y68" i="246" s="1"/>
  <c r="V31" i="246"/>
  <c r="W31" i="246" s="1"/>
  <c r="V107" i="246"/>
  <c r="W107" i="246" s="1"/>
  <c r="X107" i="246" s="1"/>
  <c r="Y107" i="246" s="1"/>
  <c r="V52" i="246"/>
  <c r="W52" i="246" s="1"/>
  <c r="V101" i="246"/>
  <c r="W101" i="246" s="1"/>
  <c r="V82" i="246"/>
  <c r="W82" i="246" s="1"/>
  <c r="X104" i="246"/>
  <c r="Y104" i="246" s="1"/>
  <c r="V90" i="246"/>
  <c r="W90" i="246" s="1"/>
  <c r="X90" i="246" s="1"/>
  <c r="Y90" i="246" s="1"/>
  <c r="V110" i="246"/>
  <c r="W110" i="246" s="1"/>
  <c r="V71" i="246"/>
  <c r="W71" i="246" s="1"/>
  <c r="X71" i="246" s="1"/>
  <c r="Y71" i="246" s="1"/>
  <c r="V27" i="246"/>
  <c r="W27" i="246" s="1"/>
  <c r="X27" i="246" s="1"/>
  <c r="Y27" i="246" s="1"/>
  <c r="V109" i="246"/>
  <c r="W109" i="246" s="1"/>
  <c r="V95" i="246"/>
  <c r="W95" i="246" s="1"/>
  <c r="V112" i="246"/>
  <c r="W112" i="246" s="1"/>
  <c r="U133" i="246"/>
  <c r="V78" i="246"/>
  <c r="W78" i="246" s="1"/>
  <c r="V64" i="246"/>
  <c r="W64" i="246" s="1"/>
  <c r="V83" i="246"/>
  <c r="W83" i="246" s="1"/>
  <c r="V32" i="246"/>
  <c r="W32" i="246" s="1"/>
  <c r="V37" i="246"/>
  <c r="W37" i="246" s="1"/>
  <c r="V69" i="246"/>
  <c r="W69" i="246" s="1"/>
  <c r="V65" i="246"/>
  <c r="W65" i="246" s="1"/>
  <c r="V89" i="246"/>
  <c r="W89" i="246" s="1"/>
  <c r="V53" i="246"/>
  <c r="W53" i="246" s="1"/>
  <c r="V77" i="246"/>
  <c r="W77" i="246" s="1"/>
  <c r="V50" i="246"/>
  <c r="W50" i="246" s="1"/>
  <c r="V86" i="246"/>
  <c r="W86" i="246" s="1"/>
  <c r="V28" i="246"/>
  <c r="W28" i="246" s="1"/>
  <c r="V48" i="246"/>
  <c r="W48" i="246" s="1"/>
  <c r="V91" i="246"/>
  <c r="W91" i="246" s="1"/>
  <c r="V76" i="246"/>
  <c r="W76" i="246" s="1"/>
  <c r="V67" i="246"/>
  <c r="W67" i="246" s="1"/>
  <c r="V103" i="246"/>
  <c r="W103" i="246" s="1"/>
  <c r="V100" i="246"/>
  <c r="W100" i="246" s="1"/>
  <c r="V55" i="246"/>
  <c r="W55" i="246" s="1"/>
  <c r="V81" i="246"/>
  <c r="W81" i="246" s="1"/>
  <c r="V39" i="246"/>
  <c r="W39" i="246" s="1"/>
  <c r="V79" i="246"/>
  <c r="W79" i="246" s="1"/>
  <c r="V45" i="246"/>
  <c r="W45" i="246" s="1"/>
  <c r="V33" i="246"/>
  <c r="W33" i="246" s="1"/>
  <c r="V42" i="246"/>
  <c r="W42" i="246" s="1"/>
  <c r="V106" i="246"/>
  <c r="W106" i="246" s="1"/>
  <c r="V36" i="246"/>
  <c r="W36" i="246" s="1"/>
  <c r="V105" i="246"/>
  <c r="W105" i="246" s="1"/>
  <c r="V25" i="246"/>
  <c r="W25" i="246" s="1"/>
  <c r="V41" i="246"/>
  <c r="W41" i="246" s="1"/>
  <c r="V73" i="246"/>
  <c r="W73" i="246" s="1"/>
  <c r="V72" i="246"/>
  <c r="W72" i="246" s="1"/>
  <c r="V94" i="246"/>
  <c r="W94" i="246" s="1"/>
  <c r="V74" i="246"/>
  <c r="W74" i="246" s="1"/>
  <c r="V63" i="246"/>
  <c r="W63" i="246" s="1"/>
  <c r="V26" i="246"/>
  <c r="W26" i="246" s="1"/>
  <c r="V43" i="246"/>
  <c r="W43" i="246" s="1"/>
  <c r="V30" i="246"/>
  <c r="W30" i="246" s="1"/>
  <c r="V61" i="246"/>
  <c r="W61" i="246" s="1"/>
  <c r="V102" i="246"/>
  <c r="W102" i="246" s="1"/>
  <c r="V66" i="246"/>
  <c r="W66" i="246" s="1"/>
  <c r="V84" i="246"/>
  <c r="W84" i="246" s="1"/>
  <c r="V62" i="246"/>
  <c r="W62" i="246" s="1"/>
  <c r="V96" i="246"/>
  <c r="W96" i="246" s="1"/>
  <c r="V87" i="246"/>
  <c r="W87" i="246" s="1"/>
  <c r="V21" i="246"/>
  <c r="V57" i="246"/>
  <c r="W57" i="246" s="1"/>
  <c r="V108" i="246"/>
  <c r="W108" i="246" s="1"/>
  <c r="V56" i="246"/>
  <c r="W56" i="246" s="1"/>
  <c r="V24" i="246"/>
  <c r="W24" i="246" s="1"/>
  <c r="V49" i="246"/>
  <c r="W49" i="246" s="1"/>
  <c r="V46" i="246"/>
  <c r="W46" i="246" s="1"/>
  <c r="V92" i="246"/>
  <c r="W92" i="246" s="1"/>
  <c r="X129" i="246" l="1"/>
  <c r="Y129" i="246" s="1"/>
  <c r="X114" i="246"/>
  <c r="Y114" i="246" s="1"/>
  <c r="X125" i="246"/>
  <c r="Y125" i="246" s="1"/>
  <c r="X126" i="246"/>
  <c r="Y126" i="246" s="1"/>
  <c r="X119" i="246"/>
  <c r="Y119" i="246" s="1"/>
  <c r="X127" i="246"/>
  <c r="Y127" i="246" s="1"/>
  <c r="X115" i="246"/>
  <c r="Y115" i="246" s="1"/>
  <c r="X120" i="246"/>
  <c r="Y120" i="246" s="1"/>
  <c r="X118" i="246"/>
  <c r="Y118" i="246" s="1"/>
  <c r="X111" i="246"/>
  <c r="Y111" i="246" s="1"/>
  <c r="X93" i="246"/>
  <c r="Y93" i="246" s="1"/>
  <c r="X101" i="246"/>
  <c r="Y101" i="246" s="1"/>
  <c r="X52" i="246"/>
  <c r="Y52" i="246" s="1"/>
  <c r="X82" i="246"/>
  <c r="Y82" i="246" s="1"/>
  <c r="X31" i="246"/>
  <c r="Y31" i="246" s="1"/>
  <c r="X95" i="246"/>
  <c r="Y95" i="246" s="1"/>
  <c r="X110" i="246"/>
  <c r="Y110" i="246" s="1"/>
  <c r="X109" i="246"/>
  <c r="Y109" i="246" s="1"/>
  <c r="X112" i="246"/>
  <c r="Y112" i="246" s="1"/>
  <c r="X74" i="246"/>
  <c r="Y74" i="246" s="1"/>
  <c r="X100" i="246"/>
  <c r="Y100" i="246" s="1"/>
  <c r="X83" i="246"/>
  <c r="Y83" i="246" s="1"/>
  <c r="X94" i="246"/>
  <c r="Y94" i="246" s="1"/>
  <c r="X103" i="246"/>
  <c r="Y103" i="246" s="1"/>
  <c r="X64" i="246"/>
  <c r="Y64" i="246" s="1"/>
  <c r="X72" i="246"/>
  <c r="Y72" i="246" s="1"/>
  <c r="X67" i="246"/>
  <c r="Y67" i="246" s="1"/>
  <c r="X78" i="246"/>
  <c r="Y78" i="246" s="1"/>
  <c r="X56" i="246"/>
  <c r="Y56" i="246" s="1"/>
  <c r="X73" i="246"/>
  <c r="Y73" i="246" s="1"/>
  <c r="X76" i="246"/>
  <c r="Y76" i="246" s="1"/>
  <c r="X108" i="246"/>
  <c r="Y108" i="246" s="1"/>
  <c r="X41" i="246"/>
  <c r="Y41" i="246" s="1"/>
  <c r="X91" i="246"/>
  <c r="Y91" i="246" s="1"/>
  <c r="X57" i="246"/>
  <c r="Y57" i="246" s="1"/>
  <c r="X25" i="246"/>
  <c r="Y25" i="246" s="1"/>
  <c r="X48" i="246"/>
  <c r="Y48" i="246" s="1"/>
  <c r="V133" i="246"/>
  <c r="W21" i="246"/>
  <c r="X105" i="246"/>
  <c r="Y105" i="246" s="1"/>
  <c r="X28" i="246"/>
  <c r="Y28" i="246" s="1"/>
  <c r="X49" i="246"/>
  <c r="Y49" i="246" s="1"/>
  <c r="X36" i="246"/>
  <c r="Y36" i="246" s="1"/>
  <c r="X86" i="246"/>
  <c r="Y86" i="246" s="1"/>
  <c r="X46" i="246"/>
  <c r="Y46" i="246" s="1"/>
  <c r="X106" i="246"/>
  <c r="Y106" i="246" s="1"/>
  <c r="X50" i="246"/>
  <c r="Y50" i="246" s="1"/>
  <c r="X66" i="246"/>
  <c r="Y66" i="246" s="1"/>
  <c r="X42" i="246"/>
  <c r="Y42" i="246" s="1"/>
  <c r="X77" i="246"/>
  <c r="Y77" i="246" s="1"/>
  <c r="X96" i="246"/>
  <c r="Y96" i="246" s="1"/>
  <c r="X102" i="246"/>
  <c r="Y102" i="246" s="1"/>
  <c r="X33" i="246"/>
  <c r="Y33" i="246" s="1"/>
  <c r="X53" i="246"/>
  <c r="Y53" i="246" s="1"/>
  <c r="X92" i="246"/>
  <c r="Y92" i="246" s="1"/>
  <c r="X61" i="246"/>
  <c r="Y61" i="246" s="1"/>
  <c r="X45" i="246"/>
  <c r="Y45" i="246" s="1"/>
  <c r="X89" i="246"/>
  <c r="Y89" i="246" s="1"/>
  <c r="X87" i="246"/>
  <c r="Y87" i="246" s="1"/>
  <c r="X30" i="246"/>
  <c r="Y30" i="246" s="1"/>
  <c r="X79" i="246"/>
  <c r="Y79" i="246" s="1"/>
  <c r="X65" i="246"/>
  <c r="Y65" i="246" s="1"/>
  <c r="X62" i="246"/>
  <c r="Y62" i="246" s="1"/>
  <c r="X43" i="246"/>
  <c r="Y43" i="246" s="1"/>
  <c r="X39" i="246"/>
  <c r="Y39" i="246" s="1"/>
  <c r="X69" i="246"/>
  <c r="Y69" i="246" s="1"/>
  <c r="X24" i="246"/>
  <c r="Y24" i="246" s="1"/>
  <c r="X26" i="246"/>
  <c r="Y26" i="246" s="1"/>
  <c r="X81" i="246"/>
  <c r="Y81" i="246" s="1"/>
  <c r="X37" i="246"/>
  <c r="Y37" i="246" s="1"/>
  <c r="X84" i="246"/>
  <c r="Y84" i="246" s="1"/>
  <c r="X63" i="246"/>
  <c r="Y63" i="246" s="1"/>
  <c r="X55" i="246"/>
  <c r="Y55" i="246" s="1"/>
  <c r="X32" i="246"/>
  <c r="Y32" i="246" s="1"/>
  <c r="W133" i="246" l="1"/>
  <c r="X21" i="246"/>
  <c r="X133" i="246" l="1"/>
  <c r="Y21" i="246"/>
  <c r="Z131" i="246" s="1"/>
  <c r="AA131" i="246" s="1"/>
  <c r="Z98" i="246" l="1"/>
  <c r="AA98" i="246" s="1"/>
  <c r="Z114" i="246"/>
  <c r="AA114" i="246" s="1"/>
  <c r="Z126" i="246"/>
  <c r="AA126" i="246" s="1"/>
  <c r="Z125" i="246"/>
  <c r="AA125" i="246" s="1"/>
  <c r="Z129" i="246"/>
  <c r="AA129" i="246" s="1"/>
  <c r="Z127" i="246"/>
  <c r="AA127" i="246" s="1"/>
  <c r="AB127" i="246" s="1"/>
  <c r="AC127" i="246" s="1"/>
  <c r="Z124" i="246"/>
  <c r="AA124" i="246" s="1"/>
  <c r="AB124" i="246" s="1"/>
  <c r="AC124" i="246" s="1"/>
  <c r="AB131" i="246"/>
  <c r="AC131" i="246" s="1"/>
  <c r="Z115" i="246"/>
  <c r="AA115" i="246" s="1"/>
  <c r="AB115" i="246" s="1"/>
  <c r="AC115" i="246" s="1"/>
  <c r="Z119" i="246"/>
  <c r="AA119" i="246" s="1"/>
  <c r="Z132" i="246"/>
  <c r="AA132" i="246" s="1"/>
  <c r="Z118" i="246"/>
  <c r="AA118" i="246" s="1"/>
  <c r="AB118" i="246" s="1"/>
  <c r="AC118" i="246" s="1"/>
  <c r="Z120" i="246"/>
  <c r="AA120" i="246" s="1"/>
  <c r="AB120" i="246" s="1"/>
  <c r="AC120" i="246" s="1"/>
  <c r="Z29" i="246"/>
  <c r="AA29" i="246" s="1"/>
  <c r="AB29" i="246" s="1"/>
  <c r="AC29" i="246" s="1"/>
  <c r="Z51" i="246"/>
  <c r="AA51" i="246" s="1"/>
  <c r="Z88" i="246"/>
  <c r="AA88" i="246" s="1"/>
  <c r="AB88" i="246" s="1"/>
  <c r="AC88" i="246" s="1"/>
  <c r="Z57" i="246"/>
  <c r="AA57" i="246" s="1"/>
  <c r="AB57" i="246" s="1"/>
  <c r="AC57" i="246" s="1"/>
  <c r="Z111" i="246"/>
  <c r="AA111" i="246" s="1"/>
  <c r="Z86" i="246"/>
  <c r="AA86" i="246" s="1"/>
  <c r="Z60" i="246"/>
  <c r="AA60" i="246" s="1"/>
  <c r="AB60" i="246" s="1"/>
  <c r="AC60" i="246" s="1"/>
  <c r="Z27" i="246"/>
  <c r="AA27" i="246" s="1"/>
  <c r="AB27" i="246" s="1"/>
  <c r="AC27" i="246" s="1"/>
  <c r="Z73" i="246"/>
  <c r="AA73" i="246" s="1"/>
  <c r="AB73" i="246" s="1"/>
  <c r="AC73" i="246" s="1"/>
  <c r="Z45" i="246"/>
  <c r="AA45" i="246" s="1"/>
  <c r="AB45" i="246" s="1"/>
  <c r="AC45" i="246" s="1"/>
  <c r="Z46" i="246"/>
  <c r="AA46" i="246" s="1"/>
  <c r="AB46" i="246" s="1"/>
  <c r="AC46" i="246" s="1"/>
  <c r="Z78" i="246"/>
  <c r="AA78" i="246" s="1"/>
  <c r="AB78" i="246" s="1"/>
  <c r="AC78" i="246" s="1"/>
  <c r="Z40" i="246"/>
  <c r="AA40" i="246" s="1"/>
  <c r="AB40" i="246" s="1"/>
  <c r="AC40" i="246" s="1"/>
  <c r="Z80" i="246"/>
  <c r="AA80" i="246" s="1"/>
  <c r="AB80" i="246" s="1"/>
  <c r="AC80" i="246" s="1"/>
  <c r="Z71" i="246"/>
  <c r="AA71" i="246" s="1"/>
  <c r="AB71" i="246" s="1"/>
  <c r="AC71" i="246" s="1"/>
  <c r="Z93" i="246"/>
  <c r="AA93" i="246" s="1"/>
  <c r="Z35" i="246"/>
  <c r="AA35" i="246" s="1"/>
  <c r="AB35" i="246" s="1"/>
  <c r="AC35" i="246" s="1"/>
  <c r="Z22" i="246"/>
  <c r="AA22" i="246" s="1"/>
  <c r="AB22" i="246" s="1"/>
  <c r="AC22" i="246" s="1"/>
  <c r="Z61" i="246"/>
  <c r="AA61" i="246" s="1"/>
  <c r="AB61" i="246" s="1"/>
  <c r="AC61" i="246" s="1"/>
  <c r="Z44" i="246"/>
  <c r="AA44" i="246" s="1"/>
  <c r="AB44" i="246" s="1"/>
  <c r="AC44" i="246" s="1"/>
  <c r="Z39" i="246"/>
  <c r="AA39" i="246" s="1"/>
  <c r="AB39" i="246" s="1"/>
  <c r="AC39" i="246" s="1"/>
  <c r="Z96" i="246"/>
  <c r="AA96" i="246" s="1"/>
  <c r="AB96" i="246" s="1"/>
  <c r="AC96" i="246" s="1"/>
  <c r="Z90" i="246"/>
  <c r="AA90" i="246" s="1"/>
  <c r="AB90" i="246" s="1"/>
  <c r="AC90" i="246" s="1"/>
  <c r="Z33" i="246"/>
  <c r="AA33" i="246" s="1"/>
  <c r="AB33" i="246" s="1"/>
  <c r="AC33" i="246" s="1"/>
  <c r="Z38" i="246"/>
  <c r="AA38" i="246" s="1"/>
  <c r="AB38" i="246" s="1"/>
  <c r="AC38" i="246" s="1"/>
  <c r="Z70" i="246"/>
  <c r="AA70" i="246" s="1"/>
  <c r="AB70" i="246" s="1"/>
  <c r="AC70" i="246" s="1"/>
  <c r="Z62" i="246"/>
  <c r="AA62" i="246" s="1"/>
  <c r="AB62" i="246" s="1"/>
  <c r="AC62" i="246" s="1"/>
  <c r="Z63" i="246"/>
  <c r="AA63" i="246" s="1"/>
  <c r="AB63" i="246" s="1"/>
  <c r="AC63" i="246" s="1"/>
  <c r="Z84" i="246"/>
  <c r="AA84" i="246" s="1"/>
  <c r="AB84" i="246" s="1"/>
  <c r="AC84" i="246" s="1"/>
  <c r="Z92" i="246"/>
  <c r="AA92" i="246" s="1"/>
  <c r="AB92" i="246" s="1"/>
  <c r="AC92" i="246" s="1"/>
  <c r="Z75" i="246"/>
  <c r="AA75" i="246" s="1"/>
  <c r="AB75" i="246" s="1"/>
  <c r="AC75" i="246" s="1"/>
  <c r="Z105" i="246"/>
  <c r="AA105" i="246" s="1"/>
  <c r="AB105" i="246" s="1"/>
  <c r="AC105" i="246" s="1"/>
  <c r="Z56" i="246"/>
  <c r="AA56" i="246" s="1"/>
  <c r="AB56" i="246" s="1"/>
  <c r="AC56" i="246" s="1"/>
  <c r="Z77" i="246"/>
  <c r="AA77" i="246" s="1"/>
  <c r="AB77" i="246" s="1"/>
  <c r="AC77" i="246" s="1"/>
  <c r="Z58" i="246"/>
  <c r="AA58" i="246" s="1"/>
  <c r="AB58" i="246" s="1"/>
  <c r="AC58" i="246" s="1"/>
  <c r="Z43" i="246"/>
  <c r="AA43" i="246" s="1"/>
  <c r="AB43" i="246" s="1"/>
  <c r="AC43" i="246" s="1"/>
  <c r="Z54" i="246"/>
  <c r="AA54" i="246" s="1"/>
  <c r="AB54" i="246" s="1"/>
  <c r="AC54" i="246" s="1"/>
  <c r="Z102" i="246"/>
  <c r="AA102" i="246" s="1"/>
  <c r="AB102" i="246" s="1"/>
  <c r="AC102" i="246" s="1"/>
  <c r="Z68" i="246"/>
  <c r="AA68" i="246" s="1"/>
  <c r="AB68" i="246" s="1"/>
  <c r="AC68" i="246" s="1"/>
  <c r="Z23" i="246"/>
  <c r="AA23" i="246" s="1"/>
  <c r="AB23" i="246" s="1"/>
  <c r="AC23" i="246" s="1"/>
  <c r="Z47" i="246"/>
  <c r="AA47" i="246" s="1"/>
  <c r="AB47" i="246" s="1"/>
  <c r="AC47" i="246" s="1"/>
  <c r="Z85" i="246"/>
  <c r="AA85" i="246" s="1"/>
  <c r="AB85" i="246" s="1"/>
  <c r="AC85" i="246" s="1"/>
  <c r="Z59" i="246"/>
  <c r="AA59" i="246" s="1"/>
  <c r="AB59" i="246" s="1"/>
  <c r="AC59" i="246" s="1"/>
  <c r="Z107" i="246"/>
  <c r="AA107" i="246" s="1"/>
  <c r="AB107" i="246" s="1"/>
  <c r="AC107" i="246" s="1"/>
  <c r="Z31" i="246"/>
  <c r="AA31" i="246" s="1"/>
  <c r="AB31" i="246" s="1"/>
  <c r="AC31" i="246" s="1"/>
  <c r="Z52" i="246"/>
  <c r="AA52" i="246" s="1"/>
  <c r="Z82" i="246"/>
  <c r="AA82" i="246" s="1"/>
  <c r="Z101" i="246"/>
  <c r="AA101" i="246" s="1"/>
  <c r="Z95" i="246"/>
  <c r="AA95" i="246" s="1"/>
  <c r="Z112" i="246"/>
  <c r="AA112" i="246" s="1"/>
  <c r="Z104" i="246"/>
  <c r="AA104" i="246" s="1"/>
  <c r="Z34" i="246"/>
  <c r="AA34" i="246" s="1"/>
  <c r="AB34" i="246" s="1"/>
  <c r="AC34" i="246" s="1"/>
  <c r="Z110" i="246"/>
  <c r="AA110" i="246" s="1"/>
  <c r="Z109" i="246"/>
  <c r="AA109" i="246" s="1"/>
  <c r="AB86" i="246"/>
  <c r="AC86" i="246" s="1"/>
  <c r="Y133" i="246"/>
  <c r="Z79" i="246"/>
  <c r="AA79" i="246" s="1"/>
  <c r="Z108" i="246"/>
  <c r="AA108" i="246" s="1"/>
  <c r="Z42" i="246"/>
  <c r="AA42" i="246" s="1"/>
  <c r="Z74" i="246"/>
  <c r="AA74" i="246" s="1"/>
  <c r="Z55" i="246"/>
  <c r="AA55" i="246" s="1"/>
  <c r="Z50" i="246"/>
  <c r="AA50" i="246" s="1"/>
  <c r="Z103" i="246"/>
  <c r="AA103" i="246" s="1"/>
  <c r="Z37" i="246"/>
  <c r="AA37" i="246" s="1"/>
  <c r="Z41" i="246"/>
  <c r="AA41" i="246" s="1"/>
  <c r="Z72" i="246"/>
  <c r="AA72" i="246" s="1"/>
  <c r="Z87" i="246"/>
  <c r="AA87" i="246" s="1"/>
  <c r="Z67" i="246"/>
  <c r="AA67" i="246" s="1"/>
  <c r="Z100" i="246"/>
  <c r="AA100" i="246" s="1"/>
  <c r="Z76" i="246"/>
  <c r="AA76" i="246" s="1"/>
  <c r="Z64" i="246"/>
  <c r="AA64" i="246" s="1"/>
  <c r="Z25" i="246"/>
  <c r="AA25" i="246" s="1"/>
  <c r="Z49" i="246"/>
  <c r="AA49" i="246" s="1"/>
  <c r="Z30" i="246"/>
  <c r="AA30" i="246" s="1"/>
  <c r="Z24" i="246"/>
  <c r="AA24" i="246" s="1"/>
  <c r="Z89" i="246"/>
  <c r="AA89" i="246" s="1"/>
  <c r="Z26" i="246"/>
  <c r="AA26" i="246" s="1"/>
  <c r="Z81" i="246"/>
  <c r="AA81" i="246" s="1"/>
  <c r="Z66" i="246"/>
  <c r="AA66" i="246" s="1"/>
  <c r="Z94" i="246"/>
  <c r="AA94" i="246" s="1"/>
  <c r="Z91" i="246"/>
  <c r="AA91" i="246" s="1"/>
  <c r="Z32" i="246"/>
  <c r="AA32" i="246" s="1"/>
  <c r="Z106" i="246"/>
  <c r="AA106" i="246" s="1"/>
  <c r="Z83" i="246"/>
  <c r="AA83" i="246" s="1"/>
  <c r="Z36" i="246"/>
  <c r="AA36" i="246" s="1"/>
  <c r="Z53" i="246"/>
  <c r="AA53" i="246" s="1"/>
  <c r="Z21" i="246"/>
  <c r="Z65" i="246"/>
  <c r="AA65" i="246" s="1"/>
  <c r="Z28" i="246"/>
  <c r="AA28" i="246" s="1"/>
  <c r="Z48" i="246"/>
  <c r="AA48" i="246" s="1"/>
  <c r="Z69" i="246"/>
  <c r="AA69" i="246" s="1"/>
  <c r="AB98" i="246" l="1"/>
  <c r="AC98" i="246" s="1"/>
  <c r="AB129" i="246"/>
  <c r="AC129" i="246" s="1"/>
  <c r="AB125" i="246"/>
  <c r="AC125" i="246" s="1"/>
  <c r="AB126" i="246"/>
  <c r="AC126" i="246" s="1"/>
  <c r="AB114" i="246"/>
  <c r="AC114" i="246" s="1"/>
  <c r="AB119" i="246"/>
  <c r="AC119" i="246" s="1"/>
  <c r="AB132" i="246"/>
  <c r="AC132" i="246" s="1"/>
  <c r="AB51" i="246"/>
  <c r="AC51" i="246" s="1"/>
  <c r="AB111" i="246"/>
  <c r="AC111" i="246" s="1"/>
  <c r="AB93" i="246"/>
  <c r="AC93" i="246" s="1"/>
  <c r="AB82" i="246"/>
  <c r="AC82" i="246" s="1"/>
  <c r="AB52" i="246"/>
  <c r="AC52" i="246" s="1"/>
  <c r="AB101" i="246"/>
  <c r="AC101" i="246" s="1"/>
  <c r="AB104" i="246"/>
  <c r="AC104" i="246" s="1"/>
  <c r="AB109" i="246"/>
  <c r="AC109" i="246" s="1"/>
  <c r="AB112" i="246"/>
  <c r="AC112" i="246" s="1"/>
  <c r="AB110" i="246"/>
  <c r="AC110" i="246" s="1"/>
  <c r="AB95" i="246"/>
  <c r="AC95" i="246" s="1"/>
  <c r="AB106" i="246"/>
  <c r="AC106" i="246" s="1"/>
  <c r="AB87" i="246"/>
  <c r="AC87" i="246" s="1"/>
  <c r="AB32" i="246"/>
  <c r="AC32" i="246" s="1"/>
  <c r="AB72" i="246"/>
  <c r="AC72" i="246" s="1"/>
  <c r="AB91" i="246"/>
  <c r="AC91" i="246" s="1"/>
  <c r="AB41" i="246"/>
  <c r="AC41" i="246" s="1"/>
  <c r="AB94" i="246"/>
  <c r="AC94" i="246" s="1"/>
  <c r="AB37" i="246"/>
  <c r="AC37" i="246" s="1"/>
  <c r="AB66" i="246"/>
  <c r="AC66" i="246" s="1"/>
  <c r="AB103" i="246"/>
  <c r="AC103" i="246" s="1"/>
  <c r="AB81" i="246"/>
  <c r="AC81" i="246" s="1"/>
  <c r="AB50" i="246"/>
  <c r="AC50" i="246" s="1"/>
  <c r="AB26" i="246"/>
  <c r="AC26" i="246" s="1"/>
  <c r="AB55" i="246"/>
  <c r="AC55" i="246" s="1"/>
  <c r="AB89" i="246"/>
  <c r="AC89" i="246" s="1"/>
  <c r="AB74" i="246"/>
  <c r="AC74" i="246" s="1"/>
  <c r="AB24" i="246"/>
  <c r="AC24" i="246" s="1"/>
  <c r="AB42" i="246"/>
  <c r="AC42" i="246" s="1"/>
  <c r="AB30" i="246"/>
  <c r="AC30" i="246" s="1"/>
  <c r="AB108" i="246"/>
  <c r="AC108" i="246" s="1"/>
  <c r="AB69" i="246"/>
  <c r="AC69" i="246" s="1"/>
  <c r="AB49" i="246"/>
  <c r="AC49" i="246" s="1"/>
  <c r="AB79" i="246"/>
  <c r="AC79" i="246" s="1"/>
  <c r="AB65" i="246"/>
  <c r="AC65" i="246" s="1"/>
  <c r="AB25" i="246"/>
  <c r="AC25" i="246" s="1"/>
  <c r="Z133" i="246"/>
  <c r="AA21" i="246"/>
  <c r="AB64" i="246"/>
  <c r="AC64" i="246" s="1"/>
  <c r="AB53" i="246"/>
  <c r="AC53" i="246" s="1"/>
  <c r="AB76" i="246"/>
  <c r="AC76" i="246" s="1"/>
  <c r="AB28" i="246"/>
  <c r="AC28" i="246" s="1"/>
  <c r="AB36" i="246"/>
  <c r="AC36" i="246" s="1"/>
  <c r="AB100" i="246"/>
  <c r="AC100" i="246" s="1"/>
  <c r="AB48" i="246"/>
  <c r="AC48" i="246" s="1"/>
  <c r="AB83" i="246"/>
  <c r="AC83" i="246" s="1"/>
  <c r="AB67" i="246"/>
  <c r="AC67" i="246" s="1"/>
  <c r="AA133" i="246" l="1"/>
  <c r="AB21" i="246"/>
  <c r="AB133" i="246" l="1"/>
  <c r="AC21" i="246"/>
  <c r="AC133" i="246" s="1"/>
  <c r="AD100" i="246"/>
  <c r="AE100" i="246" s="1"/>
  <c r="AD98" i="246" l="1"/>
  <c r="AE98" i="246" s="1"/>
  <c r="AD126" i="246"/>
  <c r="AE126" i="246" s="1"/>
  <c r="AD125" i="246"/>
  <c r="AE125" i="246" s="1"/>
  <c r="AD129" i="246"/>
  <c r="AE129" i="246" s="1"/>
  <c r="AD114" i="246"/>
  <c r="AE114" i="246" s="1"/>
  <c r="AD124" i="246"/>
  <c r="AE124" i="246" s="1"/>
  <c r="AD127" i="246"/>
  <c r="AE127" i="246" s="1"/>
  <c r="AD132" i="246"/>
  <c r="AE132" i="246" s="1"/>
  <c r="AD119" i="246"/>
  <c r="AE119" i="246" s="1"/>
  <c r="AD131" i="246"/>
  <c r="AE131" i="246" s="1"/>
  <c r="AD118" i="246"/>
  <c r="AE118" i="246" s="1"/>
  <c r="AF118" i="246" s="1"/>
  <c r="AG118" i="246" s="1"/>
  <c r="AD120" i="246"/>
  <c r="AE120" i="246" s="1"/>
  <c r="AD115" i="246"/>
  <c r="AE115" i="246" s="1"/>
  <c r="AD50" i="246"/>
  <c r="AE50" i="246" s="1"/>
  <c r="AF50" i="246" s="1"/>
  <c r="AG50" i="246" s="1"/>
  <c r="AD51" i="246"/>
  <c r="AE51" i="246" s="1"/>
  <c r="AD111" i="246"/>
  <c r="AE111" i="246" s="1"/>
  <c r="AD93" i="246"/>
  <c r="AE93" i="246" s="1"/>
  <c r="AD42" i="246"/>
  <c r="AE42" i="246" s="1"/>
  <c r="AF42" i="246" s="1"/>
  <c r="AG42" i="246" s="1"/>
  <c r="AD64" i="246"/>
  <c r="AE64" i="246" s="1"/>
  <c r="AF64" i="246" s="1"/>
  <c r="AG64" i="246" s="1"/>
  <c r="AD55" i="246"/>
  <c r="AE55" i="246" s="1"/>
  <c r="AF55" i="246" s="1"/>
  <c r="AG55" i="246" s="1"/>
  <c r="AD36" i="246"/>
  <c r="AE36" i="246" s="1"/>
  <c r="AF36" i="246" s="1"/>
  <c r="AG36" i="246" s="1"/>
  <c r="AD28" i="246"/>
  <c r="AE28" i="246" s="1"/>
  <c r="AF28" i="246" s="1"/>
  <c r="AG28" i="246" s="1"/>
  <c r="AD37" i="246"/>
  <c r="AE37" i="246" s="1"/>
  <c r="AF37" i="246" s="1"/>
  <c r="AG37" i="246" s="1"/>
  <c r="AD65" i="246"/>
  <c r="AE65" i="246" s="1"/>
  <c r="AF65" i="246" s="1"/>
  <c r="AG65" i="246" s="1"/>
  <c r="AD71" i="246"/>
  <c r="AE71" i="246" s="1"/>
  <c r="AF71" i="246" s="1"/>
  <c r="AG71" i="246" s="1"/>
  <c r="AD84" i="246"/>
  <c r="AE84" i="246" s="1"/>
  <c r="AF84" i="246" s="1"/>
  <c r="AG84" i="246" s="1"/>
  <c r="AD26" i="246"/>
  <c r="AE26" i="246" s="1"/>
  <c r="AF26" i="246" s="1"/>
  <c r="AG26" i="246" s="1"/>
  <c r="AD44" i="246"/>
  <c r="AE44" i="246" s="1"/>
  <c r="AF44" i="246" s="1"/>
  <c r="AG44" i="246" s="1"/>
  <c r="AD41" i="246"/>
  <c r="AE41" i="246" s="1"/>
  <c r="AF41" i="246" s="1"/>
  <c r="AG41" i="246" s="1"/>
  <c r="AD72" i="246"/>
  <c r="AE72" i="246" s="1"/>
  <c r="AF72" i="246" s="1"/>
  <c r="AG72" i="246" s="1"/>
  <c r="AD83" i="246"/>
  <c r="AE83" i="246" s="1"/>
  <c r="AF83" i="246" s="1"/>
  <c r="AG83" i="246" s="1"/>
  <c r="AD67" i="246"/>
  <c r="AE67" i="246" s="1"/>
  <c r="AF67" i="246" s="1"/>
  <c r="AG67" i="246" s="1"/>
  <c r="AD32" i="246"/>
  <c r="AE32" i="246" s="1"/>
  <c r="AF32" i="246" s="1"/>
  <c r="AG32" i="246" s="1"/>
  <c r="AD62" i="246"/>
  <c r="AE62" i="246" s="1"/>
  <c r="AF62" i="246" s="1"/>
  <c r="AG62" i="246" s="1"/>
  <c r="AD73" i="246"/>
  <c r="AE73" i="246" s="1"/>
  <c r="AF73" i="246" s="1"/>
  <c r="AG73" i="246" s="1"/>
  <c r="AD49" i="246"/>
  <c r="AE49" i="246" s="1"/>
  <c r="AF49" i="246" s="1"/>
  <c r="AG49" i="246" s="1"/>
  <c r="AD66" i="246"/>
  <c r="AE66" i="246" s="1"/>
  <c r="AF66" i="246" s="1"/>
  <c r="AG66" i="246" s="1"/>
  <c r="AD69" i="246"/>
  <c r="AE69" i="246" s="1"/>
  <c r="AF69" i="246" s="1"/>
  <c r="AG69" i="246" s="1"/>
  <c r="AD61" i="246"/>
  <c r="AE61" i="246" s="1"/>
  <c r="AF61" i="246" s="1"/>
  <c r="AG61" i="246" s="1"/>
  <c r="AD96" i="246"/>
  <c r="AE96" i="246" s="1"/>
  <c r="AF96" i="246" s="1"/>
  <c r="AG96" i="246" s="1"/>
  <c r="AD22" i="246"/>
  <c r="AE22" i="246" s="1"/>
  <c r="AF22" i="246" s="1"/>
  <c r="AG22" i="246" s="1"/>
  <c r="AD23" i="246"/>
  <c r="AE23" i="246" s="1"/>
  <c r="AF23" i="246" s="1"/>
  <c r="AG23" i="246" s="1"/>
  <c r="AD46" i="246"/>
  <c r="AE46" i="246" s="1"/>
  <c r="AF46" i="246" s="1"/>
  <c r="AG46" i="246" s="1"/>
  <c r="AD91" i="246"/>
  <c r="AE91" i="246" s="1"/>
  <c r="AF91" i="246" s="1"/>
  <c r="AG91" i="246" s="1"/>
  <c r="AD106" i="246"/>
  <c r="AE106" i="246" s="1"/>
  <c r="AF106" i="246" s="1"/>
  <c r="AG106" i="246" s="1"/>
  <c r="AD87" i="246"/>
  <c r="AE87" i="246" s="1"/>
  <c r="AF87" i="246" s="1"/>
  <c r="AG87" i="246" s="1"/>
  <c r="AD21" i="246"/>
  <c r="AE21" i="246" s="1"/>
  <c r="AD47" i="246"/>
  <c r="AE47" i="246" s="1"/>
  <c r="AF47" i="246" s="1"/>
  <c r="AG47" i="246" s="1"/>
  <c r="AD34" i="246"/>
  <c r="AE34" i="246" s="1"/>
  <c r="AF34" i="246" s="1"/>
  <c r="AG34" i="246" s="1"/>
  <c r="AD85" i="246"/>
  <c r="AE85" i="246" s="1"/>
  <c r="AF85" i="246" s="1"/>
  <c r="AG85" i="246" s="1"/>
  <c r="AD76" i="246"/>
  <c r="AE76" i="246" s="1"/>
  <c r="AF76" i="246" s="1"/>
  <c r="AG76" i="246" s="1"/>
  <c r="AD94" i="246"/>
  <c r="AE94" i="246" s="1"/>
  <c r="AF94" i="246" s="1"/>
  <c r="AG94" i="246" s="1"/>
  <c r="AD54" i="246"/>
  <c r="AE54" i="246" s="1"/>
  <c r="AF54" i="246" s="1"/>
  <c r="AG54" i="246" s="1"/>
  <c r="AD24" i="246"/>
  <c r="AE24" i="246" s="1"/>
  <c r="AF24" i="246" s="1"/>
  <c r="AG24" i="246" s="1"/>
  <c r="AD59" i="246"/>
  <c r="AE59" i="246" s="1"/>
  <c r="AF59" i="246" s="1"/>
  <c r="AG59" i="246" s="1"/>
  <c r="AD40" i="246"/>
  <c r="AE40" i="246" s="1"/>
  <c r="AF40" i="246" s="1"/>
  <c r="AG40" i="246" s="1"/>
  <c r="AD88" i="246"/>
  <c r="AE88" i="246" s="1"/>
  <c r="AF88" i="246" s="1"/>
  <c r="AG88" i="246" s="1"/>
  <c r="AD107" i="246"/>
  <c r="AE107" i="246" s="1"/>
  <c r="AF107" i="246" s="1"/>
  <c r="AG107" i="246" s="1"/>
  <c r="AD105" i="246"/>
  <c r="AE105" i="246" s="1"/>
  <c r="AF105" i="246" s="1"/>
  <c r="AG105" i="246" s="1"/>
  <c r="AD57" i="246"/>
  <c r="AE57" i="246" s="1"/>
  <c r="AF57" i="246" s="1"/>
  <c r="AG57" i="246" s="1"/>
  <c r="AD27" i="246"/>
  <c r="AE27" i="246" s="1"/>
  <c r="AF27" i="246" s="1"/>
  <c r="AG27" i="246" s="1"/>
  <c r="AD58" i="246"/>
  <c r="AE58" i="246" s="1"/>
  <c r="AF58" i="246" s="1"/>
  <c r="AG58" i="246" s="1"/>
  <c r="AD89" i="246"/>
  <c r="AE89" i="246" s="1"/>
  <c r="AF89" i="246" s="1"/>
  <c r="AG89" i="246" s="1"/>
  <c r="AD56" i="246"/>
  <c r="AE56" i="246" s="1"/>
  <c r="AF56" i="246" s="1"/>
  <c r="AG56" i="246" s="1"/>
  <c r="AD35" i="246"/>
  <c r="AE35" i="246" s="1"/>
  <c r="AF35" i="246" s="1"/>
  <c r="AG35" i="246" s="1"/>
  <c r="AD39" i="246"/>
  <c r="AE39" i="246" s="1"/>
  <c r="AF39" i="246" s="1"/>
  <c r="AG39" i="246" s="1"/>
  <c r="AD29" i="246"/>
  <c r="AE29" i="246" s="1"/>
  <c r="AF29" i="246" s="1"/>
  <c r="AG29" i="246" s="1"/>
  <c r="AD80" i="246"/>
  <c r="AE80" i="246" s="1"/>
  <c r="AF80" i="246" s="1"/>
  <c r="AG80" i="246" s="1"/>
  <c r="AD74" i="246"/>
  <c r="AE74" i="246" s="1"/>
  <c r="AF74" i="246" s="1"/>
  <c r="AG74" i="246" s="1"/>
  <c r="AD102" i="246"/>
  <c r="AE102" i="246" s="1"/>
  <c r="AF102" i="246" s="1"/>
  <c r="AG102" i="246" s="1"/>
  <c r="AD30" i="246"/>
  <c r="AE30" i="246" s="1"/>
  <c r="AF30" i="246" s="1"/>
  <c r="AG30" i="246" s="1"/>
  <c r="AD103" i="246"/>
  <c r="AE103" i="246" s="1"/>
  <c r="AF103" i="246" s="1"/>
  <c r="AG103" i="246" s="1"/>
  <c r="AD48" i="246"/>
  <c r="AE48" i="246" s="1"/>
  <c r="AF48" i="246" s="1"/>
  <c r="AG48" i="246" s="1"/>
  <c r="AD53" i="246"/>
  <c r="AE53" i="246" s="1"/>
  <c r="AF53" i="246" s="1"/>
  <c r="AG53" i="246" s="1"/>
  <c r="AD75" i="246"/>
  <c r="AE75" i="246" s="1"/>
  <c r="AF75" i="246" s="1"/>
  <c r="AG75" i="246" s="1"/>
  <c r="AD38" i="246"/>
  <c r="AE38" i="246" s="1"/>
  <c r="AF38" i="246" s="1"/>
  <c r="AG38" i="246" s="1"/>
  <c r="AD86" i="246"/>
  <c r="AE86" i="246" s="1"/>
  <c r="AF86" i="246" s="1"/>
  <c r="AG86" i="246" s="1"/>
  <c r="AD81" i="246"/>
  <c r="AE81" i="246" s="1"/>
  <c r="AF81" i="246" s="1"/>
  <c r="AG81" i="246" s="1"/>
  <c r="AD45" i="246"/>
  <c r="AE45" i="246" s="1"/>
  <c r="AF45" i="246" s="1"/>
  <c r="AG45" i="246" s="1"/>
  <c r="AD77" i="246"/>
  <c r="AE77" i="246" s="1"/>
  <c r="AF77" i="246" s="1"/>
  <c r="AG77" i="246" s="1"/>
  <c r="AD63" i="246"/>
  <c r="AE63" i="246" s="1"/>
  <c r="AF63" i="246" s="1"/>
  <c r="AG63" i="246" s="1"/>
  <c r="AD33" i="246"/>
  <c r="AE33" i="246" s="1"/>
  <c r="AF33" i="246" s="1"/>
  <c r="AG33" i="246" s="1"/>
  <c r="AD79" i="246"/>
  <c r="AE79" i="246" s="1"/>
  <c r="AF79" i="246" s="1"/>
  <c r="AG79" i="246" s="1"/>
  <c r="AD108" i="246"/>
  <c r="AE108" i="246" s="1"/>
  <c r="AF108" i="246" s="1"/>
  <c r="AG108" i="246" s="1"/>
  <c r="AD43" i="246"/>
  <c r="AE43" i="246" s="1"/>
  <c r="AF43" i="246" s="1"/>
  <c r="AG43" i="246" s="1"/>
  <c r="AD70" i="246"/>
  <c r="AE70" i="246" s="1"/>
  <c r="AF70" i="246" s="1"/>
  <c r="AG70" i="246" s="1"/>
  <c r="AD90" i="246"/>
  <c r="AE90" i="246" s="1"/>
  <c r="AF90" i="246" s="1"/>
  <c r="AG90" i="246" s="1"/>
  <c r="AD78" i="246"/>
  <c r="AE78" i="246" s="1"/>
  <c r="AF78" i="246" s="1"/>
  <c r="AG78" i="246" s="1"/>
  <c r="AD92" i="246"/>
  <c r="AE92" i="246" s="1"/>
  <c r="AF92" i="246" s="1"/>
  <c r="AG92" i="246" s="1"/>
  <c r="AD82" i="246"/>
  <c r="AE82" i="246" s="1"/>
  <c r="AD60" i="246"/>
  <c r="AE60" i="246" s="1"/>
  <c r="AF60" i="246" s="1"/>
  <c r="AG60" i="246" s="1"/>
  <c r="AD52" i="246"/>
  <c r="AE52" i="246" s="1"/>
  <c r="AD101" i="246"/>
  <c r="AE101" i="246" s="1"/>
  <c r="AD31" i="246"/>
  <c r="AE31" i="246" s="1"/>
  <c r="AD95" i="246"/>
  <c r="AE95" i="246" s="1"/>
  <c r="AD112" i="246"/>
  <c r="AE112" i="246" s="1"/>
  <c r="AD104" i="246"/>
  <c r="AE104" i="246" s="1"/>
  <c r="AD68" i="246"/>
  <c r="AE68" i="246" s="1"/>
  <c r="AF68" i="246" s="1"/>
  <c r="AG68" i="246" s="1"/>
  <c r="AD109" i="246"/>
  <c r="AE109" i="246" s="1"/>
  <c r="AD110" i="246"/>
  <c r="AE110" i="246" s="1"/>
  <c r="AF100" i="246"/>
  <c r="AG100" i="246" s="1"/>
  <c r="AD25" i="246"/>
  <c r="AE25" i="246" s="1"/>
  <c r="AF98" i="246" l="1"/>
  <c r="AG98" i="246" s="1"/>
  <c r="AF129" i="246"/>
  <c r="AG129" i="246" s="1"/>
  <c r="AF125" i="246"/>
  <c r="AG125" i="246" s="1"/>
  <c r="AF114" i="246"/>
  <c r="AG114" i="246" s="1"/>
  <c r="AF126" i="246"/>
  <c r="AG126" i="246" s="1"/>
  <c r="AF119" i="246"/>
  <c r="AG119" i="246" s="1"/>
  <c r="AF132" i="246"/>
  <c r="AG132" i="246" s="1"/>
  <c r="AF127" i="246"/>
  <c r="AG127" i="246" s="1"/>
  <c r="AF131" i="246"/>
  <c r="AG131" i="246" s="1"/>
  <c r="AF124" i="246"/>
  <c r="AG124" i="246" s="1"/>
  <c r="AF115" i="246"/>
  <c r="AG115" i="246" s="1"/>
  <c r="AF120" i="246"/>
  <c r="AG120" i="246" s="1"/>
  <c r="AF51" i="246"/>
  <c r="AG51" i="246" s="1"/>
  <c r="AF111" i="246"/>
  <c r="AG111" i="246" s="1"/>
  <c r="AF93" i="246"/>
  <c r="AG93" i="246" s="1"/>
  <c r="AF101" i="246"/>
  <c r="AG101" i="246" s="1"/>
  <c r="AF52" i="246"/>
  <c r="AG52" i="246" s="1"/>
  <c r="AF31" i="246"/>
  <c r="AG31" i="246" s="1"/>
  <c r="AF82" i="246"/>
  <c r="AG82" i="246" s="1"/>
  <c r="AF104" i="246"/>
  <c r="AG104" i="246" s="1"/>
  <c r="AF110" i="246"/>
  <c r="AG110" i="246" s="1"/>
  <c r="AF112" i="246"/>
  <c r="AG112" i="246" s="1"/>
  <c r="AF109" i="246"/>
  <c r="AG109" i="246" s="1"/>
  <c r="AF95" i="246"/>
  <c r="AG95" i="246" s="1"/>
  <c r="AE133" i="246"/>
  <c r="AF21" i="246"/>
  <c r="AD133" i="246"/>
  <c r="AF25" i="246"/>
  <c r="AG25" i="246" s="1"/>
  <c r="AF133" i="246" l="1"/>
  <c r="AG21" i="246"/>
  <c r="AH131" i="246" s="1"/>
  <c r="AI131" i="246" s="1"/>
  <c r="AH100" i="246"/>
  <c r="AI100" i="246" s="1"/>
  <c r="AH98" i="246" l="1"/>
  <c r="AI98" i="246" s="1"/>
  <c r="AJ98" i="246" s="1"/>
  <c r="AK98" i="246" s="1"/>
  <c r="AH129" i="246"/>
  <c r="AI129" i="246" s="1"/>
  <c r="AH114" i="246"/>
  <c r="AI114" i="246" s="1"/>
  <c r="AH126" i="246"/>
  <c r="AI126" i="246" s="1"/>
  <c r="AH125" i="246"/>
  <c r="AI125" i="246" s="1"/>
  <c r="AH124" i="246"/>
  <c r="AI124" i="246" s="1"/>
  <c r="AJ124" i="246" s="1"/>
  <c r="AK124" i="246" s="1"/>
  <c r="AH119" i="246"/>
  <c r="AI119" i="246" s="1"/>
  <c r="AJ119" i="246" s="1"/>
  <c r="AK119" i="246" s="1"/>
  <c r="AJ131" i="246"/>
  <c r="AK131" i="246" s="1"/>
  <c r="AH46" i="246"/>
  <c r="AI46" i="246" s="1"/>
  <c r="AJ46" i="246" s="1"/>
  <c r="AK46" i="246" s="1"/>
  <c r="AH132" i="246"/>
  <c r="AI132" i="246" s="1"/>
  <c r="AH127" i="246"/>
  <c r="AI127" i="246" s="1"/>
  <c r="AH115" i="246"/>
  <c r="AI115" i="246" s="1"/>
  <c r="AJ115" i="246" s="1"/>
  <c r="AK115" i="246" s="1"/>
  <c r="AH120" i="246"/>
  <c r="AI120" i="246" s="1"/>
  <c r="AJ120" i="246" s="1"/>
  <c r="AK120" i="246" s="1"/>
  <c r="AH118" i="246"/>
  <c r="AI118" i="246" s="1"/>
  <c r="AJ118" i="246" s="1"/>
  <c r="AK118" i="246" s="1"/>
  <c r="AH50" i="246"/>
  <c r="AI50" i="246" s="1"/>
  <c r="AJ50" i="246" s="1"/>
  <c r="AK50" i="246" s="1"/>
  <c r="AH51" i="246"/>
  <c r="AI51" i="246" s="1"/>
  <c r="AH111" i="246"/>
  <c r="AI111" i="246" s="1"/>
  <c r="AJ111" i="246" s="1"/>
  <c r="AK111" i="246" s="1"/>
  <c r="AH93" i="246"/>
  <c r="AI93" i="246" s="1"/>
  <c r="AJ93" i="246" s="1"/>
  <c r="AK93" i="246" s="1"/>
  <c r="AH34" i="246"/>
  <c r="AI34" i="246" s="1"/>
  <c r="AJ34" i="246" s="1"/>
  <c r="AK34" i="246" s="1"/>
  <c r="AH33" i="246"/>
  <c r="AI33" i="246" s="1"/>
  <c r="AJ33" i="246" s="1"/>
  <c r="AK33" i="246" s="1"/>
  <c r="AH27" i="246"/>
  <c r="AI27" i="246" s="1"/>
  <c r="AJ27" i="246" s="1"/>
  <c r="AK27" i="246" s="1"/>
  <c r="AH107" i="246"/>
  <c r="AI107" i="246" s="1"/>
  <c r="AJ107" i="246" s="1"/>
  <c r="AK107" i="246" s="1"/>
  <c r="AH61" i="246"/>
  <c r="AI61" i="246" s="1"/>
  <c r="AJ61" i="246" s="1"/>
  <c r="AK61" i="246" s="1"/>
  <c r="AH77" i="246"/>
  <c r="AI77" i="246" s="1"/>
  <c r="AJ77" i="246" s="1"/>
  <c r="AK77" i="246" s="1"/>
  <c r="AH101" i="246"/>
  <c r="AI101" i="246" s="1"/>
  <c r="AH88" i="246"/>
  <c r="AI88" i="246" s="1"/>
  <c r="AJ88" i="246" s="1"/>
  <c r="AK88" i="246" s="1"/>
  <c r="AH52" i="246"/>
  <c r="AI52" i="246" s="1"/>
  <c r="AH31" i="246"/>
  <c r="AI31" i="246" s="1"/>
  <c r="AH82" i="246"/>
  <c r="AI82" i="246" s="1"/>
  <c r="AH95" i="246"/>
  <c r="AI95" i="246" s="1"/>
  <c r="AH104" i="246"/>
  <c r="AI104" i="246" s="1"/>
  <c r="AH109" i="246"/>
  <c r="AI109" i="246" s="1"/>
  <c r="AH59" i="246"/>
  <c r="AI59" i="246" s="1"/>
  <c r="AJ59" i="246" s="1"/>
  <c r="AK59" i="246" s="1"/>
  <c r="AH112" i="246"/>
  <c r="AI112" i="246" s="1"/>
  <c r="AH110" i="246"/>
  <c r="AI110" i="246" s="1"/>
  <c r="AJ100" i="246"/>
  <c r="AK100" i="246" s="1"/>
  <c r="AH92" i="246"/>
  <c r="AI92" i="246" s="1"/>
  <c r="AH28" i="246"/>
  <c r="AI28" i="246" s="1"/>
  <c r="AH84" i="246"/>
  <c r="AI84" i="246" s="1"/>
  <c r="AH58" i="246"/>
  <c r="AI58" i="246" s="1"/>
  <c r="AG133" i="246"/>
  <c r="AH70" i="246"/>
  <c r="AI70" i="246" s="1"/>
  <c r="AH106" i="246"/>
  <c r="AI106" i="246" s="1"/>
  <c r="AH42" i="246"/>
  <c r="AI42" i="246" s="1"/>
  <c r="AH57" i="246"/>
  <c r="AI57" i="246" s="1"/>
  <c r="AH73" i="246"/>
  <c r="AI73" i="246" s="1"/>
  <c r="AH71" i="246"/>
  <c r="AI71" i="246" s="1"/>
  <c r="AH94" i="246"/>
  <c r="AI94" i="246" s="1"/>
  <c r="AH43" i="246"/>
  <c r="AI43" i="246" s="1"/>
  <c r="AH66" i="246"/>
  <c r="AI66" i="246" s="1"/>
  <c r="AH90" i="246"/>
  <c r="AI90" i="246" s="1"/>
  <c r="AH21" i="246"/>
  <c r="AH89" i="246"/>
  <c r="AI89" i="246" s="1"/>
  <c r="AH67" i="246"/>
  <c r="AI67" i="246" s="1"/>
  <c r="AH54" i="246"/>
  <c r="AI54" i="246" s="1"/>
  <c r="AH35" i="246"/>
  <c r="AI35" i="246" s="1"/>
  <c r="AH45" i="246"/>
  <c r="AI45" i="246" s="1"/>
  <c r="AH91" i="246"/>
  <c r="AI91" i="246" s="1"/>
  <c r="AH87" i="246"/>
  <c r="AI87" i="246" s="1"/>
  <c r="AH68" i="246"/>
  <c r="AI68" i="246" s="1"/>
  <c r="AH75" i="246"/>
  <c r="AI75" i="246" s="1"/>
  <c r="AH29" i="246"/>
  <c r="AI29" i="246" s="1"/>
  <c r="AH48" i="246"/>
  <c r="AI48" i="246" s="1"/>
  <c r="AH103" i="246"/>
  <c r="AI103" i="246" s="1"/>
  <c r="AH63" i="246"/>
  <c r="AI63" i="246" s="1"/>
  <c r="AH32" i="246"/>
  <c r="AI32" i="246" s="1"/>
  <c r="AH76" i="246"/>
  <c r="AI76" i="246" s="1"/>
  <c r="AH80" i="246"/>
  <c r="AI80" i="246" s="1"/>
  <c r="AH23" i="246"/>
  <c r="AI23" i="246" s="1"/>
  <c r="AH49" i="246"/>
  <c r="AI49" i="246" s="1"/>
  <c r="AH85" i="246"/>
  <c r="AI85" i="246" s="1"/>
  <c r="AH105" i="246"/>
  <c r="AI105" i="246" s="1"/>
  <c r="AH47" i="246"/>
  <c r="AI47" i="246" s="1"/>
  <c r="AH78" i="246"/>
  <c r="AI78" i="246" s="1"/>
  <c r="AH37" i="246"/>
  <c r="AI37" i="246" s="1"/>
  <c r="AH24" i="246"/>
  <c r="AI24" i="246" s="1"/>
  <c r="AH62" i="246"/>
  <c r="AI62" i="246" s="1"/>
  <c r="AH36" i="246"/>
  <c r="AI36" i="246" s="1"/>
  <c r="AH79" i="246"/>
  <c r="AI79" i="246" s="1"/>
  <c r="AH55" i="246"/>
  <c r="AI55" i="246" s="1"/>
  <c r="AH41" i="246"/>
  <c r="AI41" i="246" s="1"/>
  <c r="AH30" i="246"/>
  <c r="AI30" i="246" s="1"/>
  <c r="AH22" i="246"/>
  <c r="AI22" i="246" s="1"/>
  <c r="AH72" i="246"/>
  <c r="AI72" i="246" s="1"/>
  <c r="AH86" i="246"/>
  <c r="AI86" i="246" s="1"/>
  <c r="AH38" i="246"/>
  <c r="AI38" i="246" s="1"/>
  <c r="AH40" i="246"/>
  <c r="AI40" i="246" s="1"/>
  <c r="AH64" i="246"/>
  <c r="AI64" i="246" s="1"/>
  <c r="AH83" i="246"/>
  <c r="AI83" i="246" s="1"/>
  <c r="AH96" i="246"/>
  <c r="AI96" i="246" s="1"/>
  <c r="AH44" i="246"/>
  <c r="AI44" i="246" s="1"/>
  <c r="AH81" i="246"/>
  <c r="AI81" i="246" s="1"/>
  <c r="AH39" i="246"/>
  <c r="AI39" i="246" s="1"/>
  <c r="AH53" i="246"/>
  <c r="AI53" i="246" s="1"/>
  <c r="AH102" i="246"/>
  <c r="AI102" i="246" s="1"/>
  <c r="AH69" i="246"/>
  <c r="AI69" i="246" s="1"/>
  <c r="AH26" i="246"/>
  <c r="AI26" i="246" s="1"/>
  <c r="AH65" i="246"/>
  <c r="AI65" i="246" s="1"/>
  <c r="AH60" i="246"/>
  <c r="AI60" i="246" s="1"/>
  <c r="AH108" i="246"/>
  <c r="AI108" i="246" s="1"/>
  <c r="AH74" i="246"/>
  <c r="AI74" i="246" s="1"/>
  <c r="AH56" i="246"/>
  <c r="AI56" i="246" s="1"/>
  <c r="AH25" i="246"/>
  <c r="AI25" i="246" s="1"/>
  <c r="AJ126" i="246" l="1"/>
  <c r="AK126" i="246" s="1"/>
  <c r="AJ114" i="246"/>
  <c r="AK114" i="246" s="1"/>
  <c r="AJ125" i="246"/>
  <c r="AK125" i="246" s="1"/>
  <c r="AJ129" i="246"/>
  <c r="AK129" i="246" s="1"/>
  <c r="AJ132" i="246"/>
  <c r="AK132" i="246" s="1"/>
  <c r="AJ127" i="246"/>
  <c r="AK127" i="246" s="1"/>
  <c r="AJ51" i="246"/>
  <c r="AK51" i="246" s="1"/>
  <c r="AJ31" i="246"/>
  <c r="AK31" i="246" s="1"/>
  <c r="AJ52" i="246"/>
  <c r="AK52" i="246" s="1"/>
  <c r="AJ82" i="246"/>
  <c r="AK82" i="246" s="1"/>
  <c r="AJ101" i="246"/>
  <c r="AK101" i="246" s="1"/>
  <c r="AJ109" i="246"/>
  <c r="AK109" i="246" s="1"/>
  <c r="AJ110" i="246"/>
  <c r="AK110" i="246" s="1"/>
  <c r="AJ104" i="246"/>
  <c r="AK104" i="246" s="1"/>
  <c r="AJ112" i="246"/>
  <c r="AK112" i="246" s="1"/>
  <c r="AJ95" i="246"/>
  <c r="AK95" i="246" s="1"/>
  <c r="AJ53" i="246"/>
  <c r="AK53" i="246" s="1"/>
  <c r="AJ30" i="246"/>
  <c r="AK30" i="246" s="1"/>
  <c r="AJ32" i="246"/>
  <c r="AK32" i="246" s="1"/>
  <c r="AJ66" i="246"/>
  <c r="AK66" i="246" s="1"/>
  <c r="AJ102" i="246"/>
  <c r="AK102" i="246" s="1"/>
  <c r="AJ41" i="246"/>
  <c r="AK41" i="246" s="1"/>
  <c r="AJ63" i="246"/>
  <c r="AK63" i="246" s="1"/>
  <c r="AJ43" i="246"/>
  <c r="AK43" i="246" s="1"/>
  <c r="AJ55" i="246"/>
  <c r="AK55" i="246" s="1"/>
  <c r="AJ103" i="246"/>
  <c r="AK103" i="246" s="1"/>
  <c r="AJ94" i="246"/>
  <c r="AK94" i="246" s="1"/>
  <c r="AJ28" i="246"/>
  <c r="AK28" i="246" s="1"/>
  <c r="AJ39" i="246"/>
  <c r="AK39" i="246" s="1"/>
  <c r="AJ79" i="246"/>
  <c r="AK79" i="246" s="1"/>
  <c r="AJ48" i="246"/>
  <c r="AK48" i="246" s="1"/>
  <c r="AJ71" i="246"/>
  <c r="AK71" i="246" s="1"/>
  <c r="AJ81" i="246"/>
  <c r="AK81" i="246" s="1"/>
  <c r="AJ36" i="246"/>
  <c r="AK36" i="246" s="1"/>
  <c r="AJ29" i="246"/>
  <c r="AK29" i="246" s="1"/>
  <c r="AJ73" i="246"/>
  <c r="AK73" i="246" s="1"/>
  <c r="AJ62" i="246"/>
  <c r="AK62" i="246" s="1"/>
  <c r="AJ75" i="246"/>
  <c r="AK75" i="246" s="1"/>
  <c r="AJ57" i="246"/>
  <c r="AK57" i="246" s="1"/>
  <c r="AJ92" i="246"/>
  <c r="AK92" i="246" s="1"/>
  <c r="AJ96" i="246"/>
  <c r="AK96" i="246" s="1"/>
  <c r="AJ24" i="246"/>
  <c r="AK24" i="246" s="1"/>
  <c r="AJ68" i="246"/>
  <c r="AK68" i="246" s="1"/>
  <c r="AJ42" i="246"/>
  <c r="AK42" i="246" s="1"/>
  <c r="AJ25" i="246"/>
  <c r="AK25" i="246" s="1"/>
  <c r="AJ37" i="246"/>
  <c r="AK37" i="246" s="1"/>
  <c r="AJ87" i="246"/>
  <c r="AK87" i="246" s="1"/>
  <c r="AJ106" i="246"/>
  <c r="AK106" i="246" s="1"/>
  <c r="AJ56" i="246"/>
  <c r="AK56" i="246" s="1"/>
  <c r="AJ78" i="246"/>
  <c r="AK78" i="246" s="1"/>
  <c r="AJ91" i="246"/>
  <c r="AK91" i="246" s="1"/>
  <c r="AJ70" i="246"/>
  <c r="AK70" i="246" s="1"/>
  <c r="AJ74" i="246"/>
  <c r="AK74" i="246" s="1"/>
  <c r="AJ83" i="246"/>
  <c r="AK83" i="246" s="1"/>
  <c r="AJ47" i="246"/>
  <c r="AK47" i="246" s="1"/>
  <c r="AJ45" i="246"/>
  <c r="AK45" i="246" s="1"/>
  <c r="AJ108" i="246"/>
  <c r="AK108" i="246" s="1"/>
  <c r="AJ64" i="246"/>
  <c r="AK64" i="246" s="1"/>
  <c r="AJ105" i="246"/>
  <c r="AK105" i="246" s="1"/>
  <c r="AJ35" i="246"/>
  <c r="AK35" i="246" s="1"/>
  <c r="AJ60" i="246"/>
  <c r="AK60" i="246" s="1"/>
  <c r="AJ40" i="246"/>
  <c r="AK40" i="246" s="1"/>
  <c r="AJ85" i="246"/>
  <c r="AK85" i="246" s="1"/>
  <c r="AJ54" i="246"/>
  <c r="AK54" i="246" s="1"/>
  <c r="AJ44" i="246"/>
  <c r="AK44" i="246" s="1"/>
  <c r="AJ38" i="246"/>
  <c r="AK38" i="246" s="1"/>
  <c r="AJ49" i="246"/>
  <c r="AK49" i="246" s="1"/>
  <c r="AJ67" i="246"/>
  <c r="AK67" i="246" s="1"/>
  <c r="AJ58" i="246"/>
  <c r="AK58" i="246" s="1"/>
  <c r="AJ26" i="246"/>
  <c r="AK26" i="246" s="1"/>
  <c r="AJ86" i="246"/>
  <c r="AK86" i="246" s="1"/>
  <c r="AJ23" i="246"/>
  <c r="AK23" i="246" s="1"/>
  <c r="AJ89" i="246"/>
  <c r="AK89" i="246" s="1"/>
  <c r="AJ69" i="246"/>
  <c r="AK69" i="246" s="1"/>
  <c r="AJ72" i="246"/>
  <c r="AK72" i="246" s="1"/>
  <c r="AJ80" i="246"/>
  <c r="AK80" i="246" s="1"/>
  <c r="AH133" i="246"/>
  <c r="AI21" i="246"/>
  <c r="AJ65" i="246"/>
  <c r="AK65" i="246" s="1"/>
  <c r="AJ22" i="246"/>
  <c r="AK22" i="246" s="1"/>
  <c r="AJ76" i="246"/>
  <c r="AK76" i="246" s="1"/>
  <c r="AJ90" i="246"/>
  <c r="AK90" i="246" s="1"/>
  <c r="AJ84" i="246"/>
  <c r="AK84" i="246" s="1"/>
  <c r="AI133" i="246" l="1"/>
  <c r="AJ21" i="246"/>
  <c r="AJ133" i="246" l="1"/>
  <c r="AK21" i="246"/>
  <c r="AL95" i="246" s="1"/>
  <c r="AM95" i="246" s="1"/>
  <c r="AL98" i="246" l="1"/>
  <c r="AM98" i="246" s="1"/>
  <c r="AL125" i="246"/>
  <c r="AM125" i="246" s="1"/>
  <c r="AL114" i="246"/>
  <c r="AM114" i="246" s="1"/>
  <c r="AL126" i="246"/>
  <c r="AM126" i="246" s="1"/>
  <c r="AL129" i="246"/>
  <c r="AM129" i="246" s="1"/>
  <c r="AL131" i="246"/>
  <c r="AM131" i="246" s="1"/>
  <c r="AL119" i="246"/>
  <c r="AM119" i="246" s="1"/>
  <c r="AL127" i="246"/>
  <c r="AM127" i="246" s="1"/>
  <c r="AL132" i="246"/>
  <c r="AM132" i="246" s="1"/>
  <c r="AL124" i="246"/>
  <c r="AM124" i="246" s="1"/>
  <c r="AL118" i="246"/>
  <c r="AM118" i="246" s="1"/>
  <c r="AN118" i="246" s="1"/>
  <c r="AO118" i="246" s="1"/>
  <c r="AL120" i="246"/>
  <c r="AM120" i="246" s="1"/>
  <c r="AL115" i="246"/>
  <c r="AM115" i="246" s="1"/>
  <c r="AL51" i="246"/>
  <c r="AM51" i="246" s="1"/>
  <c r="AL111" i="246"/>
  <c r="AM111" i="246" s="1"/>
  <c r="AL93" i="246"/>
  <c r="AM93" i="246" s="1"/>
  <c r="AL79" i="246"/>
  <c r="AM79" i="246" s="1"/>
  <c r="AN79" i="246" s="1"/>
  <c r="AO79" i="246" s="1"/>
  <c r="AL73" i="246"/>
  <c r="AM73" i="246" s="1"/>
  <c r="AN73" i="246" s="1"/>
  <c r="AO73" i="246" s="1"/>
  <c r="AL108" i="246"/>
  <c r="AM108" i="246" s="1"/>
  <c r="AN108" i="246" s="1"/>
  <c r="AO108" i="246" s="1"/>
  <c r="AL105" i="246"/>
  <c r="AM105" i="246" s="1"/>
  <c r="AN105" i="246" s="1"/>
  <c r="AO105" i="246" s="1"/>
  <c r="AL40" i="246"/>
  <c r="AM40" i="246" s="1"/>
  <c r="AN40" i="246" s="1"/>
  <c r="AO40" i="246" s="1"/>
  <c r="AL90" i="246"/>
  <c r="AM90" i="246" s="1"/>
  <c r="AN90" i="246" s="1"/>
  <c r="AO90" i="246" s="1"/>
  <c r="AL55" i="246"/>
  <c r="AM55" i="246" s="1"/>
  <c r="AN55" i="246" s="1"/>
  <c r="AO55" i="246" s="1"/>
  <c r="AL91" i="246"/>
  <c r="AM91" i="246" s="1"/>
  <c r="AN91" i="246" s="1"/>
  <c r="AO91" i="246" s="1"/>
  <c r="AL30" i="246"/>
  <c r="AM30" i="246" s="1"/>
  <c r="AN30" i="246" s="1"/>
  <c r="AO30" i="246" s="1"/>
  <c r="AL101" i="246"/>
  <c r="AM101" i="246" s="1"/>
  <c r="AL82" i="246"/>
  <c r="AM82" i="246" s="1"/>
  <c r="AL31" i="246"/>
  <c r="AM31" i="246" s="1"/>
  <c r="AL52" i="246"/>
  <c r="AM52" i="246" s="1"/>
  <c r="AN95" i="246"/>
  <c r="AO95" i="246" s="1"/>
  <c r="AL112" i="246"/>
  <c r="AM112" i="246" s="1"/>
  <c r="AL33" i="246"/>
  <c r="AM33" i="246" s="1"/>
  <c r="AN33" i="246" s="1"/>
  <c r="AO33" i="246" s="1"/>
  <c r="AL86" i="246"/>
  <c r="AM86" i="246" s="1"/>
  <c r="AN86" i="246" s="1"/>
  <c r="AO86" i="246" s="1"/>
  <c r="AL110" i="246"/>
  <c r="AM110" i="246" s="1"/>
  <c r="AL104" i="246"/>
  <c r="AM104" i="246" s="1"/>
  <c r="AL109" i="246"/>
  <c r="AM109" i="246" s="1"/>
  <c r="AL89" i="246"/>
  <c r="AM89" i="246" s="1"/>
  <c r="AN89" i="246" s="1"/>
  <c r="AO89" i="246" s="1"/>
  <c r="AL24" i="246"/>
  <c r="AM24" i="246" s="1"/>
  <c r="AN24" i="246" s="1"/>
  <c r="AO24" i="246" s="1"/>
  <c r="AL25" i="246"/>
  <c r="AM25" i="246" s="1"/>
  <c r="AN25" i="246" s="1"/>
  <c r="AO25" i="246" s="1"/>
  <c r="AL63" i="246"/>
  <c r="AM63" i="246" s="1"/>
  <c r="AN63" i="246" s="1"/>
  <c r="AO63" i="246" s="1"/>
  <c r="AL87" i="246"/>
  <c r="AM87" i="246" s="1"/>
  <c r="AN87" i="246" s="1"/>
  <c r="AO87" i="246" s="1"/>
  <c r="AL69" i="246"/>
  <c r="AM69" i="246" s="1"/>
  <c r="AN69" i="246" s="1"/>
  <c r="AO69" i="246" s="1"/>
  <c r="AL56" i="246"/>
  <c r="AM56" i="246" s="1"/>
  <c r="AN56" i="246" s="1"/>
  <c r="AO56" i="246" s="1"/>
  <c r="AL76" i="246"/>
  <c r="AM76" i="246" s="1"/>
  <c r="AN76" i="246" s="1"/>
  <c r="AO76" i="246" s="1"/>
  <c r="AL67" i="246"/>
  <c r="AM67" i="246" s="1"/>
  <c r="AN67" i="246" s="1"/>
  <c r="AO67" i="246" s="1"/>
  <c r="AL106" i="246"/>
  <c r="AM106" i="246" s="1"/>
  <c r="AN106" i="246" s="1"/>
  <c r="AO106" i="246" s="1"/>
  <c r="AL44" i="246"/>
  <c r="AM44" i="246" s="1"/>
  <c r="AN44" i="246" s="1"/>
  <c r="AO44" i="246" s="1"/>
  <c r="AL75" i="246"/>
  <c r="AM75" i="246" s="1"/>
  <c r="AN75" i="246" s="1"/>
  <c r="AO75" i="246" s="1"/>
  <c r="AL77" i="246"/>
  <c r="AM77" i="246" s="1"/>
  <c r="AN77" i="246" s="1"/>
  <c r="AO77" i="246" s="1"/>
  <c r="AL37" i="246"/>
  <c r="AM37" i="246" s="1"/>
  <c r="AN37" i="246" s="1"/>
  <c r="AO37" i="246" s="1"/>
  <c r="AL57" i="246"/>
  <c r="AM57" i="246" s="1"/>
  <c r="AN57" i="246" s="1"/>
  <c r="AO57" i="246" s="1"/>
  <c r="AL54" i="246"/>
  <c r="AM54" i="246" s="1"/>
  <c r="AN54" i="246" s="1"/>
  <c r="AO54" i="246" s="1"/>
  <c r="AL107" i="246"/>
  <c r="AM107" i="246" s="1"/>
  <c r="AN107" i="246" s="1"/>
  <c r="AO107" i="246" s="1"/>
  <c r="AL70" i="246"/>
  <c r="AM70" i="246" s="1"/>
  <c r="AN70" i="246" s="1"/>
  <c r="AO70" i="246" s="1"/>
  <c r="AL100" i="246"/>
  <c r="AM100" i="246" s="1"/>
  <c r="AN100" i="246" s="1"/>
  <c r="AO100" i="246" s="1"/>
  <c r="AL28" i="246"/>
  <c r="AM28" i="246" s="1"/>
  <c r="AN28" i="246" s="1"/>
  <c r="AO28" i="246" s="1"/>
  <c r="AL29" i="246"/>
  <c r="AM29" i="246" s="1"/>
  <c r="AN29" i="246" s="1"/>
  <c r="AO29" i="246" s="1"/>
  <c r="AL26" i="246"/>
  <c r="AM26" i="246" s="1"/>
  <c r="AN26" i="246" s="1"/>
  <c r="AO26" i="246" s="1"/>
  <c r="AL94" i="246"/>
  <c r="AM94" i="246" s="1"/>
  <c r="AN94" i="246" s="1"/>
  <c r="AO94" i="246" s="1"/>
  <c r="AL50" i="246"/>
  <c r="AM50" i="246" s="1"/>
  <c r="AN50" i="246" s="1"/>
  <c r="AO50" i="246" s="1"/>
  <c r="AL27" i="246"/>
  <c r="AM27" i="246" s="1"/>
  <c r="AN27" i="246" s="1"/>
  <c r="AO27" i="246" s="1"/>
  <c r="AL72" i="246"/>
  <c r="AM72" i="246" s="1"/>
  <c r="AN72" i="246" s="1"/>
  <c r="AO72" i="246" s="1"/>
  <c r="AL41" i="246"/>
  <c r="AM41" i="246" s="1"/>
  <c r="AN41" i="246" s="1"/>
  <c r="AO41" i="246" s="1"/>
  <c r="AL62" i="246"/>
  <c r="AM62" i="246" s="1"/>
  <c r="AN62" i="246" s="1"/>
  <c r="AO62" i="246" s="1"/>
  <c r="AL80" i="246"/>
  <c r="AM80" i="246" s="1"/>
  <c r="AN80" i="246" s="1"/>
  <c r="AO80" i="246" s="1"/>
  <c r="AL78" i="246"/>
  <c r="AM78" i="246" s="1"/>
  <c r="AN78" i="246" s="1"/>
  <c r="AO78" i="246" s="1"/>
  <c r="AL59" i="246"/>
  <c r="AM59" i="246" s="1"/>
  <c r="AN59" i="246" s="1"/>
  <c r="AO59" i="246" s="1"/>
  <c r="AL48" i="246"/>
  <c r="AM48" i="246" s="1"/>
  <c r="AN48" i="246" s="1"/>
  <c r="AO48" i="246" s="1"/>
  <c r="AL43" i="246"/>
  <c r="AM43" i="246" s="1"/>
  <c r="AN43" i="246" s="1"/>
  <c r="AO43" i="246" s="1"/>
  <c r="AL42" i="246"/>
  <c r="AM42" i="246" s="1"/>
  <c r="AN42" i="246" s="1"/>
  <c r="AO42" i="246" s="1"/>
  <c r="AL21" i="246"/>
  <c r="AM21" i="246" s="1"/>
  <c r="AL65" i="246"/>
  <c r="AM65" i="246" s="1"/>
  <c r="AN65" i="246" s="1"/>
  <c r="AO65" i="246" s="1"/>
  <c r="AL45" i="246"/>
  <c r="AM45" i="246" s="1"/>
  <c r="AN45" i="246" s="1"/>
  <c r="AO45" i="246" s="1"/>
  <c r="AL88" i="246"/>
  <c r="AM88" i="246" s="1"/>
  <c r="AN88" i="246" s="1"/>
  <c r="AO88" i="246" s="1"/>
  <c r="AL22" i="246"/>
  <c r="AM22" i="246" s="1"/>
  <c r="AN22" i="246" s="1"/>
  <c r="AO22" i="246" s="1"/>
  <c r="AL83" i="246"/>
  <c r="AM83" i="246" s="1"/>
  <c r="AN83" i="246" s="1"/>
  <c r="AO83" i="246" s="1"/>
  <c r="AL46" i="246"/>
  <c r="AM46" i="246" s="1"/>
  <c r="AN46" i="246" s="1"/>
  <c r="AO46" i="246" s="1"/>
  <c r="AL35" i="246"/>
  <c r="AM35" i="246" s="1"/>
  <c r="AN35" i="246" s="1"/>
  <c r="AO35" i="246" s="1"/>
  <c r="AL71" i="246"/>
  <c r="AM71" i="246" s="1"/>
  <c r="AN71" i="246" s="1"/>
  <c r="AO71" i="246" s="1"/>
  <c r="AL36" i="246"/>
  <c r="AM36" i="246" s="1"/>
  <c r="AN36" i="246" s="1"/>
  <c r="AO36" i="246" s="1"/>
  <c r="AL96" i="246"/>
  <c r="AM96" i="246" s="1"/>
  <c r="AN96" i="246" s="1"/>
  <c r="AO96" i="246" s="1"/>
  <c r="AL34" i="246"/>
  <c r="AM34" i="246" s="1"/>
  <c r="AN34" i="246" s="1"/>
  <c r="AO34" i="246" s="1"/>
  <c r="AL49" i="246"/>
  <c r="AM49" i="246" s="1"/>
  <c r="AN49" i="246" s="1"/>
  <c r="AO49" i="246" s="1"/>
  <c r="AL23" i="246"/>
  <c r="AM23" i="246" s="1"/>
  <c r="AN23" i="246" s="1"/>
  <c r="AO23" i="246" s="1"/>
  <c r="AL39" i="246"/>
  <c r="AM39" i="246" s="1"/>
  <c r="AN39" i="246" s="1"/>
  <c r="AO39" i="246" s="1"/>
  <c r="AL102" i="246"/>
  <c r="AM102" i="246" s="1"/>
  <c r="AN102" i="246" s="1"/>
  <c r="AO102" i="246" s="1"/>
  <c r="AL68" i="246"/>
  <c r="AM68" i="246" s="1"/>
  <c r="AN68" i="246" s="1"/>
  <c r="AO68" i="246" s="1"/>
  <c r="AL74" i="246"/>
  <c r="AM74" i="246" s="1"/>
  <c r="AN74" i="246" s="1"/>
  <c r="AO74" i="246" s="1"/>
  <c r="AL66" i="246"/>
  <c r="AM66" i="246" s="1"/>
  <c r="AN66" i="246" s="1"/>
  <c r="AO66" i="246" s="1"/>
  <c r="AL81" i="246"/>
  <c r="AM81" i="246" s="1"/>
  <c r="AN81" i="246" s="1"/>
  <c r="AO81" i="246" s="1"/>
  <c r="AL61" i="246"/>
  <c r="AM61" i="246" s="1"/>
  <c r="AN61" i="246" s="1"/>
  <c r="AO61" i="246" s="1"/>
  <c r="AL53" i="246"/>
  <c r="AM53" i="246" s="1"/>
  <c r="AN53" i="246" s="1"/>
  <c r="AO53" i="246" s="1"/>
  <c r="AK133" i="246"/>
  <c r="AL47" i="246"/>
  <c r="AM47" i="246" s="1"/>
  <c r="AL58" i="246"/>
  <c r="AM58" i="246" s="1"/>
  <c r="AL60" i="246"/>
  <c r="AM60" i="246" s="1"/>
  <c r="AL38" i="246"/>
  <c r="AM38" i="246" s="1"/>
  <c r="AL85" i="246"/>
  <c r="AM85" i="246" s="1"/>
  <c r="AL92" i="246"/>
  <c r="AM92" i="246" s="1"/>
  <c r="AL84" i="246"/>
  <c r="AM84" i="246" s="1"/>
  <c r="AL64" i="246"/>
  <c r="AM64" i="246" s="1"/>
  <c r="AL103" i="246"/>
  <c r="AM103" i="246" s="1"/>
  <c r="AL32" i="246"/>
  <c r="AM32" i="246" s="1"/>
  <c r="AN98" i="246" l="1"/>
  <c r="AO98" i="246" s="1"/>
  <c r="AN114" i="246"/>
  <c r="AO114" i="246" s="1"/>
  <c r="AN129" i="246"/>
  <c r="AO129" i="246" s="1"/>
  <c r="AN126" i="246"/>
  <c r="AO126" i="246" s="1"/>
  <c r="AN125" i="246"/>
  <c r="AO125" i="246" s="1"/>
  <c r="AN132" i="246"/>
  <c r="AO132" i="246" s="1"/>
  <c r="AN127" i="246"/>
  <c r="AO127" i="246" s="1"/>
  <c r="AN119" i="246"/>
  <c r="AO119" i="246" s="1"/>
  <c r="AN124" i="246"/>
  <c r="AO124" i="246" s="1"/>
  <c r="AN131" i="246"/>
  <c r="AO131" i="246" s="1"/>
  <c r="AN115" i="246"/>
  <c r="AO115" i="246" s="1"/>
  <c r="AN120" i="246"/>
  <c r="AO120" i="246" s="1"/>
  <c r="AN51" i="246"/>
  <c r="AO51" i="246" s="1"/>
  <c r="AN111" i="246"/>
  <c r="AO111" i="246" s="1"/>
  <c r="AN93" i="246"/>
  <c r="AO93" i="246" s="1"/>
  <c r="AN31" i="246"/>
  <c r="AO31" i="246" s="1"/>
  <c r="AN82" i="246"/>
  <c r="AO82" i="246" s="1"/>
  <c r="AN101" i="246"/>
  <c r="AO101" i="246" s="1"/>
  <c r="AN52" i="246"/>
  <c r="AO52" i="246" s="1"/>
  <c r="AN109" i="246"/>
  <c r="AO109" i="246" s="1"/>
  <c r="AN104" i="246"/>
  <c r="AO104" i="246" s="1"/>
  <c r="AN112" i="246"/>
  <c r="AO112" i="246" s="1"/>
  <c r="AN110" i="246"/>
  <c r="AO110" i="246" s="1"/>
  <c r="AM133" i="246"/>
  <c r="AN21" i="246"/>
  <c r="AL133" i="246"/>
  <c r="AN103" i="246"/>
  <c r="AO103" i="246" s="1"/>
  <c r="AN64" i="246"/>
  <c r="AO64" i="246" s="1"/>
  <c r="AN84" i="246"/>
  <c r="AO84" i="246" s="1"/>
  <c r="AN92" i="246"/>
  <c r="AO92" i="246" s="1"/>
  <c r="AN85" i="246"/>
  <c r="AO85" i="246" s="1"/>
  <c r="AN38" i="246"/>
  <c r="AO38" i="246" s="1"/>
  <c r="AN60" i="246"/>
  <c r="AO60" i="246" s="1"/>
  <c r="AN58" i="246"/>
  <c r="AO58" i="246" s="1"/>
  <c r="AN47" i="246"/>
  <c r="AO47" i="246" s="1"/>
  <c r="AN32" i="246"/>
  <c r="AO32" i="246" s="1"/>
  <c r="AN133" i="246" l="1"/>
  <c r="AO21" i="246"/>
  <c r="AP95" i="246" s="1"/>
  <c r="AQ95" i="246" s="1"/>
  <c r="AP98" i="246" l="1"/>
  <c r="AQ98" i="246" s="1"/>
  <c r="AP114" i="246"/>
  <c r="AQ114" i="246" s="1"/>
  <c r="AP129" i="246"/>
  <c r="AQ129" i="246" s="1"/>
  <c r="AP126" i="246"/>
  <c r="AQ126" i="246" s="1"/>
  <c r="AP125" i="246"/>
  <c r="AQ125" i="246" s="1"/>
  <c r="AP132" i="246"/>
  <c r="AQ132" i="246" s="1"/>
  <c r="AR132" i="246" s="1"/>
  <c r="AS132" i="246" s="1"/>
  <c r="AP124" i="246"/>
  <c r="AQ124" i="246" s="1"/>
  <c r="AR124" i="246" s="1"/>
  <c r="AS124" i="246" s="1"/>
  <c r="AP119" i="246"/>
  <c r="AQ119" i="246" s="1"/>
  <c r="AP131" i="246"/>
  <c r="AQ131" i="246" s="1"/>
  <c r="AP115" i="246"/>
  <c r="AQ115" i="246" s="1"/>
  <c r="AR115" i="246" s="1"/>
  <c r="AS115" i="246" s="1"/>
  <c r="AP127" i="246"/>
  <c r="AQ127" i="246" s="1"/>
  <c r="AP120" i="246"/>
  <c r="AQ120" i="246" s="1"/>
  <c r="AR120" i="246" s="1"/>
  <c r="AS120" i="246" s="1"/>
  <c r="AP118" i="246"/>
  <c r="AQ118" i="246" s="1"/>
  <c r="AR118" i="246" s="1"/>
  <c r="AS118" i="246" s="1"/>
  <c r="AP51" i="246"/>
  <c r="AQ51" i="246" s="1"/>
  <c r="AP111" i="246"/>
  <c r="AQ111" i="246" s="1"/>
  <c r="AP93" i="246"/>
  <c r="AQ93" i="246" s="1"/>
  <c r="AP108" i="246"/>
  <c r="AQ108" i="246" s="1"/>
  <c r="AR108" i="246" s="1"/>
  <c r="AS108" i="246" s="1"/>
  <c r="AP60" i="246"/>
  <c r="AQ60" i="246" s="1"/>
  <c r="AR60" i="246" s="1"/>
  <c r="AS60" i="246" s="1"/>
  <c r="AP47" i="246"/>
  <c r="AQ47" i="246" s="1"/>
  <c r="AR47" i="246" s="1"/>
  <c r="AS47" i="246" s="1"/>
  <c r="AP56" i="246"/>
  <c r="AQ56" i="246" s="1"/>
  <c r="AR56" i="246" s="1"/>
  <c r="AS56" i="246" s="1"/>
  <c r="AP91" i="246"/>
  <c r="AQ91" i="246" s="1"/>
  <c r="AR91" i="246" s="1"/>
  <c r="AS91" i="246" s="1"/>
  <c r="AP28" i="246"/>
  <c r="AQ28" i="246" s="1"/>
  <c r="AR28" i="246" s="1"/>
  <c r="AS28" i="246" s="1"/>
  <c r="AP37" i="246"/>
  <c r="AQ37" i="246" s="1"/>
  <c r="AR37" i="246" s="1"/>
  <c r="AS37" i="246" s="1"/>
  <c r="AP24" i="246"/>
  <c r="AQ24" i="246" s="1"/>
  <c r="AR24" i="246" s="1"/>
  <c r="AS24" i="246" s="1"/>
  <c r="AP46" i="246"/>
  <c r="AQ46" i="246" s="1"/>
  <c r="AR46" i="246" s="1"/>
  <c r="AS46" i="246" s="1"/>
  <c r="AP34" i="246"/>
  <c r="AQ34" i="246" s="1"/>
  <c r="AR34" i="246" s="1"/>
  <c r="AS34" i="246" s="1"/>
  <c r="AP45" i="246"/>
  <c r="AQ45" i="246" s="1"/>
  <c r="AR45" i="246" s="1"/>
  <c r="AS45" i="246" s="1"/>
  <c r="AP68" i="246"/>
  <c r="AQ68" i="246" s="1"/>
  <c r="AR68" i="246" s="1"/>
  <c r="AS68" i="246" s="1"/>
  <c r="AP70" i="246"/>
  <c r="AQ70" i="246" s="1"/>
  <c r="AR70" i="246" s="1"/>
  <c r="AS70" i="246" s="1"/>
  <c r="AP36" i="246"/>
  <c r="AQ36" i="246" s="1"/>
  <c r="AR36" i="246" s="1"/>
  <c r="AS36" i="246" s="1"/>
  <c r="AP106" i="246"/>
  <c r="AQ106" i="246" s="1"/>
  <c r="AR106" i="246" s="1"/>
  <c r="AS106" i="246" s="1"/>
  <c r="AP38" i="246"/>
  <c r="AQ38" i="246" s="1"/>
  <c r="AR38" i="246" s="1"/>
  <c r="AS38" i="246" s="1"/>
  <c r="AP86" i="246"/>
  <c r="AQ86" i="246" s="1"/>
  <c r="AR86" i="246" s="1"/>
  <c r="AS86" i="246" s="1"/>
  <c r="AP30" i="246"/>
  <c r="AQ30" i="246" s="1"/>
  <c r="AR30" i="246" s="1"/>
  <c r="AS30" i="246" s="1"/>
  <c r="AP40" i="246"/>
  <c r="AQ40" i="246" s="1"/>
  <c r="AR40" i="246" s="1"/>
  <c r="AS40" i="246" s="1"/>
  <c r="AP42" i="246"/>
  <c r="AQ42" i="246" s="1"/>
  <c r="AR42" i="246" s="1"/>
  <c r="AS42" i="246" s="1"/>
  <c r="AP90" i="246"/>
  <c r="AQ90" i="246" s="1"/>
  <c r="AR90" i="246" s="1"/>
  <c r="AS90" i="246" s="1"/>
  <c r="AP75" i="246"/>
  <c r="AQ75" i="246" s="1"/>
  <c r="AR75" i="246" s="1"/>
  <c r="AS75" i="246" s="1"/>
  <c r="AP64" i="246"/>
  <c r="AQ64" i="246" s="1"/>
  <c r="AR64" i="246" s="1"/>
  <c r="AS64" i="246" s="1"/>
  <c r="AP58" i="246"/>
  <c r="AQ58" i="246" s="1"/>
  <c r="AR58" i="246" s="1"/>
  <c r="AS58" i="246" s="1"/>
  <c r="AP63" i="246"/>
  <c r="AQ63" i="246" s="1"/>
  <c r="AR63" i="246" s="1"/>
  <c r="AS63" i="246" s="1"/>
  <c r="AP74" i="246"/>
  <c r="AQ74" i="246" s="1"/>
  <c r="AR74" i="246" s="1"/>
  <c r="AS74" i="246" s="1"/>
  <c r="AP96" i="246"/>
  <c r="AQ96" i="246" s="1"/>
  <c r="AR96" i="246" s="1"/>
  <c r="AS96" i="246" s="1"/>
  <c r="AP21" i="246"/>
  <c r="AQ21" i="246" s="1"/>
  <c r="AP88" i="246"/>
  <c r="AQ88" i="246" s="1"/>
  <c r="AR88" i="246" s="1"/>
  <c r="AS88" i="246" s="1"/>
  <c r="AP25" i="246"/>
  <c r="AQ25" i="246" s="1"/>
  <c r="AR25" i="246" s="1"/>
  <c r="AS25" i="246" s="1"/>
  <c r="AP77" i="246"/>
  <c r="AQ77" i="246" s="1"/>
  <c r="AR77" i="246" s="1"/>
  <c r="AS77" i="246" s="1"/>
  <c r="AP55" i="246"/>
  <c r="AQ55" i="246" s="1"/>
  <c r="AR55" i="246" s="1"/>
  <c r="AS55" i="246" s="1"/>
  <c r="AP73" i="246"/>
  <c r="AQ73" i="246" s="1"/>
  <c r="AR73" i="246" s="1"/>
  <c r="AS73" i="246" s="1"/>
  <c r="AP83" i="246"/>
  <c r="AQ83" i="246" s="1"/>
  <c r="AR83" i="246" s="1"/>
  <c r="AS83" i="246" s="1"/>
  <c r="AP48" i="246"/>
  <c r="AQ48" i="246" s="1"/>
  <c r="AR48" i="246" s="1"/>
  <c r="AS48" i="246" s="1"/>
  <c r="AP29" i="246"/>
  <c r="AQ29" i="246" s="1"/>
  <c r="AR29" i="246" s="1"/>
  <c r="AS29" i="246" s="1"/>
  <c r="AP76" i="246"/>
  <c r="AQ76" i="246" s="1"/>
  <c r="AR76" i="246" s="1"/>
  <c r="AS76" i="246" s="1"/>
  <c r="AP65" i="246"/>
  <c r="AQ65" i="246" s="1"/>
  <c r="AR65" i="246" s="1"/>
  <c r="AS65" i="246" s="1"/>
  <c r="AP35" i="246"/>
  <c r="AQ35" i="246" s="1"/>
  <c r="AR35" i="246" s="1"/>
  <c r="AS35" i="246" s="1"/>
  <c r="AP79" i="246"/>
  <c r="AQ79" i="246" s="1"/>
  <c r="AR79" i="246" s="1"/>
  <c r="AS79" i="246" s="1"/>
  <c r="AP69" i="246"/>
  <c r="AQ69" i="246" s="1"/>
  <c r="AR69" i="246" s="1"/>
  <c r="AS69" i="246" s="1"/>
  <c r="AP61" i="246"/>
  <c r="AQ61" i="246" s="1"/>
  <c r="AR61" i="246" s="1"/>
  <c r="AS61" i="246" s="1"/>
  <c r="AP105" i="246"/>
  <c r="AQ105" i="246" s="1"/>
  <c r="AR105" i="246" s="1"/>
  <c r="AS105" i="246" s="1"/>
  <c r="AP27" i="246"/>
  <c r="AQ27" i="246" s="1"/>
  <c r="AR27" i="246" s="1"/>
  <c r="AS27" i="246" s="1"/>
  <c r="AP102" i="246"/>
  <c r="AQ102" i="246" s="1"/>
  <c r="AR102" i="246" s="1"/>
  <c r="AS102" i="246" s="1"/>
  <c r="AP89" i="246"/>
  <c r="AQ89" i="246" s="1"/>
  <c r="AR89" i="246" s="1"/>
  <c r="AS89" i="246" s="1"/>
  <c r="AP54" i="246"/>
  <c r="AQ54" i="246" s="1"/>
  <c r="AR54" i="246" s="1"/>
  <c r="AS54" i="246" s="1"/>
  <c r="AP87" i="246"/>
  <c r="AQ87" i="246" s="1"/>
  <c r="AR87" i="246" s="1"/>
  <c r="AS87" i="246" s="1"/>
  <c r="AP85" i="246"/>
  <c r="AQ85" i="246" s="1"/>
  <c r="AR85" i="246" s="1"/>
  <c r="AS85" i="246" s="1"/>
  <c r="AP33" i="246"/>
  <c r="AQ33" i="246" s="1"/>
  <c r="AR33" i="246" s="1"/>
  <c r="AS33" i="246" s="1"/>
  <c r="AP81" i="246"/>
  <c r="AQ81" i="246" s="1"/>
  <c r="AR81" i="246" s="1"/>
  <c r="AS81" i="246" s="1"/>
  <c r="AP71" i="246"/>
  <c r="AQ71" i="246" s="1"/>
  <c r="AR71" i="246" s="1"/>
  <c r="AS71" i="246" s="1"/>
  <c r="AP67" i="246"/>
  <c r="AQ67" i="246" s="1"/>
  <c r="AR67" i="246" s="1"/>
  <c r="AS67" i="246" s="1"/>
  <c r="AP49" i="246"/>
  <c r="AQ49" i="246" s="1"/>
  <c r="AR49" i="246" s="1"/>
  <c r="AS49" i="246" s="1"/>
  <c r="AP44" i="246"/>
  <c r="AQ44" i="246" s="1"/>
  <c r="AR44" i="246" s="1"/>
  <c r="AS44" i="246" s="1"/>
  <c r="AP59" i="246"/>
  <c r="AQ59" i="246" s="1"/>
  <c r="AR59" i="246" s="1"/>
  <c r="AS59" i="246" s="1"/>
  <c r="AP78" i="246"/>
  <c r="AQ78" i="246" s="1"/>
  <c r="AR78" i="246" s="1"/>
  <c r="AS78" i="246" s="1"/>
  <c r="AP80" i="246"/>
  <c r="AQ80" i="246" s="1"/>
  <c r="AR80" i="246" s="1"/>
  <c r="AS80" i="246" s="1"/>
  <c r="AP41" i="246"/>
  <c r="AQ41" i="246" s="1"/>
  <c r="AR41" i="246" s="1"/>
  <c r="AS41" i="246" s="1"/>
  <c r="AP107" i="246"/>
  <c r="AQ107" i="246" s="1"/>
  <c r="AR107" i="246" s="1"/>
  <c r="AS107" i="246" s="1"/>
  <c r="AP31" i="246"/>
  <c r="AQ31" i="246" s="1"/>
  <c r="AP62" i="246"/>
  <c r="AQ62" i="246" s="1"/>
  <c r="AR62" i="246" s="1"/>
  <c r="AS62" i="246" s="1"/>
  <c r="AP82" i="246"/>
  <c r="AQ82" i="246" s="1"/>
  <c r="AP52" i="246"/>
  <c r="AQ52" i="246" s="1"/>
  <c r="AP101" i="246"/>
  <c r="AQ101" i="246" s="1"/>
  <c r="AP112" i="246"/>
  <c r="AQ112" i="246" s="1"/>
  <c r="AP109" i="246"/>
  <c r="AQ109" i="246" s="1"/>
  <c r="AR95" i="246"/>
  <c r="AS95" i="246" s="1"/>
  <c r="AP110" i="246"/>
  <c r="AQ110" i="246" s="1"/>
  <c r="AP104" i="246"/>
  <c r="AQ104" i="246" s="1"/>
  <c r="AO133" i="246"/>
  <c r="AP57" i="246"/>
  <c r="AQ57" i="246" s="1"/>
  <c r="AP50" i="246"/>
  <c r="AQ50" i="246" s="1"/>
  <c r="AP72" i="246"/>
  <c r="AQ72" i="246" s="1"/>
  <c r="AP22" i="246"/>
  <c r="AQ22" i="246" s="1"/>
  <c r="AP66" i="246"/>
  <c r="AQ66" i="246" s="1"/>
  <c r="AP39" i="246"/>
  <c r="AQ39" i="246" s="1"/>
  <c r="AP100" i="246"/>
  <c r="AQ100" i="246" s="1"/>
  <c r="AP103" i="246"/>
  <c r="AQ103" i="246" s="1"/>
  <c r="AP23" i="246"/>
  <c r="AQ23" i="246" s="1"/>
  <c r="AP32" i="246"/>
  <c r="AQ32" i="246" s="1"/>
  <c r="AP94" i="246"/>
  <c r="AQ94" i="246" s="1"/>
  <c r="AP26" i="246"/>
  <c r="AQ26" i="246" s="1"/>
  <c r="AP84" i="246"/>
  <c r="AQ84" i="246" s="1"/>
  <c r="AP53" i="246"/>
  <c r="AQ53" i="246" s="1"/>
  <c r="AP43" i="246"/>
  <c r="AQ43" i="246" s="1"/>
  <c r="AP92" i="246"/>
  <c r="AQ92" i="246" s="1"/>
  <c r="AR98" i="246" l="1"/>
  <c r="AS98" i="246" s="1"/>
  <c r="AR125" i="246"/>
  <c r="AS125" i="246" s="1"/>
  <c r="AR129" i="246"/>
  <c r="AS129" i="246" s="1"/>
  <c r="AR126" i="246"/>
  <c r="AS126" i="246" s="1"/>
  <c r="AR114" i="246"/>
  <c r="AS114" i="246" s="1"/>
  <c r="AR127" i="246"/>
  <c r="AS127" i="246" s="1"/>
  <c r="AR119" i="246"/>
  <c r="AS119" i="246" s="1"/>
  <c r="AR131" i="246"/>
  <c r="AS131" i="246" s="1"/>
  <c r="AR51" i="246"/>
  <c r="AS51" i="246" s="1"/>
  <c r="AR111" i="246"/>
  <c r="AS111" i="246" s="1"/>
  <c r="AR93" i="246"/>
  <c r="AS93" i="246" s="1"/>
  <c r="AR82" i="246"/>
  <c r="AS82" i="246" s="1"/>
  <c r="AR101" i="246"/>
  <c r="AS101" i="246" s="1"/>
  <c r="AR31" i="246"/>
  <c r="AS31" i="246" s="1"/>
  <c r="AR52" i="246"/>
  <c r="AS52" i="246" s="1"/>
  <c r="AR104" i="246"/>
  <c r="AS104" i="246" s="1"/>
  <c r="AR109" i="246"/>
  <c r="AS109" i="246" s="1"/>
  <c r="AR110" i="246"/>
  <c r="AS110" i="246" s="1"/>
  <c r="AR112" i="246"/>
  <c r="AS112" i="246" s="1"/>
  <c r="AR94" i="246"/>
  <c r="AS94" i="246" s="1"/>
  <c r="AR43" i="246"/>
  <c r="AS43" i="246" s="1"/>
  <c r="AR53" i="246"/>
  <c r="AS53" i="246" s="1"/>
  <c r="AR103" i="246"/>
  <c r="AS103" i="246" s="1"/>
  <c r="AR100" i="246"/>
  <c r="AS100" i="246" s="1"/>
  <c r="AR39" i="246"/>
  <c r="AS39" i="246" s="1"/>
  <c r="AR66" i="246"/>
  <c r="AS66" i="246" s="1"/>
  <c r="AQ133" i="246"/>
  <c r="AR21" i="246"/>
  <c r="AR22" i="246"/>
  <c r="AS22" i="246" s="1"/>
  <c r="AP133" i="246"/>
  <c r="AR72" i="246"/>
  <c r="AS72" i="246" s="1"/>
  <c r="AR50" i="246"/>
  <c r="AS50" i="246" s="1"/>
  <c r="AR57" i="246"/>
  <c r="AS57" i="246" s="1"/>
  <c r="AR92" i="246"/>
  <c r="AS92" i="246" s="1"/>
  <c r="AR23" i="246"/>
  <c r="AS23" i="246" s="1"/>
  <c r="AR32" i="246"/>
  <c r="AS32" i="246" s="1"/>
  <c r="AR84" i="246"/>
  <c r="AS84" i="246" s="1"/>
  <c r="AR26" i="246"/>
  <c r="AS26" i="246" s="1"/>
  <c r="AT51" i="246" l="1"/>
  <c r="AR133" i="246"/>
  <c r="AS21" i="246"/>
  <c r="AT111" i="246" s="1"/>
  <c r="AT98" i="246" l="1"/>
  <c r="AT126" i="246"/>
  <c r="AT125" i="246"/>
  <c r="AT129" i="246"/>
  <c r="AT114" i="246"/>
  <c r="AT131" i="246"/>
  <c r="AT124" i="246"/>
  <c r="AT127" i="246"/>
  <c r="AT132" i="246"/>
  <c r="AT120" i="246"/>
  <c r="AT119" i="246"/>
  <c r="AT118" i="246"/>
  <c r="AT115" i="246"/>
  <c r="AT43" i="246"/>
  <c r="AT71" i="246"/>
  <c r="AT93" i="246"/>
  <c r="AT66" i="246"/>
  <c r="AT83" i="246"/>
  <c r="AT37" i="246"/>
  <c r="AT44" i="246"/>
  <c r="AT64" i="246"/>
  <c r="AT68" i="246"/>
  <c r="AT84" i="246"/>
  <c r="AT36" i="246"/>
  <c r="AT81" i="246"/>
  <c r="AT48" i="246"/>
  <c r="AT59" i="246"/>
  <c r="AT77" i="246"/>
  <c r="AT47" i="246"/>
  <c r="AT33" i="246"/>
  <c r="AT53" i="246"/>
  <c r="AT89" i="246"/>
  <c r="AT65" i="246"/>
  <c r="AT86" i="246"/>
  <c r="AT56" i="246"/>
  <c r="AT96" i="246"/>
  <c r="AT35" i="246"/>
  <c r="AT49" i="246"/>
  <c r="AT78" i="246"/>
  <c r="AT22" i="246"/>
  <c r="AT29" i="246"/>
  <c r="AT21" i="246"/>
  <c r="AT102" i="246"/>
  <c r="AT25" i="246"/>
  <c r="AT87" i="246"/>
  <c r="AT85" i="246"/>
  <c r="AT24" i="246"/>
  <c r="AT32" i="246"/>
  <c r="AT58" i="246"/>
  <c r="AT108" i="246"/>
  <c r="AT67" i="246"/>
  <c r="AT70" i="246"/>
  <c r="AT45" i="246"/>
  <c r="AT46" i="246"/>
  <c r="AT31" i="246"/>
  <c r="AT101" i="246"/>
  <c r="AT52" i="246"/>
  <c r="AT82" i="246"/>
  <c r="AT27" i="246"/>
  <c r="AT112" i="246"/>
  <c r="AT38" i="246"/>
  <c r="AT105" i="246"/>
  <c r="AT104" i="246"/>
  <c r="AT76" i="246"/>
  <c r="AT26" i="246"/>
  <c r="AT110" i="246"/>
  <c r="AT41" i="246"/>
  <c r="AT109" i="246"/>
  <c r="AT95" i="246"/>
  <c r="AT28" i="246"/>
  <c r="AT57" i="246"/>
  <c r="AT69" i="246"/>
  <c r="AT42" i="246"/>
  <c r="AT34" i="246"/>
  <c r="AT60" i="246"/>
  <c r="AT63" i="246"/>
  <c r="AT88" i="246"/>
  <c r="AT90" i="246"/>
  <c r="AT74" i="246"/>
  <c r="AT79" i="246"/>
  <c r="AT55" i="246"/>
  <c r="AT39" i="246"/>
  <c r="AT103" i="246"/>
  <c r="AT94" i="246"/>
  <c r="AT80" i="246"/>
  <c r="AS133" i="246"/>
  <c r="AT54" i="246"/>
  <c r="AT106" i="246"/>
  <c r="AT61" i="246"/>
  <c r="AT40" i="246"/>
  <c r="AT72" i="246"/>
  <c r="AT30" i="246"/>
  <c r="AT62" i="246"/>
  <c r="AT107" i="246"/>
  <c r="AT75" i="246"/>
  <c r="AT50" i="246"/>
  <c r="AT100" i="246"/>
  <c r="AT23" i="246"/>
  <c r="AT92" i="246"/>
  <c r="AT73" i="246"/>
  <c r="AT91" i="246"/>
  <c r="AU98" i="246" l="1"/>
  <c r="H98" i="251" s="1"/>
  <c r="AU126" i="246"/>
  <c r="H126" i="251" s="1"/>
  <c r="AU129" i="246"/>
  <c r="AU123" i="246"/>
  <c r="H123" i="251" s="1"/>
  <c r="AU125" i="246"/>
  <c r="AV123" i="246"/>
  <c r="I123" i="251" s="1"/>
  <c r="AU99" i="246"/>
  <c r="H99" i="251" s="1"/>
  <c r="AU114" i="246"/>
  <c r="AV114" i="246" s="1"/>
  <c r="AU132" i="246"/>
  <c r="H132" i="251" s="1"/>
  <c r="AU131" i="246"/>
  <c r="AU119" i="246"/>
  <c r="H119" i="251" s="1"/>
  <c r="AU127" i="246"/>
  <c r="AU121" i="246"/>
  <c r="H121" i="251" s="1"/>
  <c r="AU124" i="246"/>
  <c r="AU115" i="246"/>
  <c r="AV115" i="246" s="1"/>
  <c r="AU118" i="246"/>
  <c r="AV118" i="246" s="1"/>
  <c r="AU120" i="246"/>
  <c r="H117" i="251"/>
  <c r="H116" i="251"/>
  <c r="H113" i="251"/>
  <c r="AU51" i="246"/>
  <c r="H51" i="251" s="1"/>
  <c r="AU111" i="246"/>
  <c r="H111" i="251" s="1"/>
  <c r="AU93" i="246"/>
  <c r="H93" i="251" s="1"/>
  <c r="AU101" i="246"/>
  <c r="AV101" i="246" s="1"/>
  <c r="I101" i="251" s="1"/>
  <c r="J101" i="251" s="1"/>
  <c r="AU82" i="246"/>
  <c r="AV82" i="246" s="1"/>
  <c r="I82" i="251" s="1"/>
  <c r="AU31" i="246"/>
  <c r="H31" i="251" s="1"/>
  <c r="AU52" i="246"/>
  <c r="H52" i="251" s="1"/>
  <c r="AU104" i="246"/>
  <c r="H104" i="251" s="1"/>
  <c r="AU109" i="246"/>
  <c r="AV109" i="246" s="1"/>
  <c r="I109" i="251" s="1"/>
  <c r="J109" i="251" s="1"/>
  <c r="AU110" i="246"/>
  <c r="H110" i="251" s="1"/>
  <c r="AU112" i="246"/>
  <c r="AV112" i="246" s="1"/>
  <c r="I112" i="251" s="1"/>
  <c r="AU95" i="246"/>
  <c r="AV95" i="246" s="1"/>
  <c r="I95" i="251" s="1"/>
  <c r="AU86" i="246"/>
  <c r="H86" i="251" s="1"/>
  <c r="AU107" i="246"/>
  <c r="AV107" i="246" s="1"/>
  <c r="I107" i="251" s="1"/>
  <c r="J107" i="251" s="1"/>
  <c r="AU69" i="246"/>
  <c r="AU91" i="246"/>
  <c r="AU80" i="246"/>
  <c r="AU87" i="246"/>
  <c r="AU26" i="246"/>
  <c r="AU74" i="246"/>
  <c r="AU73" i="246"/>
  <c r="AU38" i="246"/>
  <c r="AU78" i="246"/>
  <c r="AU37" i="246"/>
  <c r="AU25" i="246"/>
  <c r="AU24" i="246"/>
  <c r="AU92" i="246"/>
  <c r="AU59" i="246"/>
  <c r="AU56" i="246"/>
  <c r="AU66" i="246"/>
  <c r="AU71" i="246"/>
  <c r="AU62" i="246"/>
  <c r="AU70" i="246"/>
  <c r="AU22" i="246"/>
  <c r="AU29" i="246"/>
  <c r="AU90" i="246"/>
  <c r="AU21" i="246"/>
  <c r="AU94" i="246"/>
  <c r="AU88" i="246"/>
  <c r="AT133" i="246"/>
  <c r="AU30" i="246"/>
  <c r="AU103" i="246"/>
  <c r="AU49" i="246"/>
  <c r="AU68" i="246"/>
  <c r="AU100" i="246"/>
  <c r="AU67" i="246"/>
  <c r="AU33" i="246"/>
  <c r="AU57" i="246"/>
  <c r="AU23" i="246"/>
  <c r="AU63" i="246"/>
  <c r="AU105" i="246"/>
  <c r="AU72" i="246"/>
  <c r="AU41" i="246"/>
  <c r="AU84" i="246"/>
  <c r="AU48" i="246"/>
  <c r="AU44" i="246"/>
  <c r="AU85" i="246"/>
  <c r="AU64" i="246"/>
  <c r="AU60" i="246"/>
  <c r="AU35" i="246"/>
  <c r="AU40" i="246"/>
  <c r="AU39" i="246"/>
  <c r="AU47" i="246"/>
  <c r="AU89" i="246"/>
  <c r="AU32" i="246"/>
  <c r="AU55" i="246"/>
  <c r="AU81" i="246"/>
  <c r="AU28" i="246"/>
  <c r="AU75" i="246"/>
  <c r="AU34" i="246"/>
  <c r="AU27" i="246"/>
  <c r="AU36" i="246"/>
  <c r="AU106" i="246"/>
  <c r="AU76" i="246"/>
  <c r="AU42" i="246"/>
  <c r="AU77" i="246"/>
  <c r="AU50" i="246"/>
  <c r="AU54" i="246"/>
  <c r="AU108" i="246"/>
  <c r="AU96" i="246"/>
  <c r="AU53" i="246"/>
  <c r="AU45" i="246"/>
  <c r="AU65" i="246"/>
  <c r="AU61" i="246"/>
  <c r="AU46" i="246"/>
  <c r="AU83" i="246"/>
  <c r="AU102" i="246"/>
  <c r="AU79" i="246"/>
  <c r="AU58" i="246"/>
  <c r="AU43" i="246"/>
  <c r="AV98" i="246" l="1"/>
  <c r="I98" i="251" s="1"/>
  <c r="J98" i="251" s="1"/>
  <c r="AV126" i="246"/>
  <c r="I126" i="251" s="1"/>
  <c r="K126" i="251" s="1"/>
  <c r="H129" i="251"/>
  <c r="AV129" i="246"/>
  <c r="I129" i="251" s="1"/>
  <c r="H125" i="251"/>
  <c r="AV125" i="246"/>
  <c r="I125" i="251" s="1"/>
  <c r="H114" i="251"/>
  <c r="E123" i="252"/>
  <c r="K123" i="251"/>
  <c r="J123" i="251"/>
  <c r="AV121" i="246"/>
  <c r="I121" i="251" s="1"/>
  <c r="K121" i="251" s="1"/>
  <c r="AV99" i="246"/>
  <c r="I99" i="251" s="1"/>
  <c r="J99" i="251" s="1"/>
  <c r="AV132" i="246"/>
  <c r="I132" i="251" s="1"/>
  <c r="J132" i="251" s="1"/>
  <c r="H131" i="251"/>
  <c r="AV131" i="246"/>
  <c r="I131" i="251" s="1"/>
  <c r="AV119" i="246"/>
  <c r="I119" i="251" s="1"/>
  <c r="J119" i="251" s="1"/>
  <c r="H127" i="251"/>
  <c r="AV127" i="246"/>
  <c r="I127" i="251" s="1"/>
  <c r="H124" i="251"/>
  <c r="AV124" i="246"/>
  <c r="I124" i="251" s="1"/>
  <c r="H118" i="251"/>
  <c r="H115" i="251"/>
  <c r="E112" i="252"/>
  <c r="J112" i="251"/>
  <c r="AV120" i="246"/>
  <c r="I120" i="251" s="1"/>
  <c r="H120" i="251"/>
  <c r="I118" i="251"/>
  <c r="I117" i="251"/>
  <c r="I116" i="251"/>
  <c r="E116" i="252" s="1"/>
  <c r="U116" i="252" s="1"/>
  <c r="I115" i="251"/>
  <c r="I114" i="251"/>
  <c r="I113" i="251"/>
  <c r="E113" i="252" s="1"/>
  <c r="U113" i="252" s="1"/>
  <c r="AV51" i="246"/>
  <c r="I51" i="251" s="1"/>
  <c r="J51" i="251" s="1"/>
  <c r="AV31" i="246"/>
  <c r="I31" i="251" s="1"/>
  <c r="J31" i="251" s="1"/>
  <c r="AV111" i="246"/>
  <c r="I111" i="251" s="1"/>
  <c r="AV93" i="246"/>
  <c r="I93" i="251" s="1"/>
  <c r="J93" i="251" s="1"/>
  <c r="H82" i="251"/>
  <c r="H101" i="251"/>
  <c r="E101" i="252"/>
  <c r="G101" i="252" s="1"/>
  <c r="K101" i="251"/>
  <c r="AV52" i="246"/>
  <c r="I52" i="251" s="1"/>
  <c r="E52" i="252" s="1"/>
  <c r="G52" i="252" s="1"/>
  <c r="AV110" i="246"/>
  <c r="I110" i="251" s="1"/>
  <c r="J82" i="251"/>
  <c r="E82" i="252"/>
  <c r="K82" i="251"/>
  <c r="H109" i="251"/>
  <c r="AV104" i="246"/>
  <c r="I104" i="251" s="1"/>
  <c r="K104" i="251" s="1"/>
  <c r="H95" i="251"/>
  <c r="H112" i="251"/>
  <c r="K109" i="251"/>
  <c r="E109" i="252"/>
  <c r="H107" i="251"/>
  <c r="J95" i="251"/>
  <c r="E95" i="252"/>
  <c r="K95" i="251"/>
  <c r="K112" i="251"/>
  <c r="AV86" i="246"/>
  <c r="I86" i="251" s="1"/>
  <c r="J86" i="251" s="1"/>
  <c r="H103" i="251"/>
  <c r="AV103" i="246"/>
  <c r="I103" i="251" s="1"/>
  <c r="H24" i="251"/>
  <c r="AV24" i="246"/>
  <c r="I24" i="251" s="1"/>
  <c r="H30" i="251"/>
  <c r="AV30" i="246"/>
  <c r="I30" i="251" s="1"/>
  <c r="K107" i="251"/>
  <c r="E107" i="252"/>
  <c r="H44" i="251"/>
  <c r="AV44" i="246"/>
  <c r="I44" i="251" s="1"/>
  <c r="H48" i="251"/>
  <c r="AV48" i="246"/>
  <c r="I48" i="251" s="1"/>
  <c r="H88" i="251"/>
  <c r="AV88" i="246"/>
  <c r="I88" i="251" s="1"/>
  <c r="H25" i="251"/>
  <c r="AV25" i="246"/>
  <c r="I25" i="251" s="1"/>
  <c r="H43" i="251"/>
  <c r="AV43" i="246"/>
  <c r="I43" i="251" s="1"/>
  <c r="H84" i="251"/>
  <c r="AV84" i="246"/>
  <c r="I84" i="251" s="1"/>
  <c r="H94" i="251"/>
  <c r="AV94" i="246"/>
  <c r="I94" i="251" s="1"/>
  <c r="H37" i="251"/>
  <c r="AV37" i="246"/>
  <c r="I37" i="251" s="1"/>
  <c r="H64" i="251"/>
  <c r="AV64" i="246"/>
  <c r="I64" i="251" s="1"/>
  <c r="H41" i="251"/>
  <c r="AV41" i="246"/>
  <c r="I41" i="251" s="1"/>
  <c r="H21" i="251"/>
  <c r="AU133" i="246"/>
  <c r="AV21" i="246"/>
  <c r="H78" i="251"/>
  <c r="AV78" i="246"/>
  <c r="I78" i="251" s="1"/>
  <c r="H36" i="251"/>
  <c r="AV36" i="246"/>
  <c r="I36" i="251" s="1"/>
  <c r="H72" i="251"/>
  <c r="AV72" i="246"/>
  <c r="I72" i="251" s="1"/>
  <c r="H90" i="251"/>
  <c r="AV90" i="246"/>
  <c r="I90" i="251" s="1"/>
  <c r="H38" i="251"/>
  <c r="AV38" i="246"/>
  <c r="I38" i="251" s="1"/>
  <c r="H58" i="251"/>
  <c r="AV58" i="246"/>
  <c r="I58" i="251" s="1"/>
  <c r="H46" i="251"/>
  <c r="AV46" i="246"/>
  <c r="I46" i="251" s="1"/>
  <c r="H105" i="251"/>
  <c r="AV105" i="246"/>
  <c r="I105" i="251" s="1"/>
  <c r="H29" i="251"/>
  <c r="AV29" i="246"/>
  <c r="I29" i="251" s="1"/>
  <c r="H73" i="251"/>
  <c r="AV73" i="246"/>
  <c r="I73" i="251" s="1"/>
  <c r="H27" i="251"/>
  <c r="AV27" i="246"/>
  <c r="I27" i="251" s="1"/>
  <c r="H63" i="251"/>
  <c r="AV63" i="246"/>
  <c r="I63" i="251" s="1"/>
  <c r="H22" i="251"/>
  <c r="AV22" i="246"/>
  <c r="I22" i="251" s="1"/>
  <c r="H74" i="251"/>
  <c r="AV74" i="246"/>
  <c r="I74" i="251" s="1"/>
  <c r="H76" i="251"/>
  <c r="AV76" i="246"/>
  <c r="I76" i="251" s="1"/>
  <c r="H75" i="251"/>
  <c r="AV75" i="246"/>
  <c r="I75" i="251" s="1"/>
  <c r="H32" i="251"/>
  <c r="AV32" i="246"/>
  <c r="I32" i="251" s="1"/>
  <c r="H23" i="251"/>
  <c r="AV23" i="246"/>
  <c r="I23" i="251" s="1"/>
  <c r="H70" i="251"/>
  <c r="AV70" i="246"/>
  <c r="I70" i="251" s="1"/>
  <c r="H26" i="251"/>
  <c r="AV26" i="246"/>
  <c r="I26" i="251" s="1"/>
  <c r="H102" i="251"/>
  <c r="AV102" i="246"/>
  <c r="I102" i="251" s="1"/>
  <c r="H65" i="251"/>
  <c r="AV65" i="246"/>
  <c r="I65" i="251" s="1"/>
  <c r="H89" i="251"/>
  <c r="AV89" i="246"/>
  <c r="I89" i="251" s="1"/>
  <c r="H57" i="251"/>
  <c r="AV57" i="246"/>
  <c r="I57" i="251" s="1"/>
  <c r="H62" i="251"/>
  <c r="AV62" i="246"/>
  <c r="I62" i="251" s="1"/>
  <c r="H87" i="251"/>
  <c r="AV87" i="246"/>
  <c r="I87" i="251" s="1"/>
  <c r="H83" i="251"/>
  <c r="AV83" i="246"/>
  <c r="I83" i="251" s="1"/>
  <c r="H55" i="251"/>
  <c r="AV55" i="246"/>
  <c r="I55" i="251" s="1"/>
  <c r="H47" i="251"/>
  <c r="AV47" i="246"/>
  <c r="I47" i="251" s="1"/>
  <c r="H33" i="251"/>
  <c r="AV33" i="246"/>
  <c r="I33" i="251" s="1"/>
  <c r="H71" i="251"/>
  <c r="AV71" i="246"/>
  <c r="I71" i="251" s="1"/>
  <c r="H80" i="251"/>
  <c r="AV80" i="246"/>
  <c r="I80" i="251" s="1"/>
  <c r="H106" i="251"/>
  <c r="AV106" i="246"/>
  <c r="I106" i="251" s="1"/>
  <c r="H28" i="251"/>
  <c r="AV28" i="246"/>
  <c r="I28" i="251" s="1"/>
  <c r="H96" i="251"/>
  <c r="AV96" i="246"/>
  <c r="I96" i="251" s="1"/>
  <c r="H54" i="251"/>
  <c r="AV54" i="246"/>
  <c r="I54" i="251" s="1"/>
  <c r="H39" i="251"/>
  <c r="AV39" i="246"/>
  <c r="I39" i="251" s="1"/>
  <c r="H67" i="251"/>
  <c r="AV67" i="246"/>
  <c r="I67" i="251" s="1"/>
  <c r="H66" i="251"/>
  <c r="AV66" i="246"/>
  <c r="I66" i="251" s="1"/>
  <c r="H91" i="251"/>
  <c r="AV91" i="246"/>
  <c r="I91" i="251" s="1"/>
  <c r="H85" i="251"/>
  <c r="AV85" i="246"/>
  <c r="I85" i="251" s="1"/>
  <c r="H61" i="251"/>
  <c r="AV61" i="246"/>
  <c r="I61" i="251" s="1"/>
  <c r="H53" i="251"/>
  <c r="AV53" i="246"/>
  <c r="I53" i="251" s="1"/>
  <c r="H50" i="251"/>
  <c r="AV50" i="246"/>
  <c r="I50" i="251" s="1"/>
  <c r="H40" i="251"/>
  <c r="AV40" i="246"/>
  <c r="I40" i="251" s="1"/>
  <c r="H100" i="251"/>
  <c r="AV100" i="246"/>
  <c r="I100" i="251" s="1"/>
  <c r="H56" i="251"/>
  <c r="AV56" i="246"/>
  <c r="I56" i="251" s="1"/>
  <c r="H69" i="251"/>
  <c r="AV69" i="246"/>
  <c r="I69" i="251" s="1"/>
  <c r="H34" i="251"/>
  <c r="AV34" i="246"/>
  <c r="I34" i="251" s="1"/>
  <c r="H45" i="251"/>
  <c r="AV45" i="246"/>
  <c r="I45" i="251" s="1"/>
  <c r="H77" i="251"/>
  <c r="AV77" i="246"/>
  <c r="I77" i="251" s="1"/>
  <c r="H35" i="251"/>
  <c r="AV35" i="246"/>
  <c r="I35" i="251" s="1"/>
  <c r="H68" i="251"/>
  <c r="AV68" i="246"/>
  <c r="I68" i="251" s="1"/>
  <c r="H59" i="251"/>
  <c r="AV59" i="246"/>
  <c r="I59" i="251" s="1"/>
  <c r="H79" i="251"/>
  <c r="AV79" i="246"/>
  <c r="I79" i="251" s="1"/>
  <c r="H81" i="251"/>
  <c r="AV81" i="246"/>
  <c r="I81" i="251" s="1"/>
  <c r="H108" i="251"/>
  <c r="AV108" i="246"/>
  <c r="I108" i="251" s="1"/>
  <c r="J108" i="251" s="1"/>
  <c r="H42" i="251"/>
  <c r="AV42" i="246"/>
  <c r="I42" i="251" s="1"/>
  <c r="H60" i="251"/>
  <c r="AV60" i="246"/>
  <c r="I60" i="251" s="1"/>
  <c r="H49" i="251"/>
  <c r="AV49" i="246"/>
  <c r="I49" i="251" s="1"/>
  <c r="H92" i="251"/>
  <c r="AV92" i="246"/>
  <c r="I92" i="251" s="1"/>
  <c r="E98" i="252" l="1"/>
  <c r="G98" i="252" s="1"/>
  <c r="K98" i="251"/>
  <c r="E121" i="252"/>
  <c r="U121" i="252" s="1"/>
  <c r="J126" i="251"/>
  <c r="E126" i="252"/>
  <c r="G126" i="252" s="1"/>
  <c r="E129" i="252"/>
  <c r="J129" i="251"/>
  <c r="K129" i="251"/>
  <c r="F126" i="252"/>
  <c r="E125" i="252"/>
  <c r="J125" i="251"/>
  <c r="K125" i="251"/>
  <c r="J121" i="251"/>
  <c r="U123" i="252"/>
  <c r="G123" i="252"/>
  <c r="F123" i="252"/>
  <c r="E99" i="252"/>
  <c r="F99" i="252" s="1"/>
  <c r="K99" i="251"/>
  <c r="E114" i="252"/>
  <c r="J114" i="251"/>
  <c r="K132" i="251"/>
  <c r="E132" i="252"/>
  <c r="F132" i="252" s="1"/>
  <c r="E131" i="252"/>
  <c r="K131" i="251"/>
  <c r="J131" i="251"/>
  <c r="K119" i="251"/>
  <c r="E119" i="252"/>
  <c r="F119" i="252" s="1"/>
  <c r="E127" i="252"/>
  <c r="K127" i="251"/>
  <c r="J127" i="251"/>
  <c r="E111" i="252"/>
  <c r="J111" i="251"/>
  <c r="E124" i="252"/>
  <c r="K124" i="251"/>
  <c r="J124" i="251"/>
  <c r="G121" i="252"/>
  <c r="F121" i="252"/>
  <c r="H133" i="251"/>
  <c r="K110" i="251"/>
  <c r="J110" i="251"/>
  <c r="E115" i="252"/>
  <c r="J115" i="251"/>
  <c r="E120" i="252"/>
  <c r="J120" i="251"/>
  <c r="K120" i="251"/>
  <c r="K117" i="251"/>
  <c r="E117" i="252"/>
  <c r="U117" i="252" s="1"/>
  <c r="J118" i="251"/>
  <c r="E118" i="252"/>
  <c r="G112" i="252"/>
  <c r="F112" i="252"/>
  <c r="K118" i="251"/>
  <c r="K116" i="251"/>
  <c r="K115" i="251"/>
  <c r="K114" i="251"/>
  <c r="K113" i="251"/>
  <c r="F52" i="252"/>
  <c r="K51" i="251"/>
  <c r="E51" i="252"/>
  <c r="F51" i="252" s="1"/>
  <c r="K31" i="251"/>
  <c r="E31" i="252"/>
  <c r="F31" i="252" s="1"/>
  <c r="K111" i="251"/>
  <c r="K93" i="251"/>
  <c r="E93" i="252"/>
  <c r="G93" i="252" s="1"/>
  <c r="E110" i="252"/>
  <c r="F101" i="252"/>
  <c r="J52" i="251"/>
  <c r="K52" i="251"/>
  <c r="J104" i="251"/>
  <c r="F82" i="252"/>
  <c r="G82" i="252"/>
  <c r="E104" i="252"/>
  <c r="G104" i="252" s="1"/>
  <c r="K86" i="251"/>
  <c r="E86" i="252"/>
  <c r="G86" i="252" s="1"/>
  <c r="F95" i="252"/>
  <c r="G95" i="252"/>
  <c r="G109" i="252"/>
  <c r="F109" i="252"/>
  <c r="J80" i="251"/>
  <c r="K80" i="251"/>
  <c r="E80" i="252"/>
  <c r="J57" i="251"/>
  <c r="K57" i="251"/>
  <c r="E57" i="252"/>
  <c r="J75" i="251"/>
  <c r="K75" i="251"/>
  <c r="E75" i="252"/>
  <c r="J105" i="251"/>
  <c r="K105" i="251"/>
  <c r="E105" i="252"/>
  <c r="AV133" i="246"/>
  <c r="I21" i="251"/>
  <c r="I133" i="251" s="1"/>
  <c r="J88" i="251"/>
  <c r="K88" i="251"/>
  <c r="E88" i="252"/>
  <c r="J76" i="251"/>
  <c r="K76" i="251"/>
  <c r="E76" i="252"/>
  <c r="K46" i="251"/>
  <c r="J46" i="251"/>
  <c r="E46" i="252"/>
  <c r="J41" i="251"/>
  <c r="K41" i="251"/>
  <c r="E41" i="252"/>
  <c r="J48" i="251"/>
  <c r="K48" i="251"/>
  <c r="E48" i="252"/>
  <c r="J91" i="251"/>
  <c r="K91" i="251"/>
  <c r="E91" i="252"/>
  <c r="J59" i="251"/>
  <c r="K59" i="251"/>
  <c r="E59" i="252"/>
  <c r="J65" i="251"/>
  <c r="K65" i="251"/>
  <c r="E65" i="252"/>
  <c r="J74" i="251"/>
  <c r="K74" i="251"/>
  <c r="E74" i="252"/>
  <c r="J58" i="251"/>
  <c r="K58" i="251"/>
  <c r="E58" i="252"/>
  <c r="J56" i="251"/>
  <c r="K56" i="251"/>
  <c r="E56" i="252"/>
  <c r="J49" i="251"/>
  <c r="K49" i="251"/>
  <c r="E49" i="252"/>
  <c r="J64" i="251"/>
  <c r="K64" i="251"/>
  <c r="E64" i="252"/>
  <c r="J44" i="251"/>
  <c r="K44" i="251"/>
  <c r="E44" i="252"/>
  <c r="J33" i="251"/>
  <c r="K33" i="251"/>
  <c r="E33" i="252"/>
  <c r="J47" i="251"/>
  <c r="K47" i="251"/>
  <c r="E47" i="252"/>
  <c r="J102" i="251"/>
  <c r="K102" i="251"/>
  <c r="E102" i="252"/>
  <c r="J22" i="251"/>
  <c r="K22" i="251"/>
  <c r="E22" i="252"/>
  <c r="J38" i="251"/>
  <c r="K38" i="251"/>
  <c r="E38" i="252"/>
  <c r="J92" i="251"/>
  <c r="K92" i="251"/>
  <c r="E92" i="252"/>
  <c r="K39" i="251"/>
  <c r="J39" i="251"/>
  <c r="E39" i="252"/>
  <c r="J60" i="251"/>
  <c r="K60" i="251"/>
  <c r="E60" i="252"/>
  <c r="J37" i="251"/>
  <c r="K37" i="251"/>
  <c r="E37" i="252"/>
  <c r="G107" i="252"/>
  <c r="F107" i="252"/>
  <c r="J89" i="251"/>
  <c r="K89" i="251"/>
  <c r="E89" i="252"/>
  <c r="J26" i="251"/>
  <c r="K26" i="251"/>
  <c r="E26" i="252"/>
  <c r="J63" i="251"/>
  <c r="K63" i="251"/>
  <c r="E63" i="252"/>
  <c r="K90" i="251"/>
  <c r="J90" i="251"/>
  <c r="E90" i="252"/>
  <c r="J69" i="251"/>
  <c r="K69" i="251"/>
  <c r="E69" i="252"/>
  <c r="J68" i="251"/>
  <c r="K68" i="251"/>
  <c r="E68" i="252"/>
  <c r="K94" i="251"/>
  <c r="J94" i="251"/>
  <c r="E94" i="252"/>
  <c r="J71" i="251"/>
  <c r="K71" i="251"/>
  <c r="E71" i="252"/>
  <c r="J77" i="251"/>
  <c r="K77" i="251"/>
  <c r="E77" i="252"/>
  <c r="J83" i="251"/>
  <c r="K83" i="251"/>
  <c r="E83" i="252"/>
  <c r="J70" i="251"/>
  <c r="K70" i="251"/>
  <c r="E70" i="252"/>
  <c r="J27" i="251"/>
  <c r="K27" i="251"/>
  <c r="E27" i="252"/>
  <c r="J72" i="251"/>
  <c r="K72" i="251"/>
  <c r="E72" i="252"/>
  <c r="J30" i="251"/>
  <c r="K30" i="251"/>
  <c r="E30" i="252"/>
  <c r="J66" i="251"/>
  <c r="K66" i="251"/>
  <c r="E66" i="252"/>
  <c r="J55" i="251"/>
  <c r="K55" i="251"/>
  <c r="E55" i="252"/>
  <c r="K108" i="251"/>
  <c r="E108" i="252"/>
  <c r="J84" i="251"/>
  <c r="K84" i="251"/>
  <c r="E84" i="252"/>
  <c r="J40" i="251"/>
  <c r="K40" i="251"/>
  <c r="E40" i="252"/>
  <c r="J42" i="251"/>
  <c r="K42" i="251"/>
  <c r="E42" i="252"/>
  <c r="J45" i="251"/>
  <c r="K45" i="251"/>
  <c r="E45" i="252"/>
  <c r="J61" i="251"/>
  <c r="K61" i="251"/>
  <c r="E61" i="252"/>
  <c r="K28" i="251"/>
  <c r="J28" i="251"/>
  <c r="E28" i="252"/>
  <c r="J87" i="251"/>
  <c r="K87" i="251"/>
  <c r="E87" i="252"/>
  <c r="K23" i="251"/>
  <c r="J23" i="251"/>
  <c r="E23" i="252"/>
  <c r="J73" i="251"/>
  <c r="K73" i="251"/>
  <c r="E73" i="252"/>
  <c r="J36" i="251"/>
  <c r="K36" i="251"/>
  <c r="E36" i="252"/>
  <c r="J24" i="251"/>
  <c r="K24" i="251"/>
  <c r="E24" i="252"/>
  <c r="J100" i="251"/>
  <c r="K100" i="251"/>
  <c r="E100" i="252"/>
  <c r="J50" i="251"/>
  <c r="K50" i="251"/>
  <c r="E50" i="252"/>
  <c r="J53" i="251"/>
  <c r="K53" i="251"/>
  <c r="E53" i="252"/>
  <c r="J81" i="251"/>
  <c r="K81" i="251"/>
  <c r="E81" i="252"/>
  <c r="J43" i="251"/>
  <c r="K43" i="251"/>
  <c r="E43" i="252"/>
  <c r="J67" i="251"/>
  <c r="K67" i="251"/>
  <c r="E67" i="252"/>
  <c r="J54" i="251"/>
  <c r="K54" i="251"/>
  <c r="E54" i="252"/>
  <c r="J34" i="251"/>
  <c r="K34" i="251"/>
  <c r="E34" i="252"/>
  <c r="J85" i="251"/>
  <c r="K85" i="251"/>
  <c r="E85" i="252"/>
  <c r="J106" i="251"/>
  <c r="K106" i="251"/>
  <c r="E106" i="252"/>
  <c r="J62" i="251"/>
  <c r="K62" i="251"/>
  <c r="E62" i="252"/>
  <c r="J32" i="251"/>
  <c r="K32" i="251"/>
  <c r="E32" i="252"/>
  <c r="J29" i="251"/>
  <c r="K29" i="251"/>
  <c r="E29" i="252"/>
  <c r="J78" i="251"/>
  <c r="K78" i="251"/>
  <c r="E78" i="252"/>
  <c r="J103" i="251"/>
  <c r="K103" i="251"/>
  <c r="E103" i="252"/>
  <c r="J35" i="251"/>
  <c r="K35" i="251"/>
  <c r="E35" i="252"/>
  <c r="J96" i="251"/>
  <c r="K96" i="251"/>
  <c r="E96" i="252"/>
  <c r="J79" i="251"/>
  <c r="K79" i="251"/>
  <c r="E79" i="252"/>
  <c r="J25" i="251"/>
  <c r="K25" i="251"/>
  <c r="E25" i="252"/>
  <c r="F98" i="252" l="1"/>
  <c r="F129" i="252"/>
  <c r="G129" i="252"/>
  <c r="F125" i="252"/>
  <c r="G125" i="252"/>
  <c r="H123" i="252"/>
  <c r="J123" i="252" s="1"/>
  <c r="G99" i="252"/>
  <c r="H99" i="252" s="1"/>
  <c r="J99" i="252" s="1"/>
  <c r="D133" i="262"/>
  <c r="F114" i="252"/>
  <c r="G114" i="252"/>
  <c r="G132" i="252"/>
  <c r="F131" i="252"/>
  <c r="G131" i="252"/>
  <c r="G119" i="252"/>
  <c r="F127" i="252"/>
  <c r="G127" i="252"/>
  <c r="G111" i="252"/>
  <c r="F111" i="252"/>
  <c r="F124" i="252"/>
  <c r="G124" i="252"/>
  <c r="H121" i="252"/>
  <c r="I121" i="252" s="1"/>
  <c r="D131" i="262"/>
  <c r="F110" i="252"/>
  <c r="G110" i="252"/>
  <c r="G118" i="252"/>
  <c r="F118" i="252"/>
  <c r="G115" i="252"/>
  <c r="F115" i="252"/>
  <c r="F120" i="252"/>
  <c r="G120" i="252"/>
  <c r="G31" i="252"/>
  <c r="G51" i="252"/>
  <c r="H51" i="252" s="1"/>
  <c r="F93" i="252"/>
  <c r="F104" i="252"/>
  <c r="F86" i="252"/>
  <c r="G84" i="252"/>
  <c r="F84" i="252"/>
  <c r="G26" i="252"/>
  <c r="F26" i="252"/>
  <c r="G58" i="252"/>
  <c r="F58" i="252"/>
  <c r="G28" i="252"/>
  <c r="F28" i="252"/>
  <c r="G94" i="252"/>
  <c r="F94" i="252"/>
  <c r="G33" i="252"/>
  <c r="F33" i="252"/>
  <c r="G67" i="252"/>
  <c r="F67" i="252"/>
  <c r="G24" i="252"/>
  <c r="F24" i="252"/>
  <c r="G27" i="252"/>
  <c r="F27" i="252"/>
  <c r="G92" i="252"/>
  <c r="F92" i="252"/>
  <c r="F41" i="252"/>
  <c r="G41" i="252"/>
  <c r="E21" i="252"/>
  <c r="K21" i="251"/>
  <c r="K133" i="251" s="1"/>
  <c r="J21" i="251"/>
  <c r="G43" i="252"/>
  <c r="F43" i="252"/>
  <c r="G108" i="252"/>
  <c r="F108" i="252"/>
  <c r="G89" i="252"/>
  <c r="F89" i="252"/>
  <c r="G74" i="252"/>
  <c r="F74" i="252"/>
  <c r="G61" i="252"/>
  <c r="F61" i="252"/>
  <c r="G68" i="252"/>
  <c r="F68" i="252"/>
  <c r="G44" i="252"/>
  <c r="F44" i="252"/>
  <c r="G105" i="252"/>
  <c r="F105" i="252"/>
  <c r="G103" i="252"/>
  <c r="F103" i="252"/>
  <c r="F36" i="252"/>
  <c r="G36" i="252"/>
  <c r="G70" i="252"/>
  <c r="F70" i="252"/>
  <c r="G38" i="252"/>
  <c r="F38" i="252"/>
  <c r="G65" i="252"/>
  <c r="F65" i="252"/>
  <c r="G64" i="252"/>
  <c r="F64" i="252"/>
  <c r="G75" i="252"/>
  <c r="F75" i="252"/>
  <c r="G35" i="252"/>
  <c r="F35" i="252"/>
  <c r="F106" i="252"/>
  <c r="G106" i="252"/>
  <c r="G81" i="252"/>
  <c r="F81" i="252"/>
  <c r="G22" i="252"/>
  <c r="F22" i="252"/>
  <c r="G62" i="252"/>
  <c r="F62" i="252"/>
  <c r="G85" i="252"/>
  <c r="F85" i="252"/>
  <c r="G69" i="252"/>
  <c r="F69" i="252"/>
  <c r="G78" i="252"/>
  <c r="F78" i="252"/>
  <c r="G53" i="252"/>
  <c r="F53" i="252"/>
  <c r="G66" i="252"/>
  <c r="F66" i="252"/>
  <c r="F37" i="252"/>
  <c r="G37" i="252"/>
  <c r="G59" i="252"/>
  <c r="F59" i="252"/>
  <c r="G46" i="252"/>
  <c r="F46" i="252"/>
  <c r="F34" i="252"/>
  <c r="G34" i="252"/>
  <c r="G42" i="252"/>
  <c r="F42" i="252"/>
  <c r="G90" i="252"/>
  <c r="F90" i="252"/>
  <c r="F49" i="252"/>
  <c r="G49" i="252"/>
  <c r="G57" i="252"/>
  <c r="F57" i="252"/>
  <c r="G83" i="252"/>
  <c r="F83" i="252"/>
  <c r="G29" i="252"/>
  <c r="F29" i="252"/>
  <c r="G23" i="252"/>
  <c r="F23" i="252"/>
  <c r="G77" i="252"/>
  <c r="F77" i="252"/>
  <c r="G102" i="252"/>
  <c r="F102" i="252"/>
  <c r="G79" i="252"/>
  <c r="F79" i="252"/>
  <c r="G50" i="252"/>
  <c r="F50" i="252"/>
  <c r="G30" i="252"/>
  <c r="F30" i="252"/>
  <c r="G60" i="252"/>
  <c r="F60" i="252"/>
  <c r="G91" i="252"/>
  <c r="F91" i="252"/>
  <c r="G76" i="252"/>
  <c r="F76" i="252"/>
  <c r="G55" i="252"/>
  <c r="F55" i="252"/>
  <c r="G54" i="252"/>
  <c r="F54" i="252"/>
  <c r="G40" i="252"/>
  <c r="F40" i="252"/>
  <c r="G63" i="252"/>
  <c r="F63" i="252"/>
  <c r="G56" i="252"/>
  <c r="F56" i="252"/>
  <c r="G80" i="252"/>
  <c r="F80" i="252"/>
  <c r="G73" i="252"/>
  <c r="F73" i="252"/>
  <c r="G25" i="252"/>
  <c r="F25" i="252"/>
  <c r="G32" i="252"/>
  <c r="F32" i="252"/>
  <c r="G87" i="252"/>
  <c r="F87" i="252"/>
  <c r="G71" i="252"/>
  <c r="F71" i="252"/>
  <c r="G47" i="252"/>
  <c r="F47" i="252"/>
  <c r="G45" i="252"/>
  <c r="F45" i="252"/>
  <c r="G96" i="252"/>
  <c r="F96" i="252"/>
  <c r="G100" i="252"/>
  <c r="F100" i="252"/>
  <c r="G72" i="252"/>
  <c r="F72" i="252"/>
  <c r="G39" i="252"/>
  <c r="F39" i="252"/>
  <c r="G48" i="252"/>
  <c r="F48" i="252"/>
  <c r="G88" i="252"/>
  <c r="F88" i="252"/>
  <c r="I123" i="252" l="1"/>
  <c r="K123" i="252" s="1"/>
  <c r="M123" i="252" s="1"/>
  <c r="F133" i="262"/>
  <c r="G133" i="262" s="1"/>
  <c r="I99" i="252"/>
  <c r="K99" i="252" s="1"/>
  <c r="J121" i="252"/>
  <c r="K121" i="252" s="1"/>
  <c r="M121" i="252" s="1"/>
  <c r="F131" i="262"/>
  <c r="I51" i="252"/>
  <c r="J51" i="252"/>
  <c r="E133" i="252"/>
  <c r="F21" i="252"/>
  <c r="G21" i="252"/>
  <c r="G133" i="252" s="1"/>
  <c r="H98" i="252" l="1"/>
  <c r="H126" i="252"/>
  <c r="H114" i="252"/>
  <c r="I114" i="252" s="1"/>
  <c r="H125" i="252"/>
  <c r="J125" i="252" s="1"/>
  <c r="H129" i="252"/>
  <c r="J129" i="252" s="1"/>
  <c r="L123" i="252"/>
  <c r="R123" i="256"/>
  <c r="R123" i="257" s="1"/>
  <c r="E123" i="255"/>
  <c r="F123" i="255" s="1"/>
  <c r="M99" i="252"/>
  <c r="L99" i="252"/>
  <c r="G131" i="262"/>
  <c r="R121" i="256"/>
  <c r="R121" i="257" s="1"/>
  <c r="H119" i="252"/>
  <c r="J119" i="252" s="1"/>
  <c r="H111" i="252"/>
  <c r="J111" i="252" s="1"/>
  <c r="H127" i="252"/>
  <c r="J127" i="252" s="1"/>
  <c r="H120" i="252"/>
  <c r="I120" i="252" s="1"/>
  <c r="H131" i="252"/>
  <c r="I131" i="252" s="1"/>
  <c r="H132" i="252"/>
  <c r="H124" i="252"/>
  <c r="J124" i="252" s="1"/>
  <c r="H118" i="252"/>
  <c r="J118" i="252" s="1"/>
  <c r="H115" i="252"/>
  <c r="I115" i="252" s="1"/>
  <c r="L121" i="252"/>
  <c r="N121" i="252" s="1"/>
  <c r="O121" i="252" s="1"/>
  <c r="E121" i="255"/>
  <c r="F121" i="255" s="1"/>
  <c r="H112" i="252"/>
  <c r="H110" i="252"/>
  <c r="K51" i="252"/>
  <c r="H93" i="252"/>
  <c r="H104" i="252"/>
  <c r="J104" i="252" s="1"/>
  <c r="H101" i="252"/>
  <c r="H52" i="252"/>
  <c r="H82" i="252"/>
  <c r="H31" i="252"/>
  <c r="H109" i="252"/>
  <c r="H95" i="252"/>
  <c r="H22" i="252"/>
  <c r="J22" i="252" s="1"/>
  <c r="H61" i="252"/>
  <c r="J61" i="252" s="1"/>
  <c r="H76" i="252"/>
  <c r="J76" i="252" s="1"/>
  <c r="H81" i="252"/>
  <c r="J81" i="252" s="1"/>
  <c r="H32" i="252"/>
  <c r="I32" i="252" s="1"/>
  <c r="H34" i="252"/>
  <c r="J34" i="252" s="1"/>
  <c r="H63" i="252"/>
  <c r="J63" i="252" s="1"/>
  <c r="H83" i="252"/>
  <c r="J83" i="252" s="1"/>
  <c r="H108" i="252"/>
  <c r="J108" i="252" s="1"/>
  <c r="H80" i="252"/>
  <c r="J80" i="252" s="1"/>
  <c r="H75" i="252"/>
  <c r="J75" i="252" s="1"/>
  <c r="H43" i="252"/>
  <c r="I43" i="252" s="1"/>
  <c r="H58" i="252"/>
  <c r="I58" i="252" s="1"/>
  <c r="H39" i="252"/>
  <c r="J39" i="252" s="1"/>
  <c r="H64" i="252"/>
  <c r="I64" i="252" s="1"/>
  <c r="H79" i="252"/>
  <c r="J79" i="252" s="1"/>
  <c r="H59" i="252"/>
  <c r="J59" i="252" s="1"/>
  <c r="H73" i="252"/>
  <c r="J73" i="252" s="1"/>
  <c r="H87" i="252"/>
  <c r="I87" i="252" s="1"/>
  <c r="H48" i="252"/>
  <c r="J48" i="252" s="1"/>
  <c r="H27" i="252"/>
  <c r="J27" i="252" s="1"/>
  <c r="H24" i="252"/>
  <c r="J24" i="252" s="1"/>
  <c r="H45" i="252"/>
  <c r="J45" i="252" s="1"/>
  <c r="H100" i="252"/>
  <c r="J100" i="252" s="1"/>
  <c r="H42" i="252"/>
  <c r="J42" i="252" s="1"/>
  <c r="H92" i="252"/>
  <c r="J92" i="252" s="1"/>
  <c r="H68" i="252"/>
  <c r="I68" i="252" s="1"/>
  <c r="H33" i="252"/>
  <c r="I33" i="252" s="1"/>
  <c r="H90" i="252"/>
  <c r="J90" i="252" s="1"/>
  <c r="H88" i="252"/>
  <c r="I88" i="252" s="1"/>
  <c r="H60" i="252"/>
  <c r="I60" i="252" s="1"/>
  <c r="H44" i="252"/>
  <c r="J44" i="252" s="1"/>
  <c r="H89" i="252"/>
  <c r="J89" i="252" s="1"/>
  <c r="H35" i="252"/>
  <c r="J35" i="252" s="1"/>
  <c r="H37" i="252"/>
  <c r="I37" i="252" s="1"/>
  <c r="H30" i="252"/>
  <c r="J30" i="252" s="1"/>
  <c r="H96" i="252"/>
  <c r="J96" i="252" s="1"/>
  <c r="H84" i="252"/>
  <c r="J84" i="252" s="1"/>
  <c r="H71" i="252"/>
  <c r="I71" i="252" s="1"/>
  <c r="H57" i="252"/>
  <c r="J57" i="252" s="1"/>
  <c r="H55" i="252"/>
  <c r="J55" i="252" s="1"/>
  <c r="H36" i="252"/>
  <c r="J36" i="252" s="1"/>
  <c r="H40" i="252"/>
  <c r="I40" i="252" s="1"/>
  <c r="H25" i="252"/>
  <c r="J25" i="252" s="1"/>
  <c r="H74" i="252"/>
  <c r="I74" i="252" s="1"/>
  <c r="H23" i="252"/>
  <c r="I23" i="252" s="1"/>
  <c r="H49" i="252"/>
  <c r="I49" i="252" s="1"/>
  <c r="H56" i="252"/>
  <c r="J56" i="252" s="1"/>
  <c r="H94" i="252"/>
  <c r="J94" i="252" s="1"/>
  <c r="H46" i="252"/>
  <c r="I46" i="252" s="1"/>
  <c r="H66" i="252"/>
  <c r="J66" i="252" s="1"/>
  <c r="H91" i="252"/>
  <c r="J91" i="252" s="1"/>
  <c r="H67" i="252"/>
  <c r="J67" i="252" s="1"/>
  <c r="H62" i="252"/>
  <c r="I62" i="252" s="1"/>
  <c r="H54" i="252"/>
  <c r="J54" i="252" s="1"/>
  <c r="H77" i="252"/>
  <c r="J77" i="252" s="1"/>
  <c r="H72" i="252"/>
  <c r="I72" i="252" s="1"/>
  <c r="H53" i="252"/>
  <c r="J53" i="252" s="1"/>
  <c r="H47" i="252"/>
  <c r="H50" i="252"/>
  <c r="H38" i="252"/>
  <c r="H28" i="252"/>
  <c r="H41" i="252"/>
  <c r="H26" i="252"/>
  <c r="H106" i="252"/>
  <c r="H65" i="252"/>
  <c r="H103" i="252"/>
  <c r="H70" i="252"/>
  <c r="H69" i="252"/>
  <c r="H78" i="252"/>
  <c r="H21" i="252"/>
  <c r="H86" i="252"/>
  <c r="H107" i="252"/>
  <c r="H85" i="252"/>
  <c r="H102" i="252"/>
  <c r="H105" i="252"/>
  <c r="H29" i="252"/>
  <c r="I98" i="252" l="1"/>
  <c r="J98" i="252"/>
  <c r="J114" i="252"/>
  <c r="I125" i="252"/>
  <c r="I129" i="252"/>
  <c r="J126" i="252"/>
  <c r="I126" i="252"/>
  <c r="X123" i="255"/>
  <c r="I123" i="255"/>
  <c r="N123" i="252"/>
  <c r="P123" i="252" s="1"/>
  <c r="N99" i="252"/>
  <c r="P99" i="252" s="1"/>
  <c r="I127" i="252"/>
  <c r="I119" i="252"/>
  <c r="I111" i="252"/>
  <c r="J120" i="252"/>
  <c r="I124" i="252"/>
  <c r="J131" i="252"/>
  <c r="J132" i="252"/>
  <c r="I132" i="252"/>
  <c r="P121" i="252"/>
  <c r="Q121" i="252" s="1"/>
  <c r="I118" i="252"/>
  <c r="J115" i="252"/>
  <c r="X121" i="255"/>
  <c r="I121" i="255"/>
  <c r="J110" i="252"/>
  <c r="I110" i="252"/>
  <c r="J112" i="252"/>
  <c r="I112" i="252"/>
  <c r="M51" i="252"/>
  <c r="L51" i="252"/>
  <c r="J68" i="252"/>
  <c r="J93" i="252"/>
  <c r="I93" i="252"/>
  <c r="I104" i="252"/>
  <c r="I109" i="252"/>
  <c r="J109" i="252"/>
  <c r="J31" i="252"/>
  <c r="I31" i="252"/>
  <c r="I52" i="252"/>
  <c r="J52" i="252"/>
  <c r="J101" i="252"/>
  <c r="I101" i="252"/>
  <c r="J95" i="252"/>
  <c r="I95" i="252"/>
  <c r="I82" i="252"/>
  <c r="J82" i="252"/>
  <c r="J64" i="252"/>
  <c r="J43" i="252"/>
  <c r="I75" i="252"/>
  <c r="I90" i="252"/>
  <c r="J71" i="252"/>
  <c r="J33" i="252"/>
  <c r="I55" i="252"/>
  <c r="I108" i="252"/>
  <c r="J58" i="252"/>
  <c r="J40" i="252"/>
  <c r="J74" i="252"/>
  <c r="I42" i="252"/>
  <c r="J88" i="252"/>
  <c r="I25" i="252"/>
  <c r="I36" i="252"/>
  <c r="I92" i="252"/>
  <c r="I80" i="252"/>
  <c r="J60" i="252"/>
  <c r="I76" i="252"/>
  <c r="J32" i="252"/>
  <c r="J87" i="252"/>
  <c r="I61" i="252"/>
  <c r="I73" i="252"/>
  <c r="I59" i="252"/>
  <c r="I39" i="252"/>
  <c r="I66" i="252"/>
  <c r="I67" i="252"/>
  <c r="I34" i="252"/>
  <c r="J37" i="252"/>
  <c r="I35" i="252"/>
  <c r="I27" i="252"/>
  <c r="J49" i="252"/>
  <c r="I84" i="252"/>
  <c r="I24" i="252"/>
  <c r="I91" i="252"/>
  <c r="I96" i="252"/>
  <c r="J46" i="252"/>
  <c r="I57" i="252"/>
  <c r="I100" i="252"/>
  <c r="I81" i="252"/>
  <c r="I45" i="252"/>
  <c r="I30" i="252"/>
  <c r="I48" i="252"/>
  <c r="I22" i="252"/>
  <c r="J62" i="252"/>
  <c r="I94" i="252"/>
  <c r="I89" i="252"/>
  <c r="I63" i="252"/>
  <c r="I83" i="252"/>
  <c r="J23" i="252"/>
  <c r="I44" i="252"/>
  <c r="I79" i="252"/>
  <c r="I54" i="252"/>
  <c r="I77" i="252"/>
  <c r="J72" i="252"/>
  <c r="I53" i="252"/>
  <c r="I56" i="252"/>
  <c r="J26" i="252"/>
  <c r="I26" i="252"/>
  <c r="J78" i="252"/>
  <c r="I78" i="252"/>
  <c r="J69" i="252"/>
  <c r="I69" i="252"/>
  <c r="J50" i="252"/>
  <c r="I50" i="252"/>
  <c r="J47" i="252"/>
  <c r="I47" i="252"/>
  <c r="J70" i="252"/>
  <c r="I70" i="252"/>
  <c r="J86" i="252"/>
  <c r="I86" i="252"/>
  <c r="J105" i="252"/>
  <c r="I105" i="252"/>
  <c r="J29" i="252"/>
  <c r="I29" i="252"/>
  <c r="J41" i="252"/>
  <c r="I41" i="252"/>
  <c r="J28" i="252"/>
  <c r="I28" i="252"/>
  <c r="J102" i="252"/>
  <c r="I102" i="252"/>
  <c r="J38" i="252"/>
  <c r="I38" i="252"/>
  <c r="J85" i="252"/>
  <c r="I85" i="252"/>
  <c r="J107" i="252"/>
  <c r="I107" i="252"/>
  <c r="J103" i="252"/>
  <c r="I103" i="252"/>
  <c r="J65" i="252"/>
  <c r="I65" i="252"/>
  <c r="I21" i="252"/>
  <c r="H133" i="252"/>
  <c r="J21" i="252"/>
  <c r="I106" i="252"/>
  <c r="J106" i="252"/>
  <c r="K98" i="252" l="1"/>
  <c r="K114" i="252"/>
  <c r="M114" i="252" s="1"/>
  <c r="K125" i="252"/>
  <c r="M125" i="252" s="1"/>
  <c r="K129" i="252"/>
  <c r="L129" i="252" s="1"/>
  <c r="K126" i="252"/>
  <c r="O123" i="252"/>
  <c r="Q123" i="252" s="1"/>
  <c r="O99" i="252"/>
  <c r="Q99" i="252" s="1"/>
  <c r="R99" i="252" s="1"/>
  <c r="K111" i="252"/>
  <c r="M111" i="252" s="1"/>
  <c r="K132" i="252"/>
  <c r="M132" i="252" s="1"/>
  <c r="K127" i="252"/>
  <c r="M127" i="252" s="1"/>
  <c r="K131" i="252"/>
  <c r="K124" i="252"/>
  <c r="K120" i="252"/>
  <c r="K119" i="252"/>
  <c r="S121" i="252"/>
  <c r="R121" i="252"/>
  <c r="K115" i="252"/>
  <c r="K118" i="252"/>
  <c r="K110" i="252"/>
  <c r="K112" i="252"/>
  <c r="N51" i="252"/>
  <c r="K93" i="252"/>
  <c r="K101" i="252"/>
  <c r="K52" i="252"/>
  <c r="K82" i="252"/>
  <c r="K95" i="252"/>
  <c r="K31" i="252"/>
  <c r="K109" i="252"/>
  <c r="K104" i="252"/>
  <c r="L104" i="252" s="1"/>
  <c r="K70" i="252"/>
  <c r="M70" i="252" s="1"/>
  <c r="K36" i="252"/>
  <c r="L36" i="252" s="1"/>
  <c r="K89" i="252"/>
  <c r="M89" i="252" s="1"/>
  <c r="K106" i="252"/>
  <c r="M106" i="252" s="1"/>
  <c r="K87" i="252"/>
  <c r="M87" i="252" s="1"/>
  <c r="J133" i="252"/>
  <c r="K27" i="252"/>
  <c r="L27" i="252" s="1"/>
  <c r="K107" i="252"/>
  <c r="M107" i="252" s="1"/>
  <c r="K59" i="252"/>
  <c r="L59" i="252" s="1"/>
  <c r="K79" i="252"/>
  <c r="K43" i="252"/>
  <c r="K47" i="252"/>
  <c r="K100" i="252"/>
  <c r="K105" i="252"/>
  <c r="K45" i="252"/>
  <c r="K34" i="252"/>
  <c r="K78" i="252"/>
  <c r="K83" i="252"/>
  <c r="K66" i="252"/>
  <c r="K42" i="252"/>
  <c r="K80" i="252"/>
  <c r="K40" i="252"/>
  <c r="K25" i="252"/>
  <c r="K77" i="252"/>
  <c r="K84" i="252"/>
  <c r="K61" i="252"/>
  <c r="K23" i="252"/>
  <c r="K28" i="252"/>
  <c r="K85" i="252"/>
  <c r="K46" i="252"/>
  <c r="K58" i="252"/>
  <c r="K30" i="252"/>
  <c r="K74" i="252"/>
  <c r="K67" i="252"/>
  <c r="K22" i="252"/>
  <c r="K60" i="252"/>
  <c r="K90" i="252"/>
  <c r="K32" i="252"/>
  <c r="K54" i="252"/>
  <c r="K56" i="252"/>
  <c r="K49" i="252"/>
  <c r="K86" i="252"/>
  <c r="K50" i="252"/>
  <c r="K35" i="252"/>
  <c r="K81" i="252"/>
  <c r="K39" i="252"/>
  <c r="K41" i="252"/>
  <c r="K38" i="252"/>
  <c r="K88" i="252"/>
  <c r="K64" i="252"/>
  <c r="K73" i="252"/>
  <c r="K53" i="252"/>
  <c r="K29" i="252"/>
  <c r="K57" i="252"/>
  <c r="K75" i="252"/>
  <c r="K108" i="252"/>
  <c r="K24" i="252"/>
  <c r="K44" i="252"/>
  <c r="K92" i="252"/>
  <c r="K65" i="252"/>
  <c r="K33" i="252"/>
  <c r="K48" i="252"/>
  <c r="K62" i="252"/>
  <c r="K76" i="252"/>
  <c r="K63" i="252"/>
  <c r="K96" i="252"/>
  <c r="K71" i="252"/>
  <c r="K91" i="252"/>
  <c r="K103" i="252"/>
  <c r="K102" i="252"/>
  <c r="K68" i="252"/>
  <c r="K69" i="252"/>
  <c r="K26" i="252"/>
  <c r="I133" i="252"/>
  <c r="K21" i="252"/>
  <c r="K55" i="252"/>
  <c r="K37" i="252"/>
  <c r="K72" i="252"/>
  <c r="K94" i="252"/>
  <c r="L98" i="252" l="1"/>
  <c r="M98" i="252"/>
  <c r="L114" i="252"/>
  <c r="L125" i="252"/>
  <c r="M129" i="252"/>
  <c r="M126" i="252"/>
  <c r="L126" i="252"/>
  <c r="S123" i="252"/>
  <c r="R123" i="252"/>
  <c r="S99" i="252"/>
  <c r="T99" i="252" s="1"/>
  <c r="U99" i="252" s="1"/>
  <c r="D109" i="262" s="1"/>
  <c r="F109" i="262" s="1"/>
  <c r="L111" i="252"/>
  <c r="L132" i="252"/>
  <c r="M119" i="252"/>
  <c r="L119" i="252"/>
  <c r="L127" i="252"/>
  <c r="L120" i="252"/>
  <c r="M120" i="252"/>
  <c r="M124" i="252"/>
  <c r="L124" i="252"/>
  <c r="M131" i="252"/>
  <c r="L131" i="252"/>
  <c r="T121" i="252"/>
  <c r="M110" i="252"/>
  <c r="L110" i="252"/>
  <c r="M118" i="252"/>
  <c r="L118" i="252"/>
  <c r="L112" i="252"/>
  <c r="M112" i="252"/>
  <c r="M115" i="252"/>
  <c r="L115" i="252"/>
  <c r="O51" i="252"/>
  <c r="P51" i="252"/>
  <c r="L93" i="252"/>
  <c r="M93" i="252"/>
  <c r="L109" i="252"/>
  <c r="M109" i="252"/>
  <c r="L82" i="252"/>
  <c r="M82" i="252"/>
  <c r="L31" i="252"/>
  <c r="M31" i="252"/>
  <c r="M52" i="252"/>
  <c r="L52" i="252"/>
  <c r="L95" i="252"/>
  <c r="M95" i="252"/>
  <c r="L101" i="252"/>
  <c r="M101" i="252"/>
  <c r="M104" i="252"/>
  <c r="M59" i="252"/>
  <c r="L106" i="252"/>
  <c r="M27" i="252"/>
  <c r="L87" i="252"/>
  <c r="M36" i="252"/>
  <c r="L70" i="252"/>
  <c r="L89" i="252"/>
  <c r="L107" i="252"/>
  <c r="M81" i="252"/>
  <c r="L81" i="252"/>
  <c r="M58" i="252"/>
  <c r="L58" i="252"/>
  <c r="M78" i="252"/>
  <c r="L78" i="252"/>
  <c r="M44" i="252"/>
  <c r="L44" i="252"/>
  <c r="M35" i="252"/>
  <c r="L35" i="252"/>
  <c r="L46" i="252"/>
  <c r="M46" i="252"/>
  <c r="M34" i="252"/>
  <c r="L34" i="252"/>
  <c r="M50" i="252"/>
  <c r="L50" i="252"/>
  <c r="M85" i="252"/>
  <c r="L85" i="252"/>
  <c r="M45" i="252"/>
  <c r="L45" i="252"/>
  <c r="L108" i="252"/>
  <c r="M108" i="252"/>
  <c r="M86" i="252"/>
  <c r="L86" i="252"/>
  <c r="M28" i="252"/>
  <c r="L28" i="252"/>
  <c r="M105" i="252"/>
  <c r="L105" i="252"/>
  <c r="M68" i="252"/>
  <c r="L68" i="252"/>
  <c r="M75" i="252"/>
  <c r="L75" i="252"/>
  <c r="L49" i="252"/>
  <c r="M49" i="252"/>
  <c r="M69" i="252"/>
  <c r="L69" i="252"/>
  <c r="M102" i="252"/>
  <c r="L102" i="252"/>
  <c r="M57" i="252"/>
  <c r="L57" i="252"/>
  <c r="M56" i="252"/>
  <c r="L56" i="252"/>
  <c r="M26" i="252"/>
  <c r="L26" i="252"/>
  <c r="M29" i="252"/>
  <c r="L29" i="252"/>
  <c r="M54" i="252"/>
  <c r="L54" i="252"/>
  <c r="M23" i="252"/>
  <c r="L23" i="252"/>
  <c r="M100" i="252"/>
  <c r="L100" i="252"/>
  <c r="M91" i="252"/>
  <c r="L91" i="252"/>
  <c r="M53" i="252"/>
  <c r="L53" i="252"/>
  <c r="M61" i="252"/>
  <c r="L61" i="252"/>
  <c r="M47" i="252"/>
  <c r="L47" i="252"/>
  <c r="M24" i="252"/>
  <c r="L24" i="252"/>
  <c r="M71" i="252"/>
  <c r="L71" i="252"/>
  <c r="M73" i="252"/>
  <c r="L73" i="252"/>
  <c r="M84" i="252"/>
  <c r="L84" i="252"/>
  <c r="M43" i="252"/>
  <c r="L43" i="252"/>
  <c r="M103" i="252"/>
  <c r="L103" i="252"/>
  <c r="M96" i="252"/>
  <c r="L96" i="252"/>
  <c r="M32" i="252"/>
  <c r="L32" i="252"/>
  <c r="L77" i="252"/>
  <c r="M77" i="252"/>
  <c r="M92" i="252"/>
  <c r="L92" i="252"/>
  <c r="M94" i="252"/>
  <c r="L94" i="252"/>
  <c r="M63" i="252"/>
  <c r="L63" i="252"/>
  <c r="M90" i="252"/>
  <c r="L90" i="252"/>
  <c r="M25" i="252"/>
  <c r="L25" i="252"/>
  <c r="M72" i="252"/>
  <c r="L72" i="252"/>
  <c r="M64" i="252"/>
  <c r="L64" i="252"/>
  <c r="M60" i="252"/>
  <c r="L60" i="252"/>
  <c r="L40" i="252"/>
  <c r="M40" i="252"/>
  <c r="L79" i="252"/>
  <c r="M79" i="252"/>
  <c r="M37" i="252"/>
  <c r="L37" i="252"/>
  <c r="M62" i="252"/>
  <c r="L62" i="252"/>
  <c r="M88" i="252"/>
  <c r="L88" i="252"/>
  <c r="M22" i="252"/>
  <c r="L22" i="252"/>
  <c r="M80" i="252"/>
  <c r="L80" i="252"/>
  <c r="M55" i="252"/>
  <c r="L55" i="252"/>
  <c r="M48" i="252"/>
  <c r="L48" i="252"/>
  <c r="M38" i="252"/>
  <c r="L38" i="252"/>
  <c r="M67" i="252"/>
  <c r="L67" i="252"/>
  <c r="M42" i="252"/>
  <c r="L42" i="252"/>
  <c r="L21" i="252"/>
  <c r="K133" i="252"/>
  <c r="M21" i="252"/>
  <c r="M33" i="252"/>
  <c r="L33" i="252"/>
  <c r="M41" i="252"/>
  <c r="L41" i="252"/>
  <c r="M74" i="252"/>
  <c r="L74" i="252"/>
  <c r="M66" i="252"/>
  <c r="L66" i="252"/>
  <c r="M76" i="252"/>
  <c r="L76" i="252"/>
  <c r="M65" i="252"/>
  <c r="L65" i="252"/>
  <c r="M39" i="252"/>
  <c r="L39" i="252"/>
  <c r="M30" i="252"/>
  <c r="L30" i="252"/>
  <c r="M83" i="252"/>
  <c r="L83" i="252"/>
  <c r="N98" i="252" l="1"/>
  <c r="N114" i="252"/>
  <c r="P114" i="252" s="1"/>
  <c r="N129" i="252"/>
  <c r="N126" i="252"/>
  <c r="N125" i="252"/>
  <c r="P125" i="252" s="1"/>
  <c r="T123" i="252"/>
  <c r="G109" i="262"/>
  <c r="R99" i="256"/>
  <c r="R99" i="257" s="1"/>
  <c r="E99" i="255"/>
  <c r="F99" i="255" s="1"/>
  <c r="N111" i="252"/>
  <c r="P111" i="252" s="1"/>
  <c r="N124" i="252"/>
  <c r="N127" i="252"/>
  <c r="N131" i="252"/>
  <c r="N119" i="252"/>
  <c r="N132" i="252"/>
  <c r="N120" i="252"/>
  <c r="N115" i="252"/>
  <c r="N118" i="252"/>
  <c r="N110" i="252"/>
  <c r="N112" i="252"/>
  <c r="Q51" i="252"/>
  <c r="N93" i="252"/>
  <c r="N52" i="252"/>
  <c r="N101" i="252"/>
  <c r="N82" i="252"/>
  <c r="N95" i="252"/>
  <c r="N31" i="252"/>
  <c r="N109" i="252"/>
  <c r="N104" i="252"/>
  <c r="P104" i="252" s="1"/>
  <c r="M133" i="252"/>
  <c r="N39" i="252"/>
  <c r="O39" i="252" s="1"/>
  <c r="N70" i="252"/>
  <c r="P70" i="252" s="1"/>
  <c r="N22" i="252"/>
  <c r="O22" i="252" s="1"/>
  <c r="N72" i="252"/>
  <c r="N47" i="252"/>
  <c r="N50" i="252"/>
  <c r="N59" i="252"/>
  <c r="N26" i="252"/>
  <c r="N68" i="252"/>
  <c r="N96" i="252"/>
  <c r="N61" i="252"/>
  <c r="N34" i="252"/>
  <c r="N65" i="252"/>
  <c r="N42" i="252"/>
  <c r="N106" i="252"/>
  <c r="N27" i="252"/>
  <c r="N62" i="252"/>
  <c r="N90" i="252"/>
  <c r="N103" i="252"/>
  <c r="N87" i="252"/>
  <c r="N56" i="252"/>
  <c r="N105" i="252"/>
  <c r="N37" i="252"/>
  <c r="N43" i="252"/>
  <c r="N57" i="252"/>
  <c r="N28" i="252"/>
  <c r="N35" i="252"/>
  <c r="N89" i="252"/>
  <c r="N38" i="252"/>
  <c r="N91" i="252"/>
  <c r="N88" i="252"/>
  <c r="N94" i="252"/>
  <c r="N102" i="252"/>
  <c r="N86" i="252"/>
  <c r="N44" i="252"/>
  <c r="N25" i="252"/>
  <c r="N84" i="252"/>
  <c r="N48" i="252"/>
  <c r="N79" i="252"/>
  <c r="N100" i="252"/>
  <c r="N74" i="252"/>
  <c r="N92" i="252"/>
  <c r="N73" i="252"/>
  <c r="N69" i="252"/>
  <c r="N78" i="252"/>
  <c r="N76" i="252"/>
  <c r="N63" i="252"/>
  <c r="N55" i="252"/>
  <c r="N40" i="252"/>
  <c r="N23" i="252"/>
  <c r="N108" i="252"/>
  <c r="N53" i="252"/>
  <c r="N41" i="252"/>
  <c r="N60" i="252"/>
  <c r="N107" i="252"/>
  <c r="N71" i="252"/>
  <c r="N36" i="252"/>
  <c r="N45" i="252"/>
  <c r="N58" i="252"/>
  <c r="N46" i="252"/>
  <c r="N83" i="252"/>
  <c r="N54" i="252"/>
  <c r="L133" i="252"/>
  <c r="N21" i="252"/>
  <c r="N33" i="252"/>
  <c r="N80" i="252"/>
  <c r="N64" i="252"/>
  <c r="N77" i="252"/>
  <c r="N24" i="252"/>
  <c r="N49" i="252"/>
  <c r="N85" i="252"/>
  <c r="N81" i="252"/>
  <c r="N67" i="252"/>
  <c r="N66" i="252"/>
  <c r="N30" i="252"/>
  <c r="N32" i="252"/>
  <c r="N29" i="252"/>
  <c r="N75" i="252"/>
  <c r="P98" i="252" l="1"/>
  <c r="O98" i="252"/>
  <c r="O114" i="252"/>
  <c r="O125" i="252"/>
  <c r="P126" i="252"/>
  <c r="O126" i="252"/>
  <c r="P129" i="252"/>
  <c r="O129" i="252"/>
  <c r="I99" i="255"/>
  <c r="X99" i="255"/>
  <c r="O111" i="252"/>
  <c r="P120" i="252"/>
  <c r="O120" i="252"/>
  <c r="P127" i="252"/>
  <c r="O127" i="252"/>
  <c r="P132" i="252"/>
  <c r="O132" i="252"/>
  <c r="P124" i="252"/>
  <c r="O124" i="252"/>
  <c r="P119" i="252"/>
  <c r="O119" i="252"/>
  <c r="P131" i="252"/>
  <c r="O131" i="252"/>
  <c r="O110" i="252"/>
  <c r="P110" i="252"/>
  <c r="O118" i="252"/>
  <c r="P118" i="252"/>
  <c r="P112" i="252"/>
  <c r="O112" i="252"/>
  <c r="P115" i="252"/>
  <c r="O115" i="252"/>
  <c r="S51" i="252"/>
  <c r="R51" i="252"/>
  <c r="O93" i="252"/>
  <c r="P93" i="252"/>
  <c r="P39" i="252"/>
  <c r="O109" i="252"/>
  <c r="P109" i="252"/>
  <c r="P31" i="252"/>
  <c r="O31" i="252"/>
  <c r="P82" i="252"/>
  <c r="O82" i="252"/>
  <c r="O101" i="252"/>
  <c r="P101" i="252"/>
  <c r="O95" i="252"/>
  <c r="P95" i="252"/>
  <c r="O52" i="252"/>
  <c r="P52" i="252"/>
  <c r="O104" i="252"/>
  <c r="P22" i="252"/>
  <c r="O70" i="252"/>
  <c r="O46" i="252"/>
  <c r="P46" i="252"/>
  <c r="P69" i="252"/>
  <c r="O69" i="252"/>
  <c r="P89" i="252"/>
  <c r="O89" i="252"/>
  <c r="P27" i="252"/>
  <c r="O27" i="252"/>
  <c r="P30" i="252"/>
  <c r="O30" i="252"/>
  <c r="P58" i="252"/>
  <c r="O58" i="252"/>
  <c r="P73" i="252"/>
  <c r="O73" i="252"/>
  <c r="P106" i="252"/>
  <c r="O106" i="252"/>
  <c r="P29" i="252"/>
  <c r="O29" i="252"/>
  <c r="P66" i="252"/>
  <c r="O66" i="252"/>
  <c r="P45" i="252"/>
  <c r="O45" i="252"/>
  <c r="P92" i="252"/>
  <c r="O92" i="252"/>
  <c r="P42" i="252"/>
  <c r="O42" i="252"/>
  <c r="P83" i="252"/>
  <c r="O83" i="252"/>
  <c r="O36" i="252"/>
  <c r="P36" i="252"/>
  <c r="P74" i="252"/>
  <c r="O74" i="252"/>
  <c r="P35" i="252"/>
  <c r="O35" i="252"/>
  <c r="P65" i="252"/>
  <c r="O65" i="252"/>
  <c r="P71" i="252"/>
  <c r="O71" i="252"/>
  <c r="P100" i="252"/>
  <c r="O100" i="252"/>
  <c r="P28" i="252"/>
  <c r="O28" i="252"/>
  <c r="P34" i="252"/>
  <c r="O34" i="252"/>
  <c r="P67" i="252"/>
  <c r="O67" i="252"/>
  <c r="P107" i="252"/>
  <c r="O107" i="252"/>
  <c r="O79" i="252"/>
  <c r="P79" i="252"/>
  <c r="P57" i="252"/>
  <c r="O57" i="252"/>
  <c r="P61" i="252"/>
  <c r="O61" i="252"/>
  <c r="P32" i="252"/>
  <c r="O32" i="252"/>
  <c r="P60" i="252"/>
  <c r="O60" i="252"/>
  <c r="P48" i="252"/>
  <c r="O48" i="252"/>
  <c r="P43" i="252"/>
  <c r="O43" i="252"/>
  <c r="P96" i="252"/>
  <c r="O96" i="252"/>
  <c r="P85" i="252"/>
  <c r="O85" i="252"/>
  <c r="P41" i="252"/>
  <c r="O41" i="252"/>
  <c r="P84" i="252"/>
  <c r="O84" i="252"/>
  <c r="P37" i="252"/>
  <c r="O37" i="252"/>
  <c r="P68" i="252"/>
  <c r="O68" i="252"/>
  <c r="P81" i="252"/>
  <c r="O81" i="252"/>
  <c r="P53" i="252"/>
  <c r="O53" i="252"/>
  <c r="P25" i="252"/>
  <c r="O25" i="252"/>
  <c r="P105" i="252"/>
  <c r="O105" i="252"/>
  <c r="P26" i="252"/>
  <c r="O26" i="252"/>
  <c r="P49" i="252"/>
  <c r="O49" i="252"/>
  <c r="P108" i="252"/>
  <c r="O108" i="252"/>
  <c r="P44" i="252"/>
  <c r="O44" i="252"/>
  <c r="P56" i="252"/>
  <c r="O56" i="252"/>
  <c r="P59" i="252"/>
  <c r="O59" i="252"/>
  <c r="P64" i="252"/>
  <c r="O64" i="252"/>
  <c r="P23" i="252"/>
  <c r="O23" i="252"/>
  <c r="P86" i="252"/>
  <c r="O86" i="252"/>
  <c r="P87" i="252"/>
  <c r="O87" i="252"/>
  <c r="P50" i="252"/>
  <c r="O50" i="252"/>
  <c r="P78" i="252"/>
  <c r="O78" i="252"/>
  <c r="P80" i="252"/>
  <c r="O80" i="252"/>
  <c r="P40" i="252"/>
  <c r="O40" i="252"/>
  <c r="P102" i="252"/>
  <c r="O102" i="252"/>
  <c r="P103" i="252"/>
  <c r="O103" i="252"/>
  <c r="P47" i="252"/>
  <c r="O47" i="252"/>
  <c r="P38" i="252"/>
  <c r="O38" i="252"/>
  <c r="P33" i="252"/>
  <c r="O33" i="252"/>
  <c r="P55" i="252"/>
  <c r="O55" i="252"/>
  <c r="P94" i="252"/>
  <c r="O94" i="252"/>
  <c r="P90" i="252"/>
  <c r="O90" i="252"/>
  <c r="O72" i="252"/>
  <c r="P72" i="252"/>
  <c r="P24" i="252"/>
  <c r="O24" i="252"/>
  <c r="O21" i="252"/>
  <c r="N133" i="252"/>
  <c r="P21" i="252"/>
  <c r="P63" i="252"/>
  <c r="O63" i="252"/>
  <c r="O88" i="252"/>
  <c r="P88" i="252"/>
  <c r="P62" i="252"/>
  <c r="O62" i="252"/>
  <c r="O77" i="252"/>
  <c r="P77" i="252"/>
  <c r="P75" i="252"/>
  <c r="O75" i="252"/>
  <c r="P54" i="252"/>
  <c r="O54" i="252"/>
  <c r="P76" i="252"/>
  <c r="O76" i="252"/>
  <c r="O91" i="252"/>
  <c r="P91" i="252"/>
  <c r="Q98" i="252" l="1"/>
  <c r="Q125" i="252"/>
  <c r="S125" i="252" s="1"/>
  <c r="Q114" i="252"/>
  <c r="S114" i="252" s="1"/>
  <c r="Q129" i="252"/>
  <c r="Q126" i="252"/>
  <c r="Q111" i="252"/>
  <c r="R111" i="252" s="1"/>
  <c r="Q124" i="252"/>
  <c r="Q127" i="252"/>
  <c r="Q119" i="252"/>
  <c r="Q132" i="252"/>
  <c r="Q120" i="252"/>
  <c r="Q131" i="252"/>
  <c r="Q118" i="252"/>
  <c r="Q115" i="252"/>
  <c r="Q112" i="252"/>
  <c r="Q110" i="252"/>
  <c r="T51" i="252"/>
  <c r="U51" i="252" s="1"/>
  <c r="Q93" i="252"/>
  <c r="Q101" i="252"/>
  <c r="Q82" i="252"/>
  <c r="Q52" i="252"/>
  <c r="Q31" i="252"/>
  <c r="Q109" i="252"/>
  <c r="Q95" i="252"/>
  <c r="Q104" i="252"/>
  <c r="Q70" i="252"/>
  <c r="S70" i="252" s="1"/>
  <c r="Q90" i="252"/>
  <c r="R90" i="252" s="1"/>
  <c r="Q40" i="252"/>
  <c r="S40" i="252" s="1"/>
  <c r="Q53" i="252"/>
  <c r="S53" i="252" s="1"/>
  <c r="Q59" i="252"/>
  <c r="S59" i="252" s="1"/>
  <c r="Q80" i="252"/>
  <c r="S80" i="252" s="1"/>
  <c r="Q77" i="252"/>
  <c r="S77" i="252" s="1"/>
  <c r="Q94" i="252"/>
  <c r="R94" i="252" s="1"/>
  <c r="Q22" i="252"/>
  <c r="S22" i="252" s="1"/>
  <c r="Q72" i="252"/>
  <c r="Q43" i="252"/>
  <c r="Q67" i="252"/>
  <c r="Q36" i="252"/>
  <c r="Q73" i="252"/>
  <c r="Q81" i="252"/>
  <c r="Q48" i="252"/>
  <c r="Q34" i="252"/>
  <c r="Q83" i="252"/>
  <c r="Q56" i="252"/>
  <c r="Q62" i="252"/>
  <c r="Q58" i="252"/>
  <c r="Q68" i="252"/>
  <c r="Q28" i="252"/>
  <c r="Q42" i="252"/>
  <c r="Q60" i="252"/>
  <c r="Q30" i="252"/>
  <c r="Q33" i="252"/>
  <c r="Q37" i="252"/>
  <c r="Q32" i="252"/>
  <c r="Q100" i="252"/>
  <c r="Q92" i="252"/>
  <c r="Q88" i="252"/>
  <c r="Q27" i="252"/>
  <c r="Q78" i="252"/>
  <c r="Q87" i="252"/>
  <c r="Q84" i="252"/>
  <c r="Q61" i="252"/>
  <c r="Q71" i="252"/>
  <c r="Q45" i="252"/>
  <c r="Q44" i="252"/>
  <c r="Q49" i="252"/>
  <c r="Q91" i="252"/>
  <c r="P133" i="252"/>
  <c r="Q89" i="252"/>
  <c r="Q50" i="252"/>
  <c r="Q86" i="252"/>
  <c r="Q41" i="252"/>
  <c r="Q57" i="252"/>
  <c r="Q65" i="252"/>
  <c r="Q66" i="252"/>
  <c r="Q55" i="252"/>
  <c r="Q38" i="252"/>
  <c r="Q47" i="252"/>
  <c r="Q26" i="252"/>
  <c r="O133" i="252"/>
  <c r="Q21" i="252"/>
  <c r="Q69" i="252"/>
  <c r="Q108" i="252"/>
  <c r="Q76" i="252"/>
  <c r="Q103" i="252"/>
  <c r="Q85" i="252"/>
  <c r="Q35" i="252"/>
  <c r="Q29" i="252"/>
  <c r="Q63" i="252"/>
  <c r="Q24" i="252"/>
  <c r="Q105" i="252"/>
  <c r="Q79" i="252"/>
  <c r="Q39" i="252"/>
  <c r="Q54" i="252"/>
  <c r="Q23" i="252"/>
  <c r="Q75" i="252"/>
  <c r="Q102" i="252"/>
  <c r="Q64" i="252"/>
  <c r="Q25" i="252"/>
  <c r="Q96" i="252"/>
  <c r="Q107" i="252"/>
  <c r="Q74" i="252"/>
  <c r="Q106" i="252"/>
  <c r="Q46" i="252"/>
  <c r="R98" i="252" l="1"/>
  <c r="S98" i="252"/>
  <c r="R114" i="252"/>
  <c r="R125" i="252"/>
  <c r="S126" i="252"/>
  <c r="R126" i="252"/>
  <c r="S129" i="252"/>
  <c r="R129" i="252"/>
  <c r="S111" i="252"/>
  <c r="S131" i="252"/>
  <c r="R131" i="252"/>
  <c r="S127" i="252"/>
  <c r="R127" i="252"/>
  <c r="R120" i="252"/>
  <c r="S120" i="252"/>
  <c r="S124" i="252"/>
  <c r="R124" i="252"/>
  <c r="S132" i="252"/>
  <c r="R132" i="252"/>
  <c r="R119" i="252"/>
  <c r="S119" i="252"/>
  <c r="S112" i="252"/>
  <c r="R112" i="252"/>
  <c r="R110" i="252"/>
  <c r="S110" i="252"/>
  <c r="R115" i="252"/>
  <c r="S115" i="252"/>
  <c r="R118" i="252"/>
  <c r="S118" i="252"/>
  <c r="D61" i="262"/>
  <c r="F61" i="262" s="1"/>
  <c r="S90" i="252"/>
  <c r="S93" i="252"/>
  <c r="R93" i="252"/>
  <c r="R95" i="252"/>
  <c r="S95" i="252"/>
  <c r="R52" i="252"/>
  <c r="S52" i="252"/>
  <c r="S109" i="252"/>
  <c r="R109" i="252"/>
  <c r="S31" i="252"/>
  <c r="R31" i="252"/>
  <c r="S82" i="252"/>
  <c r="R82" i="252"/>
  <c r="R101" i="252"/>
  <c r="S101" i="252"/>
  <c r="R77" i="252"/>
  <c r="S104" i="252"/>
  <c r="R104" i="252"/>
  <c r="R40" i="252"/>
  <c r="R70" i="252"/>
  <c r="R80" i="252"/>
  <c r="S94" i="252"/>
  <c r="R53" i="252"/>
  <c r="R59" i="252"/>
  <c r="R22" i="252"/>
  <c r="R75" i="252"/>
  <c r="S75" i="252"/>
  <c r="S76" i="252"/>
  <c r="R76" i="252"/>
  <c r="S92" i="252"/>
  <c r="R92" i="252"/>
  <c r="S58" i="252"/>
  <c r="R58" i="252"/>
  <c r="S108" i="252"/>
  <c r="R108" i="252"/>
  <c r="S89" i="252"/>
  <c r="R89" i="252"/>
  <c r="S100" i="252"/>
  <c r="R100" i="252"/>
  <c r="S62" i="252"/>
  <c r="R62" i="252"/>
  <c r="S54" i="252"/>
  <c r="R54" i="252"/>
  <c r="S69" i="252"/>
  <c r="R69" i="252"/>
  <c r="S32" i="252"/>
  <c r="R32" i="252"/>
  <c r="S56" i="252"/>
  <c r="R56" i="252"/>
  <c r="R21" i="252"/>
  <c r="Q133" i="252"/>
  <c r="S21" i="252"/>
  <c r="R91" i="252"/>
  <c r="S91" i="252"/>
  <c r="S37" i="252"/>
  <c r="R37" i="252"/>
  <c r="S83" i="252"/>
  <c r="R83" i="252"/>
  <c r="S39" i="252"/>
  <c r="R39" i="252"/>
  <c r="S49" i="252"/>
  <c r="R49" i="252"/>
  <c r="S33" i="252"/>
  <c r="R33" i="252"/>
  <c r="S34" i="252"/>
  <c r="R34" i="252"/>
  <c r="S23" i="252"/>
  <c r="R23" i="252"/>
  <c r="S26" i="252"/>
  <c r="R26" i="252"/>
  <c r="S44" i="252"/>
  <c r="R44" i="252"/>
  <c r="S48" i="252"/>
  <c r="R48" i="252"/>
  <c r="S79" i="252"/>
  <c r="R79" i="252"/>
  <c r="S47" i="252"/>
  <c r="R47" i="252"/>
  <c r="R45" i="252"/>
  <c r="S45" i="252"/>
  <c r="S81" i="252"/>
  <c r="R81" i="252"/>
  <c r="S105" i="252"/>
  <c r="R105" i="252"/>
  <c r="S38" i="252"/>
  <c r="R38" i="252"/>
  <c r="S71" i="252"/>
  <c r="R71" i="252"/>
  <c r="S30" i="252"/>
  <c r="R30" i="252"/>
  <c r="S73" i="252"/>
  <c r="R73" i="252"/>
  <c r="S55" i="252"/>
  <c r="R55" i="252"/>
  <c r="S61" i="252"/>
  <c r="R61" i="252"/>
  <c r="S60" i="252"/>
  <c r="R60" i="252"/>
  <c r="S36" i="252"/>
  <c r="R36" i="252"/>
  <c r="S63" i="252"/>
  <c r="R63" i="252"/>
  <c r="S66" i="252"/>
  <c r="R66" i="252"/>
  <c r="S84" i="252"/>
  <c r="R84" i="252"/>
  <c r="S67" i="252"/>
  <c r="R67" i="252"/>
  <c r="S74" i="252"/>
  <c r="R74" i="252"/>
  <c r="S65" i="252"/>
  <c r="R65" i="252"/>
  <c r="S87" i="252"/>
  <c r="R87" i="252"/>
  <c r="S43" i="252"/>
  <c r="R43" i="252"/>
  <c r="S107" i="252"/>
  <c r="R107" i="252"/>
  <c r="S57" i="252"/>
  <c r="R57" i="252"/>
  <c r="S78" i="252"/>
  <c r="R78" i="252"/>
  <c r="S42" i="252"/>
  <c r="R42" i="252"/>
  <c r="S106" i="252"/>
  <c r="R106" i="252"/>
  <c r="S29" i="252"/>
  <c r="R29" i="252"/>
  <c r="S41" i="252"/>
  <c r="R41" i="252"/>
  <c r="S27" i="252"/>
  <c r="R27" i="252"/>
  <c r="S28" i="252"/>
  <c r="R28" i="252"/>
  <c r="S24" i="252"/>
  <c r="R24" i="252"/>
  <c r="S35" i="252"/>
  <c r="R35" i="252"/>
  <c r="R88" i="252"/>
  <c r="S88" i="252"/>
  <c r="S68" i="252"/>
  <c r="R68" i="252"/>
  <c r="R72" i="252"/>
  <c r="S72" i="252"/>
  <c r="S96" i="252"/>
  <c r="R96" i="252"/>
  <c r="S86" i="252"/>
  <c r="R86" i="252"/>
  <c r="S85" i="252"/>
  <c r="R85" i="252"/>
  <c r="S50" i="252"/>
  <c r="R50" i="252"/>
  <c r="S46" i="252"/>
  <c r="R46" i="252"/>
  <c r="S25" i="252"/>
  <c r="R25" i="252"/>
  <c r="S64" i="252"/>
  <c r="R64" i="252"/>
  <c r="S102" i="252"/>
  <c r="R102" i="252"/>
  <c r="S103" i="252"/>
  <c r="R103" i="252"/>
  <c r="T98" i="252" l="1"/>
  <c r="U98" i="252" s="1"/>
  <c r="D108" i="262" s="1"/>
  <c r="F108" i="262" s="1"/>
  <c r="T125" i="252"/>
  <c r="U125" i="252" s="1"/>
  <c r="D135" i="262" s="1"/>
  <c r="F135" i="262" s="1"/>
  <c r="T126" i="252"/>
  <c r="U126" i="252" s="1"/>
  <c r="D136" i="262" s="1"/>
  <c r="T129" i="252"/>
  <c r="U129" i="252" s="1"/>
  <c r="D139" i="262" s="1"/>
  <c r="F139" i="262" s="1"/>
  <c r="T114" i="252"/>
  <c r="U114" i="252" s="1"/>
  <c r="D124" i="262" s="1"/>
  <c r="F124" i="262" s="1"/>
  <c r="T111" i="252"/>
  <c r="U111" i="252" s="1"/>
  <c r="D121" i="262" s="1"/>
  <c r="T127" i="252"/>
  <c r="U127" i="252" s="1"/>
  <c r="D137" i="262" s="1"/>
  <c r="T119" i="252"/>
  <c r="U119" i="252" s="1"/>
  <c r="D129" i="262" s="1"/>
  <c r="F129" i="262" s="1"/>
  <c r="R119" i="256" s="1"/>
  <c r="R119" i="257" s="1"/>
  <c r="T132" i="252"/>
  <c r="U132" i="252" s="1"/>
  <c r="D142" i="262" s="1"/>
  <c r="F142" i="262" s="1"/>
  <c r="R132" i="256" s="1"/>
  <c r="R132" i="257" s="1"/>
  <c r="T131" i="252"/>
  <c r="U131" i="252" s="1"/>
  <c r="D141" i="262" s="1"/>
  <c r="T124" i="252"/>
  <c r="U124" i="252" s="1"/>
  <c r="D134" i="262" s="1"/>
  <c r="T120" i="252"/>
  <c r="U120" i="252" s="1"/>
  <c r="D130" i="262" s="1"/>
  <c r="T118" i="252"/>
  <c r="U118" i="252" s="1"/>
  <c r="D128" i="262" s="1"/>
  <c r="T110" i="252"/>
  <c r="U110" i="252" s="1"/>
  <c r="D120" i="262" s="1"/>
  <c r="T112" i="252"/>
  <c r="U112" i="252" s="1"/>
  <c r="D122" i="262" s="1"/>
  <c r="F122" i="262" s="1"/>
  <c r="T115" i="252"/>
  <c r="U115" i="252" s="1"/>
  <c r="D127" i="262"/>
  <c r="D123" i="262"/>
  <c r="F123" i="262" s="1"/>
  <c r="D126" i="262"/>
  <c r="G61" i="262"/>
  <c r="E51" i="255"/>
  <c r="F51" i="255" s="1"/>
  <c r="R51" i="256"/>
  <c r="R51" i="257" s="1"/>
  <c r="T93" i="252"/>
  <c r="U93" i="252" s="1"/>
  <c r="D103" i="262" s="1"/>
  <c r="F103" i="262" s="1"/>
  <c r="T101" i="252"/>
  <c r="U101" i="252" s="1"/>
  <c r="D111" i="262" s="1"/>
  <c r="F111" i="262" s="1"/>
  <c r="T82" i="252"/>
  <c r="U82" i="252" s="1"/>
  <c r="D92" i="262" s="1"/>
  <c r="F92" i="262" s="1"/>
  <c r="T52" i="252"/>
  <c r="U52" i="252" s="1"/>
  <c r="D62" i="262" s="1"/>
  <c r="F62" i="262" s="1"/>
  <c r="T31" i="252"/>
  <c r="U31" i="252" s="1"/>
  <c r="D41" i="262" s="1"/>
  <c r="T109" i="252"/>
  <c r="U109" i="252" s="1"/>
  <c r="D119" i="262" s="1"/>
  <c r="T95" i="252"/>
  <c r="U95" i="252" s="1"/>
  <c r="D105" i="262" s="1"/>
  <c r="T104" i="252"/>
  <c r="U104" i="252" s="1"/>
  <c r="D114" i="262" s="1"/>
  <c r="F114" i="262" s="1"/>
  <c r="T53" i="252"/>
  <c r="U53" i="252" s="1"/>
  <c r="D63" i="262" s="1"/>
  <c r="T41" i="252"/>
  <c r="U41" i="252" s="1"/>
  <c r="D51" i="262" s="1"/>
  <c r="T102" i="252"/>
  <c r="U102" i="252" s="1"/>
  <c r="D112" i="262" s="1"/>
  <c r="T96" i="252"/>
  <c r="U96" i="252" s="1"/>
  <c r="D106" i="262" s="1"/>
  <c r="T64" i="252"/>
  <c r="U64" i="252" s="1"/>
  <c r="D74" i="262" s="1"/>
  <c r="T29" i="252"/>
  <c r="U29" i="252" s="1"/>
  <c r="D39" i="262" s="1"/>
  <c r="T43" i="252"/>
  <c r="U43" i="252" s="1"/>
  <c r="T63" i="252"/>
  <c r="U63" i="252" s="1"/>
  <c r="T38" i="252"/>
  <c r="U38" i="252" s="1"/>
  <c r="T37" i="252"/>
  <c r="U37" i="252" s="1"/>
  <c r="T26" i="252"/>
  <c r="U26" i="252" s="1"/>
  <c r="T100" i="252"/>
  <c r="U100" i="252" s="1"/>
  <c r="T87" i="252"/>
  <c r="U87" i="252" s="1"/>
  <c r="T36" i="252"/>
  <c r="U36" i="252" s="1"/>
  <c r="T105" i="252"/>
  <c r="U105" i="252" s="1"/>
  <c r="T23" i="252"/>
  <c r="U23" i="252" s="1"/>
  <c r="T91" i="252"/>
  <c r="U91" i="252" s="1"/>
  <c r="T89" i="252"/>
  <c r="U89" i="252" s="1"/>
  <c r="T65" i="252"/>
  <c r="U65" i="252" s="1"/>
  <c r="T60" i="252"/>
  <c r="U60" i="252" s="1"/>
  <c r="T81" i="252"/>
  <c r="U81" i="252" s="1"/>
  <c r="S133" i="252"/>
  <c r="T34" i="252"/>
  <c r="U34" i="252" s="1"/>
  <c r="T108" i="252"/>
  <c r="U108" i="252" s="1"/>
  <c r="T68" i="252"/>
  <c r="U68" i="252" s="1"/>
  <c r="T94" i="252"/>
  <c r="U94" i="252" s="1"/>
  <c r="T61" i="252"/>
  <c r="U61" i="252" s="1"/>
  <c r="R133" i="252"/>
  <c r="T21" i="252"/>
  <c r="T25" i="252"/>
  <c r="U25" i="252" s="1"/>
  <c r="T45" i="252"/>
  <c r="U45" i="252" s="1"/>
  <c r="T33" i="252"/>
  <c r="U33" i="252" s="1"/>
  <c r="T56" i="252"/>
  <c r="U56" i="252" s="1"/>
  <c r="T58" i="252"/>
  <c r="U58" i="252" s="1"/>
  <c r="T42" i="252"/>
  <c r="U42" i="252" s="1"/>
  <c r="T55" i="252"/>
  <c r="U55" i="252" s="1"/>
  <c r="T47" i="252"/>
  <c r="U47" i="252" s="1"/>
  <c r="T22" i="252"/>
  <c r="U22" i="252" s="1"/>
  <c r="T67" i="252"/>
  <c r="U67" i="252" s="1"/>
  <c r="T49" i="252"/>
  <c r="U49" i="252" s="1"/>
  <c r="T32" i="252"/>
  <c r="U32" i="252" s="1"/>
  <c r="T92" i="252"/>
  <c r="U92" i="252" s="1"/>
  <c r="T46" i="252"/>
  <c r="U46" i="252" s="1"/>
  <c r="T90" i="252"/>
  <c r="U90" i="252" s="1"/>
  <c r="T78" i="252"/>
  <c r="U78" i="252" s="1"/>
  <c r="T73" i="252"/>
  <c r="U73" i="252" s="1"/>
  <c r="T79" i="252"/>
  <c r="U79" i="252" s="1"/>
  <c r="T72" i="252"/>
  <c r="U72" i="252" s="1"/>
  <c r="T35" i="252"/>
  <c r="U35" i="252" s="1"/>
  <c r="T50" i="252"/>
  <c r="U50" i="252" s="1"/>
  <c r="T24" i="252"/>
  <c r="U24" i="252" s="1"/>
  <c r="T70" i="252"/>
  <c r="U70" i="252" s="1"/>
  <c r="T80" i="252"/>
  <c r="U80" i="252" s="1"/>
  <c r="T69" i="252"/>
  <c r="U69" i="252" s="1"/>
  <c r="T77" i="252"/>
  <c r="U77" i="252" s="1"/>
  <c r="T57" i="252"/>
  <c r="U57" i="252" s="1"/>
  <c r="T84" i="252"/>
  <c r="U84" i="252" s="1"/>
  <c r="T30" i="252"/>
  <c r="U30" i="252" s="1"/>
  <c r="T48" i="252"/>
  <c r="U48" i="252" s="1"/>
  <c r="T39" i="252"/>
  <c r="U39" i="252" s="1"/>
  <c r="T76" i="252"/>
  <c r="U76" i="252" s="1"/>
  <c r="T74" i="252"/>
  <c r="U74" i="252" s="1"/>
  <c r="T85" i="252"/>
  <c r="U85" i="252" s="1"/>
  <c r="T28" i="252"/>
  <c r="U28" i="252" s="1"/>
  <c r="T54" i="252"/>
  <c r="U54" i="252" s="1"/>
  <c r="T106" i="252"/>
  <c r="U106" i="252" s="1"/>
  <c r="T88" i="252"/>
  <c r="U88" i="252" s="1"/>
  <c r="T107" i="252"/>
  <c r="U107" i="252" s="1"/>
  <c r="T66" i="252"/>
  <c r="U66" i="252" s="1"/>
  <c r="T71" i="252"/>
  <c r="U71" i="252" s="1"/>
  <c r="T59" i="252"/>
  <c r="U59" i="252" s="1"/>
  <c r="T83" i="252"/>
  <c r="U83" i="252" s="1"/>
  <c r="T40" i="252"/>
  <c r="U40" i="252" s="1"/>
  <c r="T103" i="252"/>
  <c r="U103" i="252" s="1"/>
  <c r="T86" i="252"/>
  <c r="U86" i="252" s="1"/>
  <c r="T27" i="252"/>
  <c r="U27" i="252" s="1"/>
  <c r="T44" i="252"/>
  <c r="U44" i="252" s="1"/>
  <c r="T62" i="252"/>
  <c r="U62" i="252" s="1"/>
  <c r="T75" i="252"/>
  <c r="U75" i="252" s="1"/>
  <c r="G108" i="262" l="1"/>
  <c r="E98" i="255"/>
  <c r="F98" i="255" s="1"/>
  <c r="R98" i="256"/>
  <c r="R98" i="257" s="1"/>
  <c r="G139" i="262"/>
  <c r="R129" i="256"/>
  <c r="R129" i="257" s="1"/>
  <c r="E129" i="255"/>
  <c r="F129" i="255" s="1"/>
  <c r="F136" i="262"/>
  <c r="G136" i="262" s="1"/>
  <c r="G135" i="262"/>
  <c r="E125" i="255"/>
  <c r="F125" i="255" s="1"/>
  <c r="R125" i="256"/>
  <c r="R125" i="257" s="1"/>
  <c r="F141" i="262"/>
  <c r="G142" i="262"/>
  <c r="E132" i="255"/>
  <c r="F132" i="255" s="1"/>
  <c r="F130" i="262"/>
  <c r="G129" i="262"/>
  <c r="E119" i="255"/>
  <c r="F119" i="255" s="1"/>
  <c r="F134" i="262"/>
  <c r="F137" i="262"/>
  <c r="R127" i="256" s="1"/>
  <c r="R127" i="257" s="1"/>
  <c r="F128" i="262"/>
  <c r="R118" i="256" s="1"/>
  <c r="R118" i="257" s="1"/>
  <c r="D125" i="262"/>
  <c r="F125" i="262" s="1"/>
  <c r="G125" i="262" s="1"/>
  <c r="G124" i="262"/>
  <c r="E114" i="255"/>
  <c r="F114" i="255" s="1"/>
  <c r="R114" i="256"/>
  <c r="R114" i="257" s="1"/>
  <c r="E117" i="255"/>
  <c r="F117" i="255" s="1"/>
  <c r="R117" i="256"/>
  <c r="R117" i="257" s="1"/>
  <c r="R116" i="256"/>
  <c r="R116" i="257" s="1"/>
  <c r="E116" i="255"/>
  <c r="F116" i="255" s="1"/>
  <c r="G123" i="262"/>
  <c r="R113" i="256"/>
  <c r="R113" i="257" s="1"/>
  <c r="E113" i="255"/>
  <c r="F113" i="255" s="1"/>
  <c r="F121" i="262"/>
  <c r="G121" i="262" s="1"/>
  <c r="G103" i="262"/>
  <c r="R93" i="256"/>
  <c r="R93" i="257" s="1"/>
  <c r="E93" i="255"/>
  <c r="F93" i="255" s="1"/>
  <c r="F105" i="262"/>
  <c r="G105" i="262" s="1"/>
  <c r="G62" i="262"/>
  <c r="E52" i="255"/>
  <c r="F52" i="255" s="1"/>
  <c r="R52" i="256"/>
  <c r="R52" i="257" s="1"/>
  <c r="F119" i="262"/>
  <c r="G119" i="262" s="1"/>
  <c r="F120" i="262"/>
  <c r="F41" i="262"/>
  <c r="G41" i="262" s="1"/>
  <c r="G92" i="262"/>
  <c r="R82" i="256"/>
  <c r="R82" i="257" s="1"/>
  <c r="E82" i="255"/>
  <c r="F82" i="255" s="1"/>
  <c r="G122" i="262"/>
  <c r="R112" i="256"/>
  <c r="R112" i="257" s="1"/>
  <c r="E112" i="255"/>
  <c r="F112" i="255" s="1"/>
  <c r="G111" i="262"/>
  <c r="E101" i="255"/>
  <c r="F101" i="255" s="1"/>
  <c r="R101" i="256"/>
  <c r="R101" i="257" s="1"/>
  <c r="G114" i="262"/>
  <c r="R104" i="256"/>
  <c r="R104" i="257" s="1"/>
  <c r="E104" i="255"/>
  <c r="F104" i="255" s="1"/>
  <c r="D50" i="262"/>
  <c r="D58" i="262"/>
  <c r="D88" i="262"/>
  <c r="D66" i="262"/>
  <c r="D113" i="262"/>
  <c r="D40" i="262"/>
  <c r="D100" i="262"/>
  <c r="D43" i="262"/>
  <c r="D99" i="262"/>
  <c r="D96" i="262"/>
  <c r="D94" i="262"/>
  <c r="D56" i="262"/>
  <c r="D55" i="262"/>
  <c r="D101" i="262"/>
  <c r="D93" i="262"/>
  <c r="D67" i="262"/>
  <c r="F51" i="262"/>
  <c r="G51" i="262" s="1"/>
  <c r="D35" i="262"/>
  <c r="D33" i="262"/>
  <c r="D69" i="262"/>
  <c r="D87" i="262"/>
  <c r="T133" i="252"/>
  <c r="U21" i="252"/>
  <c r="V98" i="252" s="1"/>
  <c r="D115" i="262"/>
  <c r="D83" i="262"/>
  <c r="D81" i="262"/>
  <c r="D79" i="262"/>
  <c r="D102" i="262"/>
  <c r="D46" i="262"/>
  <c r="D76" i="262"/>
  <c r="D90" i="262"/>
  <c r="D42" i="262"/>
  <c r="D71" i="262"/>
  <c r="D97" i="262"/>
  <c r="D49" i="262"/>
  <c r="D80" i="262"/>
  <c r="D59" i="262"/>
  <c r="D104" i="262"/>
  <c r="D110" i="262"/>
  <c r="D117" i="262"/>
  <c r="D34" i="262"/>
  <c r="D77" i="262"/>
  <c r="D78" i="262"/>
  <c r="D36" i="262"/>
  <c r="D68" i="262"/>
  <c r="F74" i="262"/>
  <c r="G74" i="262" s="1"/>
  <c r="F112" i="262"/>
  <c r="G112" i="262" s="1"/>
  <c r="D60" i="262"/>
  <c r="D32" i="262"/>
  <c r="D118" i="262"/>
  <c r="D47" i="262"/>
  <c r="D85" i="262"/>
  <c r="D64" i="262"/>
  <c r="D45" i="262"/>
  <c r="F39" i="262"/>
  <c r="G39" i="262" s="1"/>
  <c r="D44" i="262"/>
  <c r="D48" i="262"/>
  <c r="D116" i="262"/>
  <c r="D72" i="262"/>
  <c r="D38" i="262"/>
  <c r="D82" i="262"/>
  <c r="D73" i="262"/>
  <c r="D54" i="262"/>
  <c r="D95" i="262"/>
  <c r="F106" i="262"/>
  <c r="G106" i="262" s="1"/>
  <c r="D57" i="262"/>
  <c r="D91" i="262"/>
  <c r="D53" i="262"/>
  <c r="D98" i="262"/>
  <c r="D37" i="262"/>
  <c r="D84" i="262"/>
  <c r="D65" i="262"/>
  <c r="D70" i="262"/>
  <c r="F63" i="262"/>
  <c r="D86" i="262"/>
  <c r="D89" i="262"/>
  <c r="D52" i="262"/>
  <c r="D75" i="262"/>
  <c r="E126" i="255" l="1"/>
  <c r="F126" i="255" s="1"/>
  <c r="R126" i="256"/>
  <c r="R126" i="257" s="1"/>
  <c r="V126" i="252"/>
  <c r="V129" i="252"/>
  <c r="V123" i="252"/>
  <c r="V125" i="252"/>
  <c r="V99" i="252"/>
  <c r="V114" i="252"/>
  <c r="G130" i="262"/>
  <c r="R120" i="256"/>
  <c r="R120" i="257" s="1"/>
  <c r="G134" i="262"/>
  <c r="R124" i="256"/>
  <c r="R124" i="257" s="1"/>
  <c r="G141" i="262"/>
  <c r="R131" i="256"/>
  <c r="R131" i="257" s="1"/>
  <c r="E127" i="255"/>
  <c r="F127" i="255" s="1"/>
  <c r="E124" i="255"/>
  <c r="F124" i="255" s="1"/>
  <c r="G137" i="262"/>
  <c r="E120" i="255"/>
  <c r="F120" i="255" s="1"/>
  <c r="E131" i="255"/>
  <c r="F131" i="255" s="1"/>
  <c r="V132" i="252"/>
  <c r="V131" i="252"/>
  <c r="V119" i="252"/>
  <c r="V127" i="252"/>
  <c r="V124" i="252"/>
  <c r="V111" i="252"/>
  <c r="V120" i="252"/>
  <c r="V121" i="252"/>
  <c r="G128" i="262"/>
  <c r="E118" i="255"/>
  <c r="F118" i="255" s="1"/>
  <c r="V118" i="252"/>
  <c r="V110" i="252"/>
  <c r="V112" i="252"/>
  <c r="V115" i="252"/>
  <c r="V62" i="252"/>
  <c r="R115" i="256"/>
  <c r="R115" i="257" s="1"/>
  <c r="E115" i="255"/>
  <c r="F115" i="255" s="1"/>
  <c r="E111" i="255"/>
  <c r="F111" i="255" s="1"/>
  <c r="R111" i="256"/>
  <c r="R111" i="257" s="1"/>
  <c r="V51" i="252"/>
  <c r="V82" i="252"/>
  <c r="V93" i="252"/>
  <c r="R110" i="256"/>
  <c r="R110" i="257" s="1"/>
  <c r="E110" i="255"/>
  <c r="F110" i="255" s="1"/>
  <c r="E31" i="255"/>
  <c r="F31" i="255" s="1"/>
  <c r="R31" i="256"/>
  <c r="R31" i="257" s="1"/>
  <c r="E109" i="255"/>
  <c r="F109" i="255" s="1"/>
  <c r="R109" i="256"/>
  <c r="R109" i="257" s="1"/>
  <c r="G120" i="262"/>
  <c r="R95" i="256"/>
  <c r="R95" i="257" s="1"/>
  <c r="E95" i="255"/>
  <c r="F95" i="255" s="1"/>
  <c r="V44" i="252"/>
  <c r="V72" i="252"/>
  <c r="V85" i="252"/>
  <c r="V63" i="252"/>
  <c r="V28" i="252"/>
  <c r="V31" i="252"/>
  <c r="V101" i="252"/>
  <c r="V73" i="252"/>
  <c r="V52" i="252"/>
  <c r="V42" i="252"/>
  <c r="V76" i="252"/>
  <c r="V55" i="252"/>
  <c r="V65" i="252"/>
  <c r="V79" i="252"/>
  <c r="V34" i="252"/>
  <c r="V24" i="252"/>
  <c r="V27" i="252"/>
  <c r="V60" i="252"/>
  <c r="V74" i="252"/>
  <c r="V88" i="252"/>
  <c r="V35" i="252"/>
  <c r="V75" i="252"/>
  <c r="V58" i="252"/>
  <c r="V105" i="252"/>
  <c r="V43" i="252"/>
  <c r="V54" i="252"/>
  <c r="V83" i="252"/>
  <c r="V109" i="252"/>
  <c r="V104" i="252"/>
  <c r="V95" i="252"/>
  <c r="V61" i="252"/>
  <c r="V32" i="252"/>
  <c r="V77" i="252"/>
  <c r="V33" i="252"/>
  <c r="V80" i="252"/>
  <c r="V90" i="252"/>
  <c r="V107" i="252"/>
  <c r="V66" i="252"/>
  <c r="V108" i="252"/>
  <c r="V81" i="252"/>
  <c r="V100" i="252"/>
  <c r="V36" i="252"/>
  <c r="V106" i="252"/>
  <c r="V22" i="252"/>
  <c r="V57" i="252"/>
  <c r="V47" i="252"/>
  <c r="V94" i="252"/>
  <c r="V38" i="252"/>
  <c r="V50" i="252"/>
  <c r="R53" i="256"/>
  <c r="R53" i="257" s="1"/>
  <c r="E53" i="255"/>
  <c r="F53" i="255" s="1"/>
  <c r="F70" i="262"/>
  <c r="G70" i="262" s="1"/>
  <c r="F48" i="262"/>
  <c r="G48" i="262" s="1"/>
  <c r="F32" i="262"/>
  <c r="G32" i="262" s="1"/>
  <c r="F34" i="262"/>
  <c r="G34" i="262" s="1"/>
  <c r="F71" i="262"/>
  <c r="G71" i="262" s="1"/>
  <c r="F83" i="262"/>
  <c r="G83" i="262" s="1"/>
  <c r="F67" i="262"/>
  <c r="G67" i="262" s="1"/>
  <c r="F43" i="262"/>
  <c r="G43" i="262" s="1"/>
  <c r="R96" i="256"/>
  <c r="R96" i="257" s="1"/>
  <c r="E96" i="255"/>
  <c r="F96" i="255" s="1"/>
  <c r="F65" i="262"/>
  <c r="G65" i="262" s="1"/>
  <c r="F95" i="262"/>
  <c r="G95" i="262" s="1"/>
  <c r="F44" i="262"/>
  <c r="F60" i="262"/>
  <c r="G60" i="262" s="1"/>
  <c r="F117" i="262"/>
  <c r="G117" i="262" s="1"/>
  <c r="F42" i="262"/>
  <c r="G42" i="262" s="1"/>
  <c r="F115" i="262"/>
  <c r="G115" i="262" s="1"/>
  <c r="F93" i="262"/>
  <c r="G93" i="262" s="1"/>
  <c r="F100" i="262"/>
  <c r="G100" i="262" s="1"/>
  <c r="F84" i="262"/>
  <c r="G84" i="262" s="1"/>
  <c r="F54" i="262"/>
  <c r="F110" i="262"/>
  <c r="G110" i="262" s="1"/>
  <c r="F90" i="262"/>
  <c r="G90" i="262" s="1"/>
  <c r="U133" i="252"/>
  <c r="D31" i="262"/>
  <c r="K27" i="262" s="1"/>
  <c r="V21" i="252"/>
  <c r="V53" i="252"/>
  <c r="V96" i="252"/>
  <c r="V29" i="252"/>
  <c r="V102" i="252"/>
  <c r="V41" i="252"/>
  <c r="V64" i="252"/>
  <c r="F101" i="262"/>
  <c r="G101" i="262" s="1"/>
  <c r="F40" i="262"/>
  <c r="G40" i="262" s="1"/>
  <c r="R29" i="256"/>
  <c r="R29" i="257" s="1"/>
  <c r="E29" i="255"/>
  <c r="F29" i="255" s="1"/>
  <c r="V91" i="252"/>
  <c r="V30" i="252"/>
  <c r="R102" i="256"/>
  <c r="R102" i="257" s="1"/>
  <c r="E102" i="255"/>
  <c r="F102" i="255" s="1"/>
  <c r="F75" i="262"/>
  <c r="G75" i="262" s="1"/>
  <c r="F37" i="262"/>
  <c r="G37" i="262" s="1"/>
  <c r="F73" i="262"/>
  <c r="G73" i="262" s="1"/>
  <c r="F45" i="262"/>
  <c r="G45" i="262" s="1"/>
  <c r="F104" i="262"/>
  <c r="G104" i="262" s="1"/>
  <c r="F76" i="262"/>
  <c r="F87" i="262"/>
  <c r="G87" i="262" s="1"/>
  <c r="F55" i="262"/>
  <c r="G55" i="262" s="1"/>
  <c r="F113" i="262"/>
  <c r="G113" i="262" s="1"/>
  <c r="V45" i="252"/>
  <c r="V103" i="252"/>
  <c r="R64" i="256"/>
  <c r="R64" i="257" s="1"/>
  <c r="E64" i="255"/>
  <c r="F64" i="255" s="1"/>
  <c r="F52" i="262"/>
  <c r="G52" i="262" s="1"/>
  <c r="F98" i="262"/>
  <c r="G98" i="262" s="1"/>
  <c r="F82" i="262"/>
  <c r="G82" i="262" s="1"/>
  <c r="F64" i="262"/>
  <c r="F68" i="262"/>
  <c r="G68" i="262" s="1"/>
  <c r="F59" i="262"/>
  <c r="G59" i="262" s="1"/>
  <c r="F46" i="262"/>
  <c r="G46" i="262" s="1"/>
  <c r="F69" i="262"/>
  <c r="G69" i="262" s="1"/>
  <c r="F56" i="262"/>
  <c r="G56" i="262" s="1"/>
  <c r="F66" i="262"/>
  <c r="G66" i="262" s="1"/>
  <c r="V49" i="252"/>
  <c r="V59" i="252"/>
  <c r="V46" i="252"/>
  <c r="V56" i="252"/>
  <c r="F89" i="262"/>
  <c r="G89" i="262" s="1"/>
  <c r="F53" i="262"/>
  <c r="G53" i="262" s="1"/>
  <c r="F38" i="262"/>
  <c r="G38" i="262" s="1"/>
  <c r="F85" i="262"/>
  <c r="G85" i="262" s="1"/>
  <c r="F36" i="262"/>
  <c r="G36" i="262" s="1"/>
  <c r="F80" i="262"/>
  <c r="G80" i="262" s="1"/>
  <c r="F102" i="262"/>
  <c r="G102" i="262" s="1"/>
  <c r="F33" i="262"/>
  <c r="G33" i="262" s="1"/>
  <c r="F94" i="262"/>
  <c r="G94" i="262" s="1"/>
  <c r="F88" i="262"/>
  <c r="G88" i="262" s="1"/>
  <c r="V26" i="252"/>
  <c r="V70" i="252"/>
  <c r="V92" i="252"/>
  <c r="V84" i="252"/>
  <c r="V78" i="252"/>
  <c r="V23" i="252"/>
  <c r="F86" i="262"/>
  <c r="G86" i="262" s="1"/>
  <c r="F91" i="262"/>
  <c r="G91" i="262" s="1"/>
  <c r="F72" i="262"/>
  <c r="F47" i="262"/>
  <c r="G47" i="262" s="1"/>
  <c r="F78" i="262"/>
  <c r="G78" i="262" s="1"/>
  <c r="F49" i="262"/>
  <c r="G49" i="262" s="1"/>
  <c r="F79" i="262"/>
  <c r="G79" i="262" s="1"/>
  <c r="F35" i="262"/>
  <c r="G35" i="262" s="1"/>
  <c r="F96" i="262"/>
  <c r="G96" i="262" s="1"/>
  <c r="F58" i="262"/>
  <c r="G58" i="262" s="1"/>
  <c r="V37" i="252"/>
  <c r="V68" i="252"/>
  <c r="V69" i="252"/>
  <c r="V25" i="252"/>
  <c r="V86" i="252"/>
  <c r="V48" i="252"/>
  <c r="V39" i="252"/>
  <c r="G63" i="262"/>
  <c r="F57" i="262"/>
  <c r="F116" i="262"/>
  <c r="G116" i="262" s="1"/>
  <c r="F118" i="262"/>
  <c r="G118" i="262" s="1"/>
  <c r="F77" i="262"/>
  <c r="G77" i="262" s="1"/>
  <c r="F97" i="262"/>
  <c r="G97" i="262" s="1"/>
  <c r="F81" i="262"/>
  <c r="G81" i="262" s="1"/>
  <c r="F99" i="262"/>
  <c r="F50" i="262"/>
  <c r="V67" i="252"/>
  <c r="V87" i="252"/>
  <c r="V71" i="252"/>
  <c r="R41" i="256"/>
  <c r="R41" i="257" s="1"/>
  <c r="E41" i="255"/>
  <c r="F41" i="255" s="1"/>
  <c r="V89" i="252"/>
  <c r="V40" i="252"/>
  <c r="R46" i="256" l="1"/>
  <c r="R46" i="257" s="1"/>
  <c r="E46" i="255"/>
  <c r="F46" i="255" s="1"/>
  <c r="E44" i="255"/>
  <c r="F44" i="255" s="1"/>
  <c r="R44" i="256"/>
  <c r="R44" i="257" s="1"/>
  <c r="R34" i="256"/>
  <c r="R34" i="257" s="1"/>
  <c r="E34" i="255"/>
  <c r="F34" i="255" s="1"/>
  <c r="R106" i="256"/>
  <c r="R106" i="257" s="1"/>
  <c r="E106" i="255"/>
  <c r="F106" i="255" s="1"/>
  <c r="E25" i="255"/>
  <c r="F25" i="255" s="1"/>
  <c r="R25" i="256"/>
  <c r="R25" i="257" s="1"/>
  <c r="R26" i="256"/>
  <c r="R26" i="257" s="1"/>
  <c r="E26" i="255"/>
  <c r="F26" i="255" s="1"/>
  <c r="R42" i="256"/>
  <c r="R42" i="257" s="1"/>
  <c r="E42" i="255"/>
  <c r="F42" i="255" s="1"/>
  <c r="R35" i="256"/>
  <c r="R35" i="257" s="1"/>
  <c r="E35" i="255"/>
  <c r="F35" i="255" s="1"/>
  <c r="R91" i="256"/>
  <c r="R91" i="257" s="1"/>
  <c r="E91" i="255"/>
  <c r="F91" i="255" s="1"/>
  <c r="R24" i="256"/>
  <c r="R24" i="257" s="1"/>
  <c r="E24" i="255"/>
  <c r="F24" i="255" s="1"/>
  <c r="E74" i="255"/>
  <c r="F74" i="255" s="1"/>
  <c r="R74" i="256"/>
  <c r="R74" i="257" s="1"/>
  <c r="R85" i="256"/>
  <c r="R85" i="257" s="1"/>
  <c r="E85" i="255"/>
  <c r="F85" i="255" s="1"/>
  <c r="R75" i="256"/>
  <c r="R75" i="257" s="1"/>
  <c r="E75" i="255"/>
  <c r="F75" i="255" s="1"/>
  <c r="R59" i="256"/>
  <c r="R59" i="257" s="1"/>
  <c r="E59" i="255"/>
  <c r="F59" i="255" s="1"/>
  <c r="R63" i="256"/>
  <c r="R63" i="257" s="1"/>
  <c r="E63" i="255"/>
  <c r="F63" i="255" s="1"/>
  <c r="E22" i="255"/>
  <c r="F22" i="255" s="1"/>
  <c r="R22" i="256"/>
  <c r="R22" i="257" s="1"/>
  <c r="R47" i="256"/>
  <c r="R47" i="257" s="1"/>
  <c r="E47" i="255"/>
  <c r="F47" i="255" s="1"/>
  <c r="R90" i="256"/>
  <c r="R90" i="257" s="1"/>
  <c r="E90" i="255"/>
  <c r="F90" i="255" s="1"/>
  <c r="R55" i="256"/>
  <c r="R55" i="257" s="1"/>
  <c r="E55" i="255"/>
  <c r="F55" i="255" s="1"/>
  <c r="R40" i="256"/>
  <c r="R40" i="257" s="1"/>
  <c r="E40" i="255"/>
  <c r="F40" i="255" s="1"/>
  <c r="E27" i="255"/>
  <c r="F27" i="255" s="1"/>
  <c r="R27" i="256"/>
  <c r="R27" i="257" s="1"/>
  <c r="R38" i="256"/>
  <c r="R38" i="257" s="1"/>
  <c r="E38" i="255"/>
  <c r="F38" i="255" s="1"/>
  <c r="R68" i="256"/>
  <c r="R68" i="257" s="1"/>
  <c r="E68" i="255"/>
  <c r="F68" i="255" s="1"/>
  <c r="R83" i="256"/>
  <c r="R83" i="257" s="1"/>
  <c r="E83" i="255"/>
  <c r="F83" i="255" s="1"/>
  <c r="R78" i="256"/>
  <c r="R78" i="257" s="1"/>
  <c r="E78" i="255"/>
  <c r="F78" i="255" s="1"/>
  <c r="R43" i="256"/>
  <c r="R43" i="257" s="1"/>
  <c r="E43" i="255"/>
  <c r="F43" i="255" s="1"/>
  <c r="E49" i="255"/>
  <c r="F49" i="255" s="1"/>
  <c r="R49" i="256"/>
  <c r="R49" i="257" s="1"/>
  <c r="E103" i="255"/>
  <c r="F103" i="255" s="1"/>
  <c r="R103" i="256"/>
  <c r="R103" i="257" s="1"/>
  <c r="E65" i="255"/>
  <c r="F65" i="255" s="1"/>
  <c r="R65" i="256"/>
  <c r="R65" i="257" s="1"/>
  <c r="E60" i="255"/>
  <c r="F60" i="255" s="1"/>
  <c r="R60" i="256"/>
  <c r="R60" i="257" s="1"/>
  <c r="V133" i="252"/>
  <c r="R105" i="256"/>
  <c r="R105" i="257" s="1"/>
  <c r="E105" i="255"/>
  <c r="F105" i="255" s="1"/>
  <c r="R33" i="256"/>
  <c r="R33" i="257" s="1"/>
  <c r="E33" i="255"/>
  <c r="F33" i="255" s="1"/>
  <c r="E71" i="255"/>
  <c r="F71" i="255" s="1"/>
  <c r="R71" i="256"/>
  <c r="R71" i="257" s="1"/>
  <c r="R37" i="256"/>
  <c r="R37" i="257" s="1"/>
  <c r="E37" i="255"/>
  <c r="F37" i="255" s="1"/>
  <c r="R84" i="256"/>
  <c r="R84" i="257" s="1"/>
  <c r="E84" i="255"/>
  <c r="F84" i="255" s="1"/>
  <c r="R79" i="256"/>
  <c r="R79" i="257" s="1"/>
  <c r="E79" i="255"/>
  <c r="F79" i="255" s="1"/>
  <c r="R58" i="256"/>
  <c r="R58" i="257" s="1"/>
  <c r="E58" i="255"/>
  <c r="F58" i="255" s="1"/>
  <c r="R45" i="256"/>
  <c r="R45" i="257" s="1"/>
  <c r="E45" i="255"/>
  <c r="F45" i="255" s="1"/>
  <c r="D143" i="262"/>
  <c r="F31" i="262"/>
  <c r="G31" i="262" s="1"/>
  <c r="R69" i="256"/>
  <c r="R69" i="257" s="1"/>
  <c r="E69" i="255"/>
  <c r="F69" i="255" s="1"/>
  <c r="G50" i="262"/>
  <c r="R39" i="256"/>
  <c r="R39" i="257" s="1"/>
  <c r="E39" i="255"/>
  <c r="F39" i="255" s="1"/>
  <c r="R54" i="256"/>
  <c r="R54" i="257" s="1"/>
  <c r="E54" i="255"/>
  <c r="F54" i="255" s="1"/>
  <c r="R32" i="256"/>
  <c r="R32" i="257" s="1"/>
  <c r="E32" i="255"/>
  <c r="F32" i="255" s="1"/>
  <c r="R57" i="256"/>
  <c r="R57" i="257" s="1"/>
  <c r="E57" i="255"/>
  <c r="F57" i="255" s="1"/>
  <c r="R28" i="256"/>
  <c r="R28" i="257" s="1"/>
  <c r="E28" i="255"/>
  <c r="F28" i="255" s="1"/>
  <c r="R89" i="256"/>
  <c r="R89" i="257" s="1"/>
  <c r="E89" i="255"/>
  <c r="F89" i="255" s="1"/>
  <c r="G64" i="262"/>
  <c r="E77" i="255"/>
  <c r="F77" i="255" s="1"/>
  <c r="R77" i="256"/>
  <c r="R77" i="257" s="1"/>
  <c r="E62" i="255"/>
  <c r="F62" i="255" s="1"/>
  <c r="R62" i="256"/>
  <c r="R62" i="257" s="1"/>
  <c r="E23" i="255"/>
  <c r="F23" i="255" s="1"/>
  <c r="R23" i="256"/>
  <c r="R23" i="257" s="1"/>
  <c r="R66" i="256"/>
  <c r="R66" i="257" s="1"/>
  <c r="E66" i="255"/>
  <c r="F66" i="255" s="1"/>
  <c r="R80" i="256"/>
  <c r="R80" i="257" s="1"/>
  <c r="E80" i="255"/>
  <c r="F80" i="255" s="1"/>
  <c r="R107" i="256"/>
  <c r="R107" i="257" s="1"/>
  <c r="E107" i="255"/>
  <c r="F107" i="255" s="1"/>
  <c r="R73" i="256"/>
  <c r="R73" i="257" s="1"/>
  <c r="E73" i="255"/>
  <c r="F73" i="255" s="1"/>
  <c r="G57" i="262"/>
  <c r="R67" i="256"/>
  <c r="R67" i="257" s="1"/>
  <c r="E67" i="255"/>
  <c r="F67" i="255" s="1"/>
  <c r="E92" i="255"/>
  <c r="F92" i="255" s="1"/>
  <c r="R92" i="256"/>
  <c r="R92" i="257" s="1"/>
  <c r="R72" i="256"/>
  <c r="R72" i="257" s="1"/>
  <c r="E72" i="255"/>
  <c r="F72" i="255" s="1"/>
  <c r="G76" i="262"/>
  <c r="E36" i="255"/>
  <c r="F36" i="255" s="1"/>
  <c r="R36" i="256"/>
  <c r="R36" i="257" s="1"/>
  <c r="G99" i="262"/>
  <c r="R87" i="256"/>
  <c r="R87" i="257" s="1"/>
  <c r="E87" i="255"/>
  <c r="F87" i="255" s="1"/>
  <c r="G72" i="262"/>
  <c r="R81" i="256"/>
  <c r="R81" i="257" s="1"/>
  <c r="E81" i="255"/>
  <c r="F81" i="255" s="1"/>
  <c r="E100" i="255"/>
  <c r="F100" i="255" s="1"/>
  <c r="R100" i="256"/>
  <c r="R100" i="257" s="1"/>
  <c r="R50" i="256"/>
  <c r="R50" i="257" s="1"/>
  <c r="E50" i="255"/>
  <c r="F50" i="255" s="1"/>
  <c r="E61" i="255"/>
  <c r="F61" i="255" s="1"/>
  <c r="R61" i="256"/>
  <c r="R61" i="257" s="1"/>
  <c r="R48" i="256"/>
  <c r="R48" i="257" s="1"/>
  <c r="E48" i="255"/>
  <c r="F48" i="255" s="1"/>
  <c r="R108" i="256"/>
  <c r="R108" i="257" s="1"/>
  <c r="E108" i="255"/>
  <c r="F108" i="255" s="1"/>
  <c r="R86" i="256"/>
  <c r="R86" i="257" s="1"/>
  <c r="E86" i="255"/>
  <c r="F86" i="255" s="1"/>
  <c r="R76" i="256"/>
  <c r="R76" i="257" s="1"/>
  <c r="E76" i="255"/>
  <c r="F76" i="255" s="1"/>
  <c r="R70" i="256"/>
  <c r="R70" i="257" s="1"/>
  <c r="E70" i="255"/>
  <c r="F70" i="255" s="1"/>
  <c r="R56" i="256"/>
  <c r="R56" i="257" s="1"/>
  <c r="E56" i="255"/>
  <c r="F56" i="255" s="1"/>
  <c r="R88" i="256"/>
  <c r="R88" i="257" s="1"/>
  <c r="E88" i="255"/>
  <c r="F88" i="255" s="1"/>
  <c r="R94" i="256"/>
  <c r="R94" i="257" s="1"/>
  <c r="E94" i="255"/>
  <c r="F94" i="255" s="1"/>
  <c r="R30" i="256"/>
  <c r="R30" i="257" s="1"/>
  <c r="E30" i="255"/>
  <c r="F30" i="255" s="1"/>
  <c r="G54" i="262"/>
  <c r="G44" i="262"/>
  <c r="G143" i="262" l="1"/>
  <c r="I100" i="255"/>
  <c r="L27" i="262"/>
  <c r="M108" i="262" s="1"/>
  <c r="H108" i="262" s="1"/>
  <c r="D108" i="263" s="1"/>
  <c r="R21" i="256"/>
  <c r="R21" i="257" s="1"/>
  <c r="R133" i="257" s="1"/>
  <c r="F143" i="262"/>
  <c r="E21" i="255"/>
  <c r="F108" i="263" l="1"/>
  <c r="M136" i="262"/>
  <c r="H136" i="262" s="1"/>
  <c r="D136" i="263" s="1"/>
  <c r="F136" i="263" s="1"/>
  <c r="M139" i="262"/>
  <c r="H139" i="262" s="1"/>
  <c r="D139" i="263" s="1"/>
  <c r="M133" i="262"/>
  <c r="H133" i="262" s="1"/>
  <c r="D133" i="263" s="1"/>
  <c r="M135" i="262"/>
  <c r="H135" i="262" s="1"/>
  <c r="D135" i="263" s="1"/>
  <c r="F133" i="263"/>
  <c r="M109" i="262"/>
  <c r="H109" i="262" s="1"/>
  <c r="D109" i="263" s="1"/>
  <c r="F109" i="263" s="1"/>
  <c r="M110" i="262"/>
  <c r="H110" i="262" s="1"/>
  <c r="D110" i="263" s="1"/>
  <c r="M142" i="262"/>
  <c r="H142" i="262" s="1"/>
  <c r="D142" i="263" s="1"/>
  <c r="F142" i="263" s="1"/>
  <c r="M141" i="262"/>
  <c r="H141" i="262" s="1"/>
  <c r="D141" i="263" s="1"/>
  <c r="M129" i="262"/>
  <c r="H129" i="262" s="1"/>
  <c r="D129" i="263" s="1"/>
  <c r="F129" i="263" s="1"/>
  <c r="M137" i="262"/>
  <c r="H137" i="262" s="1"/>
  <c r="D137" i="263" s="1"/>
  <c r="M131" i="262"/>
  <c r="H131" i="262" s="1"/>
  <c r="D131" i="263" s="1"/>
  <c r="F131" i="263" s="1"/>
  <c r="M134" i="262"/>
  <c r="H134" i="262" s="1"/>
  <c r="D134" i="263" s="1"/>
  <c r="M130" i="262"/>
  <c r="H130" i="262" s="1"/>
  <c r="D130" i="263" s="1"/>
  <c r="F130" i="263" s="1"/>
  <c r="M128" i="262"/>
  <c r="H128" i="262" s="1"/>
  <c r="D127" i="263"/>
  <c r="F127" i="263" s="1"/>
  <c r="M125" i="262"/>
  <c r="H125" i="262" s="1"/>
  <c r="D125" i="263" s="1"/>
  <c r="F125" i="263" s="1"/>
  <c r="D126" i="263"/>
  <c r="M123" i="262"/>
  <c r="H123" i="262" s="1"/>
  <c r="D123" i="263" s="1"/>
  <c r="F123" i="263" s="1"/>
  <c r="M124" i="262"/>
  <c r="H124" i="262" s="1"/>
  <c r="D124" i="263" s="1"/>
  <c r="M121" i="262"/>
  <c r="H121" i="262" s="1"/>
  <c r="D121" i="263" s="1"/>
  <c r="F121" i="263" s="1"/>
  <c r="M61" i="262"/>
  <c r="H61" i="262" s="1"/>
  <c r="D61" i="263" s="1"/>
  <c r="M112" i="262"/>
  <c r="H112" i="262" s="1"/>
  <c r="D112" i="263" s="1"/>
  <c r="F112" i="263" s="1"/>
  <c r="M103" i="262"/>
  <c r="H103" i="262" s="1"/>
  <c r="D103" i="263" s="1"/>
  <c r="M38" i="262"/>
  <c r="H38" i="262" s="1"/>
  <c r="D38" i="263" s="1"/>
  <c r="M33" i="262"/>
  <c r="H33" i="262" s="1"/>
  <c r="D33" i="263" s="1"/>
  <c r="M32" i="262"/>
  <c r="H32" i="262" s="1"/>
  <c r="D32" i="263" s="1"/>
  <c r="M31" i="262"/>
  <c r="H31" i="262" s="1"/>
  <c r="D31" i="263" s="1"/>
  <c r="M111" i="262"/>
  <c r="H111" i="262" s="1"/>
  <c r="D111" i="263" s="1"/>
  <c r="F111" i="263" s="1"/>
  <c r="M92" i="262"/>
  <c r="H92" i="262" s="1"/>
  <c r="D92" i="263" s="1"/>
  <c r="M62" i="262"/>
  <c r="H62" i="262" s="1"/>
  <c r="D62" i="263" s="1"/>
  <c r="F62" i="263" s="1"/>
  <c r="M41" i="262"/>
  <c r="H41" i="262" s="1"/>
  <c r="D41" i="263" s="1"/>
  <c r="M114" i="262"/>
  <c r="H114" i="262" s="1"/>
  <c r="D114" i="263" s="1"/>
  <c r="M105" i="262"/>
  <c r="H105" i="262" s="1"/>
  <c r="D105" i="263" s="1"/>
  <c r="M119" i="262"/>
  <c r="H119" i="262" s="1"/>
  <c r="D119" i="263" s="1"/>
  <c r="M120" i="262"/>
  <c r="H120" i="262" s="1"/>
  <c r="D120" i="263" s="1"/>
  <c r="M122" i="262"/>
  <c r="H122" i="262" s="1"/>
  <c r="D122" i="263" s="1"/>
  <c r="R133" i="256"/>
  <c r="N133" i="257"/>
  <c r="M67" i="262"/>
  <c r="H67" i="262" s="1"/>
  <c r="D67" i="263" s="1"/>
  <c r="M113" i="262"/>
  <c r="H113" i="262" s="1"/>
  <c r="D113" i="263" s="1"/>
  <c r="M71" i="262"/>
  <c r="H71" i="262" s="1"/>
  <c r="D71" i="263" s="1"/>
  <c r="M88" i="262"/>
  <c r="H88" i="262" s="1"/>
  <c r="D88" i="263" s="1"/>
  <c r="M55" i="262"/>
  <c r="H55" i="262" s="1"/>
  <c r="D55" i="263" s="1"/>
  <c r="M75" i="262"/>
  <c r="H75" i="262" s="1"/>
  <c r="D75" i="263" s="1"/>
  <c r="M73" i="262"/>
  <c r="H73" i="262" s="1"/>
  <c r="D73" i="263" s="1"/>
  <c r="M96" i="262"/>
  <c r="H96" i="262" s="1"/>
  <c r="D96" i="263" s="1"/>
  <c r="M115" i="262"/>
  <c r="H115" i="262" s="1"/>
  <c r="D115" i="263" s="1"/>
  <c r="M60" i="262"/>
  <c r="H60" i="262" s="1"/>
  <c r="D60" i="263" s="1"/>
  <c r="M94" i="262"/>
  <c r="H94" i="262" s="1"/>
  <c r="D94" i="263" s="1"/>
  <c r="M36" i="262"/>
  <c r="H36" i="262" s="1"/>
  <c r="D36" i="263" s="1"/>
  <c r="M77" i="262"/>
  <c r="H77" i="262" s="1"/>
  <c r="D77" i="263" s="1"/>
  <c r="M90" i="262"/>
  <c r="H90" i="262" s="1"/>
  <c r="D90" i="263" s="1"/>
  <c r="M83" i="262"/>
  <c r="H83" i="262" s="1"/>
  <c r="D83" i="263" s="1"/>
  <c r="M51" i="262"/>
  <c r="H51" i="262" s="1"/>
  <c r="D51" i="263" s="1"/>
  <c r="M42" i="262"/>
  <c r="H42" i="262" s="1"/>
  <c r="D42" i="263" s="1"/>
  <c r="M104" i="262"/>
  <c r="H104" i="262" s="1"/>
  <c r="D104" i="263" s="1"/>
  <c r="M40" i="262"/>
  <c r="H40" i="262" s="1"/>
  <c r="D40" i="263" s="1"/>
  <c r="M80" i="262"/>
  <c r="H80" i="262" s="1"/>
  <c r="D80" i="263" s="1"/>
  <c r="M58" i="262"/>
  <c r="H58" i="262" s="1"/>
  <c r="D58" i="263" s="1"/>
  <c r="M100" i="262"/>
  <c r="H100" i="262" s="1"/>
  <c r="D100" i="263" s="1"/>
  <c r="M53" i="262"/>
  <c r="H53" i="262" s="1"/>
  <c r="D53" i="263" s="1"/>
  <c r="M78" i="262"/>
  <c r="H78" i="262" s="1"/>
  <c r="D78" i="263" s="1"/>
  <c r="M52" i="262"/>
  <c r="H52" i="262" s="1"/>
  <c r="D52" i="263" s="1"/>
  <c r="M35" i="262"/>
  <c r="H35" i="262" s="1"/>
  <c r="D35" i="263" s="1"/>
  <c r="M84" i="262"/>
  <c r="H84" i="262" s="1"/>
  <c r="D84" i="263" s="1"/>
  <c r="M91" i="262"/>
  <c r="H91" i="262" s="1"/>
  <c r="D91" i="263" s="1"/>
  <c r="M93" i="262"/>
  <c r="H93" i="262" s="1"/>
  <c r="D93" i="263" s="1"/>
  <c r="M85" i="262"/>
  <c r="H85" i="262" s="1"/>
  <c r="D85" i="263" s="1"/>
  <c r="M99" i="262"/>
  <c r="H99" i="262" s="1"/>
  <c r="D99" i="263" s="1"/>
  <c r="M106" i="262"/>
  <c r="H106" i="262" s="1"/>
  <c r="D106" i="263" s="1"/>
  <c r="M56" i="262"/>
  <c r="H56" i="262" s="1"/>
  <c r="D56" i="263" s="1"/>
  <c r="M63" i="262"/>
  <c r="H63" i="262" s="1"/>
  <c r="D63" i="263" s="1"/>
  <c r="M102" i="262"/>
  <c r="H102" i="262" s="1"/>
  <c r="D102" i="263" s="1"/>
  <c r="M44" i="262"/>
  <c r="H44" i="262" s="1"/>
  <c r="D44" i="263" s="1"/>
  <c r="M87" i="262"/>
  <c r="H87" i="262" s="1"/>
  <c r="D87" i="263" s="1"/>
  <c r="M74" i="262"/>
  <c r="H74" i="262" s="1"/>
  <c r="D74" i="263" s="1"/>
  <c r="M68" i="262"/>
  <c r="H68" i="262" s="1"/>
  <c r="D68" i="263" s="1"/>
  <c r="M79" i="262"/>
  <c r="H79" i="262" s="1"/>
  <c r="D79" i="263" s="1"/>
  <c r="M64" i="262"/>
  <c r="H64" i="262" s="1"/>
  <c r="D64" i="263" s="1"/>
  <c r="M117" i="262"/>
  <c r="H117" i="262" s="1"/>
  <c r="D117" i="263" s="1"/>
  <c r="M43" i="262"/>
  <c r="H43" i="262" s="1"/>
  <c r="D43" i="263" s="1"/>
  <c r="M76" i="262"/>
  <c r="H76" i="262" s="1"/>
  <c r="D76" i="263" s="1"/>
  <c r="M50" i="262"/>
  <c r="H50" i="262" s="1"/>
  <c r="D50" i="263" s="1"/>
  <c r="M81" i="262"/>
  <c r="H81" i="262" s="1"/>
  <c r="D81" i="263" s="1"/>
  <c r="M95" i="262"/>
  <c r="H95" i="262" s="1"/>
  <c r="D95" i="263" s="1"/>
  <c r="M98" i="262"/>
  <c r="H98" i="262" s="1"/>
  <c r="D98" i="263" s="1"/>
  <c r="M118" i="262"/>
  <c r="H118" i="262" s="1"/>
  <c r="D118" i="263" s="1"/>
  <c r="M101" i="262"/>
  <c r="H101" i="262" s="1"/>
  <c r="D101" i="263" s="1"/>
  <c r="M47" i="262"/>
  <c r="H47" i="262" s="1"/>
  <c r="D47" i="263" s="1"/>
  <c r="M72" i="262"/>
  <c r="H72" i="262" s="1"/>
  <c r="D72" i="263" s="1"/>
  <c r="M37" i="262"/>
  <c r="H37" i="262" s="1"/>
  <c r="D37" i="263" s="1"/>
  <c r="M70" i="262"/>
  <c r="H70" i="262" s="1"/>
  <c r="D70" i="263" s="1"/>
  <c r="M57" i="262"/>
  <c r="H57" i="262" s="1"/>
  <c r="D57" i="263" s="1"/>
  <c r="M48" i="262"/>
  <c r="H48" i="262" s="1"/>
  <c r="D48" i="263" s="1"/>
  <c r="M45" i="262"/>
  <c r="H45" i="262" s="1"/>
  <c r="D45" i="263" s="1"/>
  <c r="M65" i="262"/>
  <c r="H65" i="262" s="1"/>
  <c r="D65" i="263" s="1"/>
  <c r="M39" i="262"/>
  <c r="H39" i="262" s="1"/>
  <c r="D39" i="263" s="1"/>
  <c r="M86" i="262"/>
  <c r="H86" i="262" s="1"/>
  <c r="D86" i="263" s="1"/>
  <c r="M69" i="262"/>
  <c r="H69" i="262" s="1"/>
  <c r="D69" i="263" s="1"/>
  <c r="M54" i="262"/>
  <c r="H54" i="262" s="1"/>
  <c r="D54" i="263" s="1"/>
  <c r="M82" i="262"/>
  <c r="H82" i="262" s="1"/>
  <c r="D82" i="263" s="1"/>
  <c r="M66" i="262"/>
  <c r="H66" i="262" s="1"/>
  <c r="D66" i="263" s="1"/>
  <c r="M97" i="262"/>
  <c r="H97" i="262" s="1"/>
  <c r="D97" i="263" s="1"/>
  <c r="M59" i="262"/>
  <c r="H59" i="262" s="1"/>
  <c r="D59" i="263" s="1"/>
  <c r="M46" i="262"/>
  <c r="H46" i="262" s="1"/>
  <c r="D46" i="263" s="1"/>
  <c r="M34" i="262"/>
  <c r="H34" i="262" s="1"/>
  <c r="D34" i="263" s="1"/>
  <c r="M89" i="262"/>
  <c r="H89" i="262" s="1"/>
  <c r="D89" i="263" s="1"/>
  <c r="M116" i="262"/>
  <c r="H116" i="262" s="1"/>
  <c r="D116" i="263" s="1"/>
  <c r="M49" i="262"/>
  <c r="H49" i="262" s="1"/>
  <c r="D49" i="263" s="1"/>
  <c r="E133" i="255"/>
  <c r="F21" i="255"/>
  <c r="F139" i="263" l="1"/>
  <c r="F135" i="263"/>
  <c r="F110" i="263"/>
  <c r="F141" i="263"/>
  <c r="F137" i="263"/>
  <c r="F134" i="263"/>
  <c r="D128" i="263"/>
  <c r="F126" i="263"/>
  <c r="F124" i="263"/>
  <c r="F61" i="263"/>
  <c r="F103" i="263"/>
  <c r="F32" i="263"/>
  <c r="F33" i="263"/>
  <c r="F38" i="263"/>
  <c r="F92" i="263"/>
  <c r="F41" i="263"/>
  <c r="F122" i="263"/>
  <c r="F120" i="263"/>
  <c r="F119" i="263"/>
  <c r="F105" i="263"/>
  <c r="F114" i="263"/>
  <c r="F84" i="263"/>
  <c r="F94" i="263"/>
  <c r="F35" i="263"/>
  <c r="F60" i="263"/>
  <c r="F52" i="263"/>
  <c r="F115" i="263"/>
  <c r="F43" i="263"/>
  <c r="F78" i="263"/>
  <c r="F96" i="263"/>
  <c r="F39" i="263"/>
  <c r="F68" i="263"/>
  <c r="F53" i="263"/>
  <c r="F73" i="263"/>
  <c r="F31" i="263"/>
  <c r="F74" i="263"/>
  <c r="F100" i="263"/>
  <c r="F75" i="263"/>
  <c r="F87" i="263"/>
  <c r="F58" i="263"/>
  <c r="F55" i="263"/>
  <c r="F117" i="263"/>
  <c r="F70" i="263"/>
  <c r="F44" i="263"/>
  <c r="F80" i="263"/>
  <c r="F88" i="263"/>
  <c r="F65" i="263"/>
  <c r="F116" i="263"/>
  <c r="F102" i="263"/>
  <c r="F40" i="263"/>
  <c r="F71" i="263"/>
  <c r="F45" i="263"/>
  <c r="F89" i="263"/>
  <c r="F101" i="263"/>
  <c r="F63" i="263"/>
  <c r="F104" i="263"/>
  <c r="F113" i="263"/>
  <c r="F79" i="263"/>
  <c r="F47" i="263"/>
  <c r="F56" i="263"/>
  <c r="F42" i="263"/>
  <c r="F67" i="263"/>
  <c r="F64" i="263"/>
  <c r="F34" i="263"/>
  <c r="F98" i="263"/>
  <c r="F106" i="263"/>
  <c r="F51" i="263"/>
  <c r="F49" i="263"/>
  <c r="F46" i="263"/>
  <c r="F97" i="263"/>
  <c r="F82" i="263"/>
  <c r="F95" i="263"/>
  <c r="F99" i="263"/>
  <c r="F83" i="263"/>
  <c r="F57" i="263"/>
  <c r="F59" i="263"/>
  <c r="F54" i="263"/>
  <c r="F81" i="263"/>
  <c r="F85" i="263"/>
  <c r="F90" i="263"/>
  <c r="H143" i="262"/>
  <c r="F72" i="263"/>
  <c r="F66" i="263"/>
  <c r="F69" i="263"/>
  <c r="F50" i="263"/>
  <c r="F93" i="263"/>
  <c r="F77" i="263"/>
  <c r="F48" i="263"/>
  <c r="F37" i="263"/>
  <c r="F118" i="263"/>
  <c r="F133" i="255"/>
  <c r="F86" i="263"/>
  <c r="F76" i="263"/>
  <c r="F91" i="263"/>
  <c r="F36" i="263"/>
  <c r="J27" i="263" l="1"/>
  <c r="F128" i="263"/>
  <c r="F143" i="263" s="1"/>
  <c r="D143" i="263"/>
  <c r="L126" i="263"/>
  <c r="G126" i="263" s="1"/>
  <c r="G116" i="255" s="1"/>
  <c r="L127" i="263"/>
  <c r="G127" i="263" s="1"/>
  <c r="L61" i="263"/>
  <c r="G61" i="263" s="1"/>
  <c r="L123" i="263"/>
  <c r="G123" i="263" s="1"/>
  <c r="L41" i="263"/>
  <c r="G41" i="263" s="1"/>
  <c r="G31" i="255" s="1"/>
  <c r="L105" i="263"/>
  <c r="G105" i="263" s="1"/>
  <c r="L60" i="263"/>
  <c r="G60" i="263" s="1"/>
  <c r="L34" i="263"/>
  <c r="G34" i="263" s="1"/>
  <c r="L96" i="263"/>
  <c r="G96" i="263" s="1"/>
  <c r="L139" i="263" l="1"/>
  <c r="G139" i="263" s="1"/>
  <c r="G129" i="255" s="1"/>
  <c r="H129" i="255" s="1"/>
  <c r="L108" i="263"/>
  <c r="G108" i="263" s="1"/>
  <c r="G98" i="255" s="1"/>
  <c r="L135" i="263"/>
  <c r="G135" i="263" s="1"/>
  <c r="G125" i="255" s="1"/>
  <c r="L136" i="263"/>
  <c r="G136" i="263" s="1"/>
  <c r="G126" i="255" s="1"/>
  <c r="L114" i="263"/>
  <c r="G114" i="263" s="1"/>
  <c r="G104" i="255" s="1"/>
  <c r="L133" i="263"/>
  <c r="G133" i="263" s="1"/>
  <c r="G123" i="255" s="1"/>
  <c r="H123" i="255" s="1"/>
  <c r="J123" i="255" s="1"/>
  <c r="L124" i="263"/>
  <c r="G124" i="263" s="1"/>
  <c r="G114" i="255" s="1"/>
  <c r="L109" i="263"/>
  <c r="G109" i="263" s="1"/>
  <c r="G99" i="255" s="1"/>
  <c r="H99" i="255" s="1"/>
  <c r="J99" i="255" s="1"/>
  <c r="K99" i="255" s="1"/>
  <c r="M99" i="255" s="1"/>
  <c r="L110" i="263"/>
  <c r="G110" i="263" s="1"/>
  <c r="G100" i="255" s="1"/>
  <c r="H100" i="255" s="1"/>
  <c r="L121" i="263"/>
  <c r="G121" i="263" s="1"/>
  <c r="L141" i="263"/>
  <c r="G141" i="263" s="1"/>
  <c r="L92" i="263"/>
  <c r="G92" i="263" s="1"/>
  <c r="G82" i="255" s="1"/>
  <c r="H82" i="255" s="1"/>
  <c r="L142" i="263"/>
  <c r="G142" i="263" s="1"/>
  <c r="L129" i="263"/>
  <c r="G129" i="263" s="1"/>
  <c r="L137" i="263"/>
  <c r="G137" i="263" s="1"/>
  <c r="L80" i="263"/>
  <c r="G80" i="263" s="1"/>
  <c r="L134" i="263"/>
  <c r="G134" i="263" s="1"/>
  <c r="L95" i="263"/>
  <c r="G95" i="263" s="1"/>
  <c r="G85" i="255" s="1"/>
  <c r="L106" i="263"/>
  <c r="G106" i="263" s="1"/>
  <c r="L73" i="263"/>
  <c r="G73" i="263" s="1"/>
  <c r="G63" i="255" s="1"/>
  <c r="L97" i="263"/>
  <c r="G97" i="263" s="1"/>
  <c r="G87" i="255" s="1"/>
  <c r="L36" i="263"/>
  <c r="G36" i="263" s="1"/>
  <c r="L53" i="263"/>
  <c r="G53" i="263" s="1"/>
  <c r="L79" i="263"/>
  <c r="G79" i="263" s="1"/>
  <c r="G69" i="255" s="1"/>
  <c r="L57" i="263"/>
  <c r="G57" i="263" s="1"/>
  <c r="L116" i="263"/>
  <c r="G116" i="263" s="1"/>
  <c r="L75" i="263"/>
  <c r="G75" i="263" s="1"/>
  <c r="L81" i="263"/>
  <c r="G81" i="263" s="1"/>
  <c r="G71" i="255" s="1"/>
  <c r="L37" i="263"/>
  <c r="G37" i="263" s="1"/>
  <c r="L48" i="263"/>
  <c r="G48" i="263" s="1"/>
  <c r="L55" i="263"/>
  <c r="G55" i="263" s="1"/>
  <c r="L70" i="263"/>
  <c r="G70" i="263" s="1"/>
  <c r="G60" i="255" s="1"/>
  <c r="L87" i="263"/>
  <c r="G87" i="263" s="1"/>
  <c r="G77" i="255" s="1"/>
  <c r="L88" i="263"/>
  <c r="G88" i="263" s="1"/>
  <c r="L65" i="263"/>
  <c r="G65" i="263" s="1"/>
  <c r="L93" i="263"/>
  <c r="G93" i="263" s="1"/>
  <c r="G83" i="255" s="1"/>
  <c r="L98" i="263"/>
  <c r="G98" i="263" s="1"/>
  <c r="L77" i="263"/>
  <c r="G77" i="263" s="1"/>
  <c r="L58" i="263"/>
  <c r="G58" i="263" s="1"/>
  <c r="L83" i="263"/>
  <c r="G83" i="263" s="1"/>
  <c r="L52" i="263"/>
  <c r="G52" i="263" s="1"/>
  <c r="G42" i="255" s="1"/>
  <c r="L45" i="263"/>
  <c r="G45" i="263" s="1"/>
  <c r="L72" i="263"/>
  <c r="G72" i="263" s="1"/>
  <c r="L71" i="263"/>
  <c r="G71" i="263" s="1"/>
  <c r="G61" i="255" s="1"/>
  <c r="L89" i="263"/>
  <c r="G89" i="263" s="1"/>
  <c r="L44" i="263"/>
  <c r="G44" i="263" s="1"/>
  <c r="G34" i="255" s="1"/>
  <c r="L101" i="263"/>
  <c r="G101" i="263" s="1"/>
  <c r="G91" i="255" s="1"/>
  <c r="L99" i="263"/>
  <c r="G99" i="263" s="1"/>
  <c r="G89" i="255" s="1"/>
  <c r="L91" i="263"/>
  <c r="G91" i="263" s="1"/>
  <c r="L94" i="263"/>
  <c r="G94" i="263" s="1"/>
  <c r="L63" i="263"/>
  <c r="G63" i="263" s="1"/>
  <c r="L82" i="263"/>
  <c r="G82" i="263" s="1"/>
  <c r="L35" i="263"/>
  <c r="G35" i="263" s="1"/>
  <c r="L104" i="263"/>
  <c r="G104" i="263" s="1"/>
  <c r="L51" i="263"/>
  <c r="G51" i="263" s="1"/>
  <c r="L102" i="263"/>
  <c r="G102" i="263" s="1"/>
  <c r="L117" i="263"/>
  <c r="G117" i="263" s="1"/>
  <c r="G107" i="255" s="1"/>
  <c r="L66" i="263"/>
  <c r="G66" i="263" s="1"/>
  <c r="G56" i="255" s="1"/>
  <c r="L47" i="263"/>
  <c r="G47" i="263" s="1"/>
  <c r="L100" i="263"/>
  <c r="G100" i="263" s="1"/>
  <c r="G90" i="255" s="1"/>
  <c r="L67" i="263"/>
  <c r="G67" i="263" s="1"/>
  <c r="L118" i="263"/>
  <c r="G118" i="263" s="1"/>
  <c r="G108" i="255" s="1"/>
  <c r="L90" i="263"/>
  <c r="G90" i="263" s="1"/>
  <c r="L39" i="263"/>
  <c r="G39" i="263" s="1"/>
  <c r="G29" i="255" s="1"/>
  <c r="L64" i="263"/>
  <c r="G64" i="263" s="1"/>
  <c r="L85" i="263"/>
  <c r="G85" i="263" s="1"/>
  <c r="G75" i="255" s="1"/>
  <c r="L68" i="263"/>
  <c r="G68" i="263" s="1"/>
  <c r="L113" i="263"/>
  <c r="G113" i="263" s="1"/>
  <c r="L40" i="263"/>
  <c r="G40" i="263" s="1"/>
  <c r="L69" i="263"/>
  <c r="G69" i="263" s="1"/>
  <c r="G59" i="255" s="1"/>
  <c r="L43" i="263"/>
  <c r="G43" i="263" s="1"/>
  <c r="L49" i="263"/>
  <c r="G49" i="263" s="1"/>
  <c r="G39" i="255" s="1"/>
  <c r="H39" i="255" s="1"/>
  <c r="L131" i="263"/>
  <c r="G131" i="263" s="1"/>
  <c r="L115" i="263"/>
  <c r="G115" i="263" s="1"/>
  <c r="G105" i="255" s="1"/>
  <c r="L56" i="263"/>
  <c r="G56" i="263" s="1"/>
  <c r="L111" i="263"/>
  <c r="G111" i="263" s="1"/>
  <c r="L130" i="263"/>
  <c r="G130" i="263" s="1"/>
  <c r="L76" i="263"/>
  <c r="G76" i="263" s="1"/>
  <c r="L59" i="263"/>
  <c r="G59" i="263" s="1"/>
  <c r="L74" i="263"/>
  <c r="G74" i="263" s="1"/>
  <c r="G64" i="255" s="1"/>
  <c r="L78" i="263"/>
  <c r="G78" i="263" s="1"/>
  <c r="L42" i="263"/>
  <c r="G42" i="263" s="1"/>
  <c r="G32" i="255" s="1"/>
  <c r="L122" i="263"/>
  <c r="G122" i="263" s="1"/>
  <c r="G112" i="255" s="1"/>
  <c r="L38" i="263"/>
  <c r="G38" i="263" s="1"/>
  <c r="G28" i="255" s="1"/>
  <c r="L46" i="263"/>
  <c r="G46" i="263" s="1"/>
  <c r="L54" i="263"/>
  <c r="G54" i="263" s="1"/>
  <c r="L33" i="263"/>
  <c r="G33" i="263" s="1"/>
  <c r="L86" i="263"/>
  <c r="G86" i="263" s="1"/>
  <c r="G76" i="255" s="1"/>
  <c r="H76" i="255" s="1"/>
  <c r="L50" i="263"/>
  <c r="G50" i="263" s="1"/>
  <c r="L119" i="263"/>
  <c r="G119" i="263" s="1"/>
  <c r="L120" i="263"/>
  <c r="G120" i="263" s="1"/>
  <c r="G110" i="255" s="1"/>
  <c r="L84" i="263"/>
  <c r="G84" i="263" s="1"/>
  <c r="L31" i="263"/>
  <c r="G31" i="263" s="1"/>
  <c r="G21" i="255" s="1"/>
  <c r="L103" i="263"/>
  <c r="G103" i="263" s="1"/>
  <c r="L125" i="263"/>
  <c r="G125" i="263" s="1"/>
  <c r="L62" i="263"/>
  <c r="G62" i="263" s="1"/>
  <c r="L32" i="263"/>
  <c r="G32" i="263" s="1"/>
  <c r="L112" i="263"/>
  <c r="G112" i="263" s="1"/>
  <c r="G102" i="255" s="1"/>
  <c r="L128" i="263"/>
  <c r="G128" i="263" s="1"/>
  <c r="G118" i="255" s="1"/>
  <c r="G117" i="255"/>
  <c r="H116" i="255"/>
  <c r="I116" i="255"/>
  <c r="G51" i="255"/>
  <c r="H51" i="255" s="1"/>
  <c r="G113" i="255"/>
  <c r="H31" i="255"/>
  <c r="I31" i="255"/>
  <c r="G95" i="255"/>
  <c r="G50" i="255"/>
  <c r="G24" i="255"/>
  <c r="G86" i="255"/>
  <c r="H98" i="255" l="1"/>
  <c r="I98" i="255"/>
  <c r="I129" i="255"/>
  <c r="I82" i="255"/>
  <c r="H126" i="255"/>
  <c r="I126" i="255"/>
  <c r="H125" i="255"/>
  <c r="I125" i="255"/>
  <c r="L123" i="255"/>
  <c r="K123" i="255"/>
  <c r="L99" i="255"/>
  <c r="O99" i="255"/>
  <c r="N99" i="255"/>
  <c r="P99" i="255" s="1"/>
  <c r="G111" i="255"/>
  <c r="H111" i="255" s="1"/>
  <c r="G70" i="255"/>
  <c r="H70" i="255" s="1"/>
  <c r="G131" i="255"/>
  <c r="G49" i="255"/>
  <c r="I49" i="255" s="1"/>
  <c r="G132" i="255"/>
  <c r="G119" i="255"/>
  <c r="G53" i="255"/>
  <c r="I53" i="255" s="1"/>
  <c r="G62" i="255"/>
  <c r="H62" i="255" s="1"/>
  <c r="G65" i="255"/>
  <c r="H65" i="255" s="1"/>
  <c r="G43" i="255"/>
  <c r="H43" i="255" s="1"/>
  <c r="G127" i="255"/>
  <c r="G46" i="255"/>
  <c r="H46" i="255" s="1"/>
  <c r="G96" i="255"/>
  <c r="H96" i="255" s="1"/>
  <c r="G58" i="255"/>
  <c r="H58" i="255" s="1"/>
  <c r="G55" i="255"/>
  <c r="H55" i="255" s="1"/>
  <c r="G45" i="255"/>
  <c r="H45" i="255" s="1"/>
  <c r="G124" i="255"/>
  <c r="G48" i="255"/>
  <c r="H48" i="255" s="1"/>
  <c r="G80" i="255"/>
  <c r="H80" i="255" s="1"/>
  <c r="G41" i="255"/>
  <c r="H41" i="255" s="1"/>
  <c r="G33" i="255"/>
  <c r="H33" i="255" s="1"/>
  <c r="G37" i="255"/>
  <c r="H37" i="255" s="1"/>
  <c r="G73" i="255"/>
  <c r="H73" i="255" s="1"/>
  <c r="G103" i="255"/>
  <c r="H103" i="255" s="1"/>
  <c r="G72" i="255"/>
  <c r="H72" i="255" s="1"/>
  <c r="G26" i="255"/>
  <c r="H26" i="255" s="1"/>
  <c r="G94" i="255"/>
  <c r="H94" i="255" s="1"/>
  <c r="G106" i="255"/>
  <c r="H106" i="255" s="1"/>
  <c r="G67" i="255"/>
  <c r="H67" i="255" s="1"/>
  <c r="G38" i="255"/>
  <c r="H38" i="255" s="1"/>
  <c r="G35" i="255"/>
  <c r="I35" i="255" s="1"/>
  <c r="G27" i="255"/>
  <c r="H27" i="255" s="1"/>
  <c r="G79" i="255"/>
  <c r="H79" i="255" s="1"/>
  <c r="G47" i="255"/>
  <c r="H47" i="255" s="1"/>
  <c r="G57" i="255"/>
  <c r="H57" i="255" s="1"/>
  <c r="G78" i="255"/>
  <c r="H78" i="255" s="1"/>
  <c r="G88" i="255"/>
  <c r="H88" i="255" s="1"/>
  <c r="G92" i="255"/>
  <c r="I92" i="255" s="1"/>
  <c r="G109" i="255"/>
  <c r="H109" i="255" s="1"/>
  <c r="G66" i="255"/>
  <c r="H66" i="255" s="1"/>
  <c r="G30" i="255"/>
  <c r="H30" i="255" s="1"/>
  <c r="G25" i="255"/>
  <c r="H25" i="255" s="1"/>
  <c r="G54" i="255"/>
  <c r="H54" i="255" s="1"/>
  <c r="G81" i="255"/>
  <c r="H81" i="255" s="1"/>
  <c r="G36" i="255"/>
  <c r="H36" i="255" s="1"/>
  <c r="G93" i="255"/>
  <c r="H93" i="255" s="1"/>
  <c r="G44" i="255"/>
  <c r="I44" i="255" s="1"/>
  <c r="G84" i="255"/>
  <c r="H84" i="255" s="1"/>
  <c r="G74" i="255"/>
  <c r="I74" i="255" s="1"/>
  <c r="G101" i="255"/>
  <c r="H101" i="255" s="1"/>
  <c r="G40" i="255"/>
  <c r="H40" i="255" s="1"/>
  <c r="G121" i="255"/>
  <c r="H121" i="255" s="1"/>
  <c r="J121" i="255" s="1"/>
  <c r="G120" i="255"/>
  <c r="H120" i="255" s="1"/>
  <c r="G68" i="255"/>
  <c r="H68" i="255" s="1"/>
  <c r="G52" i="255"/>
  <c r="H52" i="255" s="1"/>
  <c r="G22" i="255"/>
  <c r="I22" i="255" s="1"/>
  <c r="G115" i="255"/>
  <c r="H115" i="255" s="1"/>
  <c r="G143" i="263"/>
  <c r="G23" i="255"/>
  <c r="H23" i="255" s="1"/>
  <c r="H118" i="255"/>
  <c r="I118" i="255"/>
  <c r="I51" i="255"/>
  <c r="J51" i="255" s="1"/>
  <c r="H117" i="255"/>
  <c r="I117" i="255"/>
  <c r="H114" i="255"/>
  <c r="I114" i="255"/>
  <c r="H113" i="255"/>
  <c r="I113" i="255"/>
  <c r="I102" i="255"/>
  <c r="H102" i="255"/>
  <c r="I39" i="255"/>
  <c r="I76" i="255"/>
  <c r="H28" i="255"/>
  <c r="I28" i="255"/>
  <c r="H95" i="255"/>
  <c r="I95" i="255"/>
  <c r="H110" i="255"/>
  <c r="I110" i="255"/>
  <c r="H104" i="255"/>
  <c r="I104" i="255"/>
  <c r="H112" i="255"/>
  <c r="I112" i="255"/>
  <c r="H105" i="255"/>
  <c r="I105" i="255"/>
  <c r="H29" i="255"/>
  <c r="I29" i="255"/>
  <c r="H108" i="255"/>
  <c r="I108" i="255"/>
  <c r="H90" i="255"/>
  <c r="I90" i="255"/>
  <c r="H42" i="255"/>
  <c r="I42" i="255"/>
  <c r="H64" i="255"/>
  <c r="I64" i="255"/>
  <c r="H61" i="255"/>
  <c r="I61" i="255"/>
  <c r="H56" i="255"/>
  <c r="I56" i="255"/>
  <c r="H86" i="255"/>
  <c r="I86" i="255"/>
  <c r="H107" i="255"/>
  <c r="I107" i="255"/>
  <c r="H59" i="255"/>
  <c r="I59" i="255"/>
  <c r="H85" i="255"/>
  <c r="I85" i="255"/>
  <c r="H24" i="255"/>
  <c r="I24" i="255"/>
  <c r="H69" i="255"/>
  <c r="I69" i="255"/>
  <c r="H71" i="255"/>
  <c r="I71" i="255"/>
  <c r="H63" i="255"/>
  <c r="I63" i="255"/>
  <c r="H32" i="255"/>
  <c r="I32" i="255"/>
  <c r="H60" i="255"/>
  <c r="I60" i="255"/>
  <c r="H87" i="255"/>
  <c r="I87" i="255"/>
  <c r="H89" i="255"/>
  <c r="I89" i="255"/>
  <c r="H21" i="255"/>
  <c r="I21" i="255"/>
  <c r="H75" i="255"/>
  <c r="I75" i="255"/>
  <c r="H34" i="255"/>
  <c r="I34" i="255"/>
  <c r="H91" i="255"/>
  <c r="I91" i="255"/>
  <c r="H83" i="255"/>
  <c r="I83" i="255"/>
  <c r="H50" i="255"/>
  <c r="I50" i="255"/>
  <c r="H77" i="255"/>
  <c r="I77" i="255"/>
  <c r="I46" i="255" l="1"/>
  <c r="M123" i="255"/>
  <c r="O123" i="255" s="1"/>
  <c r="Q99" i="255"/>
  <c r="S99" i="255" s="1"/>
  <c r="R99" i="255"/>
  <c r="I111" i="255"/>
  <c r="I58" i="255"/>
  <c r="I62" i="255"/>
  <c r="I26" i="255"/>
  <c r="I94" i="255"/>
  <c r="I70" i="255"/>
  <c r="I67" i="255"/>
  <c r="H53" i="255"/>
  <c r="I37" i="255"/>
  <c r="I48" i="255"/>
  <c r="I55" i="255"/>
  <c r="I72" i="255"/>
  <c r="I45" i="255"/>
  <c r="I65" i="255"/>
  <c r="I33" i="255"/>
  <c r="I80" i="255"/>
  <c r="I43" i="255"/>
  <c r="I96" i="255"/>
  <c r="I103" i="255"/>
  <c r="H127" i="255"/>
  <c r="I127" i="255"/>
  <c r="H132" i="255"/>
  <c r="I132" i="255"/>
  <c r="H124" i="255"/>
  <c r="I124" i="255"/>
  <c r="H119" i="255"/>
  <c r="I119" i="255"/>
  <c r="H131" i="255"/>
  <c r="I131" i="255"/>
  <c r="H49" i="255"/>
  <c r="I27" i="255"/>
  <c r="I73" i="255"/>
  <c r="I41" i="255"/>
  <c r="I38" i="255"/>
  <c r="H35" i="255"/>
  <c r="H92" i="255"/>
  <c r="I106" i="255"/>
  <c r="I47" i="255"/>
  <c r="I57" i="255"/>
  <c r="I79" i="255"/>
  <c r="I25" i="255"/>
  <c r="I109" i="255"/>
  <c r="I88" i="255"/>
  <c r="I40" i="255"/>
  <c r="I36" i="255"/>
  <c r="I30" i="255"/>
  <c r="I78" i="255"/>
  <c r="H74" i="255"/>
  <c r="I54" i="255"/>
  <c r="I101" i="255"/>
  <c r="I93" i="255"/>
  <c r="I81" i="255"/>
  <c r="H44" i="255"/>
  <c r="I66" i="255"/>
  <c r="I84" i="255"/>
  <c r="I120" i="255"/>
  <c r="I115" i="255"/>
  <c r="I68" i="255"/>
  <c r="I23" i="255"/>
  <c r="L121" i="255"/>
  <c r="K121" i="255"/>
  <c r="M121" i="255" s="1"/>
  <c r="H22" i="255"/>
  <c r="I52" i="255"/>
  <c r="G133" i="255"/>
  <c r="J116" i="255"/>
  <c r="L116" i="255" s="1"/>
  <c r="J117" i="255"/>
  <c r="J113" i="255"/>
  <c r="K51" i="255"/>
  <c r="L51" i="255"/>
  <c r="J31" i="255"/>
  <c r="K31" i="255" s="1"/>
  <c r="J104" i="255"/>
  <c r="J95" i="255"/>
  <c r="J100" i="255"/>
  <c r="J50" i="255"/>
  <c r="J24" i="255"/>
  <c r="J86" i="255"/>
  <c r="J98" i="255" l="1"/>
  <c r="L98" i="255" s="1"/>
  <c r="J129" i="255"/>
  <c r="L129" i="255" s="1"/>
  <c r="J114" i="255"/>
  <c r="L114" i="255" s="1"/>
  <c r="J126" i="255"/>
  <c r="J125" i="255"/>
  <c r="N123" i="255"/>
  <c r="P123" i="255" s="1"/>
  <c r="U99" i="255"/>
  <c r="T99" i="255"/>
  <c r="V99" i="255" s="1"/>
  <c r="W99" i="255" s="1"/>
  <c r="P99" i="256" s="1"/>
  <c r="J111" i="255"/>
  <c r="L111" i="255" s="1"/>
  <c r="J82" i="255"/>
  <c r="K82" i="255" s="1"/>
  <c r="J119" i="255"/>
  <c r="J132" i="255"/>
  <c r="J131" i="255"/>
  <c r="J124" i="255"/>
  <c r="J127" i="255"/>
  <c r="J28" i="255"/>
  <c r="L28" i="255" s="1"/>
  <c r="J62" i="255"/>
  <c r="L62" i="255" s="1"/>
  <c r="J83" i="255"/>
  <c r="L83" i="255" s="1"/>
  <c r="J105" i="255"/>
  <c r="L105" i="255" s="1"/>
  <c r="J37" i="255"/>
  <c r="L37" i="255" s="1"/>
  <c r="J103" i="255"/>
  <c r="L103" i="255" s="1"/>
  <c r="J61" i="255"/>
  <c r="L61" i="255" s="1"/>
  <c r="J55" i="255"/>
  <c r="L55" i="255" s="1"/>
  <c r="J63" i="255"/>
  <c r="L63" i="255" s="1"/>
  <c r="J57" i="255"/>
  <c r="L57" i="255" s="1"/>
  <c r="J90" i="255"/>
  <c r="L90" i="255" s="1"/>
  <c r="J120" i="255"/>
  <c r="K120" i="255" s="1"/>
  <c r="J40" i="255"/>
  <c r="K40" i="255" s="1"/>
  <c r="J107" i="255"/>
  <c r="K107" i="255" s="1"/>
  <c r="J38" i="255"/>
  <c r="K38" i="255" s="1"/>
  <c r="J45" i="255"/>
  <c r="K45" i="255" s="1"/>
  <c r="J109" i="255"/>
  <c r="L109" i="255" s="1"/>
  <c r="J44" i="255"/>
  <c r="L44" i="255" s="1"/>
  <c r="J69" i="255"/>
  <c r="K69" i="255" s="1"/>
  <c r="J47" i="255"/>
  <c r="K47" i="255" s="1"/>
  <c r="J75" i="255"/>
  <c r="K75" i="255" s="1"/>
  <c r="J76" i="255"/>
  <c r="K76" i="255" s="1"/>
  <c r="J32" i="255"/>
  <c r="L32" i="255" s="1"/>
  <c r="J26" i="255"/>
  <c r="L26" i="255" s="1"/>
  <c r="J96" i="255"/>
  <c r="K96" i="255" s="1"/>
  <c r="J94" i="255"/>
  <c r="L94" i="255" s="1"/>
  <c r="J85" i="255"/>
  <c r="L85" i="255" s="1"/>
  <c r="J25" i="255"/>
  <c r="K25" i="255" s="1"/>
  <c r="J78" i="255"/>
  <c r="L78" i="255" s="1"/>
  <c r="J102" i="255"/>
  <c r="L102" i="255" s="1"/>
  <c r="J35" i="255"/>
  <c r="L35" i="255" s="1"/>
  <c r="J81" i="255"/>
  <c r="L81" i="255" s="1"/>
  <c r="J106" i="255"/>
  <c r="L106" i="255" s="1"/>
  <c r="J101" i="255"/>
  <c r="L101" i="255" s="1"/>
  <c r="J93" i="255"/>
  <c r="K93" i="255" s="1"/>
  <c r="J118" i="255"/>
  <c r="K118" i="255" s="1"/>
  <c r="J64" i="255"/>
  <c r="K64" i="255" s="1"/>
  <c r="J77" i="255"/>
  <c r="K77" i="255" s="1"/>
  <c r="J70" i="255"/>
  <c r="L70" i="255" s="1"/>
  <c r="J67" i="255"/>
  <c r="L67" i="255" s="1"/>
  <c r="J66" i="255"/>
  <c r="L66" i="255" s="1"/>
  <c r="J72" i="255"/>
  <c r="L72" i="255" s="1"/>
  <c r="J58" i="255"/>
  <c r="K58" i="255" s="1"/>
  <c r="J84" i="255"/>
  <c r="K84" i="255" s="1"/>
  <c r="J36" i="255"/>
  <c r="L36" i="255" s="1"/>
  <c r="J39" i="255"/>
  <c r="K39" i="255" s="1"/>
  <c r="J43" i="255"/>
  <c r="K43" i="255" s="1"/>
  <c r="J59" i="255"/>
  <c r="L59" i="255" s="1"/>
  <c r="J88" i="255"/>
  <c r="K88" i="255" s="1"/>
  <c r="I133" i="255"/>
  <c r="J74" i="255"/>
  <c r="K74" i="255" s="1"/>
  <c r="J41" i="255"/>
  <c r="L41" i="255" s="1"/>
  <c r="J80" i="255"/>
  <c r="L80" i="255" s="1"/>
  <c r="J54" i="255"/>
  <c r="L54" i="255" s="1"/>
  <c r="J23" i="255"/>
  <c r="L23" i="255" s="1"/>
  <c r="J21" i="255"/>
  <c r="L21" i="255" s="1"/>
  <c r="J53" i="255"/>
  <c r="K53" i="255" s="1"/>
  <c r="J46" i="255"/>
  <c r="K46" i="255" s="1"/>
  <c r="J65" i="255"/>
  <c r="L65" i="255" s="1"/>
  <c r="J112" i="255"/>
  <c r="K112" i="255" s="1"/>
  <c r="J42" i="255"/>
  <c r="K42" i="255" s="1"/>
  <c r="J87" i="255"/>
  <c r="L87" i="255" s="1"/>
  <c r="J34" i="255"/>
  <c r="L34" i="255" s="1"/>
  <c r="J92" i="255"/>
  <c r="L92" i="255" s="1"/>
  <c r="J89" i="255"/>
  <c r="K89" i="255" s="1"/>
  <c r="J49" i="255"/>
  <c r="L49" i="255" s="1"/>
  <c r="J29" i="255"/>
  <c r="L29" i="255" s="1"/>
  <c r="J68" i="255"/>
  <c r="L68" i="255" s="1"/>
  <c r="J91" i="255"/>
  <c r="K91" i="255" s="1"/>
  <c r="J108" i="255"/>
  <c r="K108" i="255" s="1"/>
  <c r="J71" i="255"/>
  <c r="K71" i="255" s="1"/>
  <c r="J56" i="255"/>
  <c r="K56" i="255" s="1"/>
  <c r="J60" i="255"/>
  <c r="K60" i="255" s="1"/>
  <c r="J73" i="255"/>
  <c r="K73" i="255" s="1"/>
  <c r="J79" i="255"/>
  <c r="L79" i="255" s="1"/>
  <c r="J22" i="255"/>
  <c r="L22" i="255" s="1"/>
  <c r="J27" i="255"/>
  <c r="K27" i="255" s="1"/>
  <c r="J33" i="255"/>
  <c r="L33" i="255" s="1"/>
  <c r="J48" i="255"/>
  <c r="L48" i="255" s="1"/>
  <c r="J30" i="255"/>
  <c r="L30" i="255" s="1"/>
  <c r="J110" i="255"/>
  <c r="L110" i="255" s="1"/>
  <c r="J52" i="255"/>
  <c r="K52" i="255" s="1"/>
  <c r="J115" i="255"/>
  <c r="K115" i="255" s="1"/>
  <c r="O121" i="255"/>
  <c r="N121" i="255"/>
  <c r="K116" i="255"/>
  <c r="K117" i="255"/>
  <c r="L117" i="255"/>
  <c r="K113" i="255"/>
  <c r="L113" i="255"/>
  <c r="M51" i="255"/>
  <c r="O51" i="255" s="1"/>
  <c r="L31" i="255"/>
  <c r="K95" i="255"/>
  <c r="L95" i="255"/>
  <c r="L104" i="255"/>
  <c r="K104" i="255"/>
  <c r="L24" i="255"/>
  <c r="K24" i="255"/>
  <c r="L50" i="255"/>
  <c r="K50" i="255"/>
  <c r="L86" i="255"/>
  <c r="K86" i="255"/>
  <c r="L100" i="255"/>
  <c r="K100" i="255"/>
  <c r="K98" i="255" l="1"/>
  <c r="K114" i="255"/>
  <c r="K129" i="255"/>
  <c r="L125" i="255"/>
  <c r="K125" i="255"/>
  <c r="L126" i="255"/>
  <c r="K126" i="255"/>
  <c r="R123" i="255"/>
  <c r="Q123" i="255"/>
  <c r="K111" i="255"/>
  <c r="P99" i="257"/>
  <c r="Q99" i="256"/>
  <c r="Q99" i="257" s="1"/>
  <c r="L82" i="255"/>
  <c r="K83" i="255"/>
  <c r="K124" i="255"/>
  <c r="L124" i="255"/>
  <c r="K131" i="255"/>
  <c r="L131" i="255"/>
  <c r="L132" i="255"/>
  <c r="K132" i="255"/>
  <c r="L127" i="255"/>
  <c r="K127" i="255"/>
  <c r="K119" i="255"/>
  <c r="L119" i="255"/>
  <c r="K32" i="255"/>
  <c r="K94" i="255"/>
  <c r="L39" i="255"/>
  <c r="K103" i="255"/>
  <c r="K62" i="255"/>
  <c r="L77" i="255"/>
  <c r="L76" i="255"/>
  <c r="L107" i="255"/>
  <c r="K61" i="255"/>
  <c r="L38" i="255"/>
  <c r="K90" i="255"/>
  <c r="K55" i="255"/>
  <c r="K105" i="255"/>
  <c r="K28" i="255"/>
  <c r="K26" i="255"/>
  <c r="K92" i="255"/>
  <c r="L88" i="255"/>
  <c r="K37" i="255"/>
  <c r="K36" i="255"/>
  <c r="L45" i="255"/>
  <c r="K41" i="255"/>
  <c r="L47" i="255"/>
  <c r="L108" i="255"/>
  <c r="K49" i="255"/>
  <c r="L74" i="255"/>
  <c r="L58" i="255"/>
  <c r="L71" i="255"/>
  <c r="L75" i="255"/>
  <c r="L42" i="255"/>
  <c r="K80" i="255"/>
  <c r="K106" i="255"/>
  <c r="L40" i="255"/>
  <c r="L64" i="255"/>
  <c r="L96" i="255"/>
  <c r="L46" i="255"/>
  <c r="K54" i="255"/>
  <c r="K33" i="255"/>
  <c r="K57" i="255"/>
  <c r="K72" i="255"/>
  <c r="K102" i="255"/>
  <c r="L73" i="255"/>
  <c r="K87" i="255"/>
  <c r="K44" i="255"/>
  <c r="K101" i="255"/>
  <c r="L69" i="255"/>
  <c r="K34" i="255"/>
  <c r="L43" i="255"/>
  <c r="L93" i="255"/>
  <c r="K35" i="255"/>
  <c r="K85" i="255"/>
  <c r="L120" i="255"/>
  <c r="K23" i="255"/>
  <c r="K48" i="255"/>
  <c r="K79" i="255"/>
  <c r="K70" i="255"/>
  <c r="K29" i="255"/>
  <c r="K65" i="255"/>
  <c r="K59" i="255"/>
  <c r="K67" i="255"/>
  <c r="K63" i="255"/>
  <c r="K78" i="255"/>
  <c r="K66" i="255"/>
  <c r="L53" i="255"/>
  <c r="K109" i="255"/>
  <c r="L27" i="255"/>
  <c r="L60" i="255"/>
  <c r="L91" i="255"/>
  <c r="L89" i="255"/>
  <c r="L52" i="255"/>
  <c r="K110" i="255"/>
  <c r="J133" i="255"/>
  <c r="L56" i="255"/>
  <c r="K21" i="255"/>
  <c r="K22" i="255"/>
  <c r="K30" i="255"/>
  <c r="L112" i="255"/>
  <c r="K68" i="255"/>
  <c r="L115" i="255"/>
  <c r="L118" i="255"/>
  <c r="K81" i="255"/>
  <c r="L84" i="255"/>
  <c r="L25" i="255"/>
  <c r="P121" i="255"/>
  <c r="R121" i="255" s="1"/>
  <c r="M116" i="255"/>
  <c r="O116" i="255" s="1"/>
  <c r="M117" i="255"/>
  <c r="M113" i="255"/>
  <c r="N51" i="255"/>
  <c r="P51" i="255" s="1"/>
  <c r="Q51" i="255" s="1"/>
  <c r="M31" i="255"/>
  <c r="O31" i="255" s="1"/>
  <c r="M95" i="255"/>
  <c r="O95" i="255" s="1"/>
  <c r="M104" i="255"/>
  <c r="M100" i="255"/>
  <c r="M86" i="255"/>
  <c r="M50" i="255"/>
  <c r="M24" i="255"/>
  <c r="M98" i="255" l="1"/>
  <c r="O98" i="255" s="1"/>
  <c r="M129" i="255"/>
  <c r="O129" i="255" s="1"/>
  <c r="M114" i="255"/>
  <c r="O114" i="255" s="1"/>
  <c r="M126" i="255"/>
  <c r="M125" i="255"/>
  <c r="S123" i="255"/>
  <c r="U123" i="255" s="1"/>
  <c r="M111" i="255"/>
  <c r="N111" i="255" s="1"/>
  <c r="M82" i="255"/>
  <c r="N82" i="255" s="1"/>
  <c r="M131" i="255"/>
  <c r="M127" i="255"/>
  <c r="M132" i="255"/>
  <c r="M119" i="255"/>
  <c r="M124" i="255"/>
  <c r="M48" i="255"/>
  <c r="O48" i="255" s="1"/>
  <c r="M46" i="255"/>
  <c r="N46" i="255" s="1"/>
  <c r="M103" i="255"/>
  <c r="N103" i="255" s="1"/>
  <c r="M70" i="255"/>
  <c r="N70" i="255" s="1"/>
  <c r="M89" i="255"/>
  <c r="O89" i="255" s="1"/>
  <c r="M21" i="255"/>
  <c r="N21" i="255" s="1"/>
  <c r="M47" i="255"/>
  <c r="N47" i="255" s="1"/>
  <c r="M26" i="255"/>
  <c r="O26" i="255" s="1"/>
  <c r="M81" i="255"/>
  <c r="O81" i="255" s="1"/>
  <c r="M85" i="255"/>
  <c r="O85" i="255" s="1"/>
  <c r="M73" i="255"/>
  <c r="N73" i="255" s="1"/>
  <c r="M32" i="255"/>
  <c r="O32" i="255" s="1"/>
  <c r="M39" i="255"/>
  <c r="N39" i="255" s="1"/>
  <c r="M106" i="255"/>
  <c r="O106" i="255" s="1"/>
  <c r="M112" i="255"/>
  <c r="N112" i="255" s="1"/>
  <c r="M120" i="255"/>
  <c r="O120" i="255" s="1"/>
  <c r="M71" i="255"/>
  <c r="O71" i="255" s="1"/>
  <c r="M110" i="255"/>
  <c r="N110" i="255" s="1"/>
  <c r="M88" i="255"/>
  <c r="N88" i="255" s="1"/>
  <c r="M80" i="255"/>
  <c r="O80" i="255" s="1"/>
  <c r="M61" i="255"/>
  <c r="N61" i="255" s="1"/>
  <c r="M105" i="255"/>
  <c r="O105" i="255" s="1"/>
  <c r="M69" i="255"/>
  <c r="O69" i="255" s="1"/>
  <c r="M115" i="255"/>
  <c r="N115" i="255" s="1"/>
  <c r="M118" i="255"/>
  <c r="N118" i="255" s="1"/>
  <c r="L133" i="255"/>
  <c r="M38" i="255"/>
  <c r="N38" i="255" s="1"/>
  <c r="M42" i="255"/>
  <c r="O42" i="255" s="1"/>
  <c r="M49" i="255"/>
  <c r="O49" i="255" s="1"/>
  <c r="M91" i="255"/>
  <c r="O91" i="255" s="1"/>
  <c r="M68" i="255"/>
  <c r="N68" i="255" s="1"/>
  <c r="M76" i="255"/>
  <c r="O76" i="255" s="1"/>
  <c r="M75" i="255"/>
  <c r="O75" i="255" s="1"/>
  <c r="M60" i="255"/>
  <c r="N60" i="255" s="1"/>
  <c r="M57" i="255"/>
  <c r="O57" i="255" s="1"/>
  <c r="M94" i="255"/>
  <c r="N94" i="255" s="1"/>
  <c r="M108" i="255"/>
  <c r="N108" i="255" s="1"/>
  <c r="M87" i="255"/>
  <c r="O87" i="255" s="1"/>
  <c r="M96" i="255"/>
  <c r="O96" i="255" s="1"/>
  <c r="M83" i="255"/>
  <c r="O83" i="255" s="1"/>
  <c r="M72" i="255"/>
  <c r="O72" i="255" s="1"/>
  <c r="K133" i="255"/>
  <c r="M34" i="255"/>
  <c r="O34" i="255" s="1"/>
  <c r="M66" i="255"/>
  <c r="O66" i="255" s="1"/>
  <c r="M52" i="255"/>
  <c r="O52" i="255" s="1"/>
  <c r="M58" i="255"/>
  <c r="O58" i="255" s="1"/>
  <c r="M36" i="255"/>
  <c r="N36" i="255" s="1"/>
  <c r="M77" i="255"/>
  <c r="O77" i="255" s="1"/>
  <c r="M78" i="255"/>
  <c r="O78" i="255" s="1"/>
  <c r="M33" i="255"/>
  <c r="O33" i="255" s="1"/>
  <c r="M55" i="255"/>
  <c r="O55" i="255" s="1"/>
  <c r="M23" i="255"/>
  <c r="O23" i="255" s="1"/>
  <c r="M90" i="255"/>
  <c r="N90" i="255" s="1"/>
  <c r="M84" i="255"/>
  <c r="N84" i="255" s="1"/>
  <c r="M22" i="255"/>
  <c r="O22" i="255" s="1"/>
  <c r="M53" i="255"/>
  <c r="N53" i="255" s="1"/>
  <c r="M29" i="255"/>
  <c r="O29" i="255" s="1"/>
  <c r="M25" i="255"/>
  <c r="N25" i="255" s="1"/>
  <c r="M64" i="255"/>
  <c r="N64" i="255" s="1"/>
  <c r="M40" i="255"/>
  <c r="O40" i="255" s="1"/>
  <c r="M28" i="255"/>
  <c r="N28" i="255" s="1"/>
  <c r="M43" i="255"/>
  <c r="O43" i="255" s="1"/>
  <c r="M63" i="255"/>
  <c r="N63" i="255" s="1"/>
  <c r="M101" i="255"/>
  <c r="O101" i="255" s="1"/>
  <c r="M65" i="255"/>
  <c r="O65" i="255" s="1"/>
  <c r="M30" i="255"/>
  <c r="O30" i="255" s="1"/>
  <c r="M92" i="255"/>
  <c r="N92" i="255" s="1"/>
  <c r="M41" i="255"/>
  <c r="N41" i="255" s="1"/>
  <c r="M67" i="255"/>
  <c r="O67" i="255" s="1"/>
  <c r="M56" i="255"/>
  <c r="O56" i="255" s="1"/>
  <c r="M74" i="255"/>
  <c r="O74" i="255" s="1"/>
  <c r="M79" i="255"/>
  <c r="O79" i="255" s="1"/>
  <c r="M102" i="255"/>
  <c r="O102" i="255" s="1"/>
  <c r="M27" i="255"/>
  <c r="O27" i="255" s="1"/>
  <c r="M44" i="255"/>
  <c r="O44" i="255" s="1"/>
  <c r="M59" i="255"/>
  <c r="O59" i="255" s="1"/>
  <c r="M37" i="255"/>
  <c r="O37" i="255" s="1"/>
  <c r="M54" i="255"/>
  <c r="N54" i="255" s="1"/>
  <c r="M107" i="255"/>
  <c r="O107" i="255" s="1"/>
  <c r="M62" i="255"/>
  <c r="O62" i="255" s="1"/>
  <c r="M35" i="255"/>
  <c r="O35" i="255" s="1"/>
  <c r="M45" i="255"/>
  <c r="O45" i="255" s="1"/>
  <c r="M109" i="255"/>
  <c r="O109" i="255" s="1"/>
  <c r="M93" i="255"/>
  <c r="N93" i="255" s="1"/>
  <c r="Q121" i="255"/>
  <c r="N116" i="255"/>
  <c r="O117" i="255"/>
  <c r="N117" i="255"/>
  <c r="N113" i="255"/>
  <c r="O113" i="255"/>
  <c r="R51" i="255"/>
  <c r="S51" i="255" s="1"/>
  <c r="N31" i="255"/>
  <c r="N95" i="255"/>
  <c r="N104" i="255"/>
  <c r="O104" i="255"/>
  <c r="O100" i="255"/>
  <c r="N100" i="255"/>
  <c r="O24" i="255"/>
  <c r="N24" i="255"/>
  <c r="O50" i="255"/>
  <c r="N50" i="255"/>
  <c r="O86" i="255"/>
  <c r="N86" i="255"/>
  <c r="N98" i="255" l="1"/>
  <c r="N114" i="255"/>
  <c r="N129" i="255"/>
  <c r="O126" i="255"/>
  <c r="N126" i="255"/>
  <c r="O125" i="255"/>
  <c r="N125" i="255"/>
  <c r="T123" i="255"/>
  <c r="V123" i="255" s="1"/>
  <c r="W123" i="255" s="1"/>
  <c r="P123" i="256" s="1"/>
  <c r="O82" i="255"/>
  <c r="O111" i="255"/>
  <c r="O112" i="255"/>
  <c r="O119" i="255"/>
  <c r="N119" i="255"/>
  <c r="O132" i="255"/>
  <c r="N132" i="255"/>
  <c r="O127" i="255"/>
  <c r="N127" i="255"/>
  <c r="O124" i="255"/>
  <c r="N124" i="255"/>
  <c r="O131" i="255"/>
  <c r="N131" i="255"/>
  <c r="N105" i="255"/>
  <c r="O21" i="255"/>
  <c r="O103" i="255"/>
  <c r="O47" i="255"/>
  <c r="O68" i="255"/>
  <c r="N69" i="255"/>
  <c r="N57" i="255"/>
  <c r="O38" i="255"/>
  <c r="O88" i="255"/>
  <c r="O73" i="255"/>
  <c r="O46" i="255"/>
  <c r="N85" i="255"/>
  <c r="N106" i="255"/>
  <c r="O110" i="255"/>
  <c r="N87" i="255"/>
  <c r="O84" i="255"/>
  <c r="O39" i="255"/>
  <c r="N89" i="255"/>
  <c r="N49" i="255"/>
  <c r="N48" i="255"/>
  <c r="N52" i="255"/>
  <c r="N71" i="255"/>
  <c r="O61" i="255"/>
  <c r="N81" i="255"/>
  <c r="O118" i="255"/>
  <c r="N75" i="255"/>
  <c r="O90" i="255"/>
  <c r="O53" i="255"/>
  <c r="N67" i="255"/>
  <c r="O70" i="255"/>
  <c r="N23" i="255"/>
  <c r="N79" i="255"/>
  <c r="N78" i="255"/>
  <c r="O108" i="255"/>
  <c r="N65" i="255"/>
  <c r="N35" i="255"/>
  <c r="N29" i="255"/>
  <c r="O28" i="255"/>
  <c r="N72" i="255"/>
  <c r="N102" i="255"/>
  <c r="N96" i="255"/>
  <c r="O36" i="255"/>
  <c r="N34" i="255"/>
  <c r="N22" i="255"/>
  <c r="N55" i="255"/>
  <c r="O64" i="255"/>
  <c r="O92" i="255"/>
  <c r="N42" i="255"/>
  <c r="O94" i="255"/>
  <c r="N101" i="255"/>
  <c r="O41" i="255"/>
  <c r="N76" i="255"/>
  <c r="O54" i="255"/>
  <c r="O63" i="255"/>
  <c r="N107" i="255"/>
  <c r="N62" i="255"/>
  <c r="N80" i="255"/>
  <c r="N40" i="255"/>
  <c r="O115" i="255"/>
  <c r="N83" i="255"/>
  <c r="N66" i="255"/>
  <c r="N120" i="255"/>
  <c r="N32" i="255"/>
  <c r="N26" i="255"/>
  <c r="N77" i="255"/>
  <c r="N59" i="255"/>
  <c r="N44" i="255"/>
  <c r="N74" i="255"/>
  <c r="O93" i="255"/>
  <c r="N109" i="255"/>
  <c r="M133" i="255"/>
  <c r="N30" i="255"/>
  <c r="N27" i="255"/>
  <c r="O25" i="255"/>
  <c r="N33" i="255"/>
  <c r="N43" i="255"/>
  <c r="N58" i="255"/>
  <c r="O60" i="255"/>
  <c r="N91" i="255"/>
  <c r="N45" i="255"/>
  <c r="N56" i="255"/>
  <c r="N37" i="255"/>
  <c r="S121" i="255"/>
  <c r="U121" i="255" s="1"/>
  <c r="P116" i="255"/>
  <c r="Q116" i="255" s="1"/>
  <c r="P117" i="255"/>
  <c r="R117" i="255" s="1"/>
  <c r="P113" i="255"/>
  <c r="U51" i="255"/>
  <c r="T51" i="255"/>
  <c r="P31" i="255"/>
  <c r="P95" i="255"/>
  <c r="Q95" i="255" s="1"/>
  <c r="P104" i="255"/>
  <c r="P50" i="255"/>
  <c r="P100" i="255"/>
  <c r="P86" i="255"/>
  <c r="P24" i="255"/>
  <c r="P98" i="255" l="1"/>
  <c r="R98" i="255" s="1"/>
  <c r="P129" i="255"/>
  <c r="R129" i="255" s="1"/>
  <c r="P114" i="255"/>
  <c r="R114" i="255" s="1"/>
  <c r="P126" i="255"/>
  <c r="P125" i="255"/>
  <c r="P123" i="257"/>
  <c r="Q123" i="256"/>
  <c r="Q123" i="257" s="1"/>
  <c r="P82" i="255"/>
  <c r="R82" i="255" s="1"/>
  <c r="P111" i="255"/>
  <c r="Q111" i="255" s="1"/>
  <c r="P124" i="255"/>
  <c r="P132" i="255"/>
  <c r="P131" i="255"/>
  <c r="P127" i="255"/>
  <c r="P119" i="255"/>
  <c r="P78" i="255"/>
  <c r="R78" i="255" s="1"/>
  <c r="P89" i="255"/>
  <c r="R89" i="255" s="1"/>
  <c r="P61" i="255"/>
  <c r="R61" i="255" s="1"/>
  <c r="O133" i="255"/>
  <c r="P38" i="255"/>
  <c r="R38" i="255" s="1"/>
  <c r="P43" i="255"/>
  <c r="R43" i="255" s="1"/>
  <c r="P70" i="255"/>
  <c r="Q70" i="255" s="1"/>
  <c r="P67" i="255"/>
  <c r="R67" i="255" s="1"/>
  <c r="P83" i="255"/>
  <c r="Q83" i="255" s="1"/>
  <c r="P69" i="255"/>
  <c r="R69" i="255" s="1"/>
  <c r="P88" i="255"/>
  <c r="Q88" i="255" s="1"/>
  <c r="P33" i="255"/>
  <c r="Q33" i="255" s="1"/>
  <c r="P25" i="255"/>
  <c r="R25" i="255" s="1"/>
  <c r="P106" i="255"/>
  <c r="Q106" i="255" s="1"/>
  <c r="P105" i="255"/>
  <c r="R105" i="255" s="1"/>
  <c r="P32" i="255"/>
  <c r="R32" i="255" s="1"/>
  <c r="P58" i="255"/>
  <c r="R58" i="255" s="1"/>
  <c r="P72" i="255"/>
  <c r="R72" i="255" s="1"/>
  <c r="P22" i="255"/>
  <c r="R22" i="255" s="1"/>
  <c r="P23" i="255"/>
  <c r="P55" i="255"/>
  <c r="Q55" i="255" s="1"/>
  <c r="P80" i="255"/>
  <c r="R80" i="255" s="1"/>
  <c r="P68" i="255"/>
  <c r="Q68" i="255" s="1"/>
  <c r="P112" i="255"/>
  <c r="R112" i="255" s="1"/>
  <c r="P21" i="255"/>
  <c r="Q21" i="255" s="1"/>
  <c r="P54" i="255"/>
  <c r="Q54" i="255" s="1"/>
  <c r="P107" i="255"/>
  <c r="R107" i="255" s="1"/>
  <c r="N133" i="255"/>
  <c r="P63" i="255"/>
  <c r="R63" i="255" s="1"/>
  <c r="P85" i="255"/>
  <c r="R85" i="255" s="1"/>
  <c r="P34" i="255"/>
  <c r="R34" i="255" s="1"/>
  <c r="P64" i="255"/>
  <c r="Q64" i="255" s="1"/>
  <c r="P73" i="255"/>
  <c r="R73" i="255" s="1"/>
  <c r="P44" i="255"/>
  <c r="R44" i="255" s="1"/>
  <c r="P36" i="255"/>
  <c r="R36" i="255" s="1"/>
  <c r="P37" i="255"/>
  <c r="Q37" i="255" s="1"/>
  <c r="P56" i="255"/>
  <c r="Q56" i="255" s="1"/>
  <c r="P108" i="255"/>
  <c r="Q108" i="255" s="1"/>
  <c r="P35" i="255"/>
  <c r="R35" i="255" s="1"/>
  <c r="P96" i="255"/>
  <c r="R96" i="255" s="1"/>
  <c r="P90" i="255"/>
  <c r="R90" i="255" s="1"/>
  <c r="P30" i="255"/>
  <c r="Q30" i="255" s="1"/>
  <c r="P53" i="255"/>
  <c r="R53" i="255" s="1"/>
  <c r="P40" i="255"/>
  <c r="Q40" i="255" s="1"/>
  <c r="P46" i="255"/>
  <c r="R46" i="255" s="1"/>
  <c r="P109" i="255"/>
  <c r="Q109" i="255" s="1"/>
  <c r="P91" i="255"/>
  <c r="R91" i="255" s="1"/>
  <c r="P45" i="255"/>
  <c r="R45" i="255" s="1"/>
  <c r="P74" i="255"/>
  <c r="R74" i="255" s="1"/>
  <c r="P27" i="255"/>
  <c r="Q27" i="255" s="1"/>
  <c r="P47" i="255"/>
  <c r="R47" i="255" s="1"/>
  <c r="P87" i="255"/>
  <c r="R87" i="255" s="1"/>
  <c r="P41" i="255"/>
  <c r="Q41" i="255" s="1"/>
  <c r="P102" i="255"/>
  <c r="R102" i="255" s="1"/>
  <c r="P52" i="255"/>
  <c r="Q52" i="255" s="1"/>
  <c r="P42" i="255"/>
  <c r="Q42" i="255" s="1"/>
  <c r="P81" i="255"/>
  <c r="R81" i="255" s="1"/>
  <c r="P39" i="255"/>
  <c r="R39" i="255" s="1"/>
  <c r="P48" i="255"/>
  <c r="R48" i="255" s="1"/>
  <c r="P29" i="255"/>
  <c r="R29" i="255" s="1"/>
  <c r="P94" i="255"/>
  <c r="Q94" i="255" s="1"/>
  <c r="P49" i="255"/>
  <c r="R49" i="255" s="1"/>
  <c r="P76" i="255"/>
  <c r="Q76" i="255" s="1"/>
  <c r="P71" i="255"/>
  <c r="R71" i="255" s="1"/>
  <c r="P65" i="255"/>
  <c r="R65" i="255" s="1"/>
  <c r="P101" i="255"/>
  <c r="R101" i="255" s="1"/>
  <c r="P79" i="255"/>
  <c r="R79" i="255" s="1"/>
  <c r="P103" i="255"/>
  <c r="R103" i="255" s="1"/>
  <c r="P66" i="255"/>
  <c r="R66" i="255" s="1"/>
  <c r="P59" i="255"/>
  <c r="Q59" i="255" s="1"/>
  <c r="P92" i="255"/>
  <c r="Q92" i="255" s="1"/>
  <c r="P62" i="255"/>
  <c r="R62" i="255" s="1"/>
  <c r="P84" i="255"/>
  <c r="R84" i="255" s="1"/>
  <c r="P75" i="255"/>
  <c r="R75" i="255" s="1"/>
  <c r="P28" i="255"/>
  <c r="R28" i="255" s="1"/>
  <c r="P60" i="255"/>
  <c r="R60" i="255" s="1"/>
  <c r="P57" i="255"/>
  <c r="R57" i="255" s="1"/>
  <c r="P77" i="255"/>
  <c r="R77" i="255" s="1"/>
  <c r="P26" i="255"/>
  <c r="Q26" i="255" s="1"/>
  <c r="P118" i="255"/>
  <c r="Q118" i="255" s="1"/>
  <c r="P120" i="255"/>
  <c r="R120" i="255" s="1"/>
  <c r="P110" i="255"/>
  <c r="Q110" i="255" s="1"/>
  <c r="P93" i="255"/>
  <c r="Q93" i="255" s="1"/>
  <c r="P115" i="255"/>
  <c r="Q115" i="255" s="1"/>
  <c r="T121" i="255"/>
  <c r="V121" i="255" s="1"/>
  <c r="W121" i="255" s="1"/>
  <c r="P121" i="256" s="1"/>
  <c r="R116" i="255"/>
  <c r="Q117" i="255"/>
  <c r="R113" i="255"/>
  <c r="Q113" i="255"/>
  <c r="V51" i="255"/>
  <c r="W51" i="255" s="1"/>
  <c r="P51" i="256" s="1"/>
  <c r="R95" i="255"/>
  <c r="Q31" i="255"/>
  <c r="R31" i="255"/>
  <c r="R104" i="255"/>
  <c r="Q104" i="255"/>
  <c r="R24" i="255"/>
  <c r="Q24" i="255"/>
  <c r="R86" i="255"/>
  <c r="Q86" i="255"/>
  <c r="R50" i="255"/>
  <c r="Q50" i="255"/>
  <c r="R100" i="255"/>
  <c r="Q100" i="255"/>
  <c r="Q98" i="255" l="1"/>
  <c r="Q114" i="255"/>
  <c r="Q129" i="255"/>
  <c r="R126" i="255"/>
  <c r="Q126" i="255"/>
  <c r="R125" i="255"/>
  <c r="Q125" i="255"/>
  <c r="Q82" i="255"/>
  <c r="Q69" i="255"/>
  <c r="R111" i="255"/>
  <c r="R68" i="255"/>
  <c r="P121" i="257"/>
  <c r="Q121" i="256"/>
  <c r="Q121" i="257" s="1"/>
  <c r="P51" i="257"/>
  <c r="Q51" i="256"/>
  <c r="Q51" i="257" s="1"/>
  <c r="R109" i="255"/>
  <c r="R127" i="255"/>
  <c r="Q127" i="255"/>
  <c r="R131" i="255"/>
  <c r="Q131" i="255"/>
  <c r="R132" i="255"/>
  <c r="Q132" i="255"/>
  <c r="R119" i="255"/>
  <c r="Q119" i="255"/>
  <c r="R124" i="255"/>
  <c r="Q124" i="255"/>
  <c r="R108" i="255"/>
  <c r="R88" i="255"/>
  <c r="Q22" i="255"/>
  <c r="Q91" i="255"/>
  <c r="Q80" i="255"/>
  <c r="R106" i="255"/>
  <c r="Q43" i="255"/>
  <c r="R30" i="255"/>
  <c r="R27" i="255"/>
  <c r="R54" i="255"/>
  <c r="Q44" i="255"/>
  <c r="Q72" i="255"/>
  <c r="Q89" i="255"/>
  <c r="Q85" i="255"/>
  <c r="Q90" i="255"/>
  <c r="Q102" i="255"/>
  <c r="Q61" i="255"/>
  <c r="Q39" i="255"/>
  <c r="R92" i="255"/>
  <c r="R70" i="255"/>
  <c r="Q75" i="255"/>
  <c r="Q78" i="255"/>
  <c r="R83" i="255"/>
  <c r="Q58" i="255"/>
  <c r="Q46" i="255"/>
  <c r="R56" i="255"/>
  <c r="R94" i="255"/>
  <c r="R55" i="255"/>
  <c r="Q38" i="255"/>
  <c r="Q73" i="255"/>
  <c r="Q63" i="255"/>
  <c r="R41" i="255"/>
  <c r="R21" i="255"/>
  <c r="Q74" i="255"/>
  <c r="Q25" i="255"/>
  <c r="Q81" i="255"/>
  <c r="Q84" i="255"/>
  <c r="Q66" i="255"/>
  <c r="Q57" i="255"/>
  <c r="Q65" i="255"/>
  <c r="Q47" i="255"/>
  <c r="R52" i="255"/>
  <c r="Q107" i="255"/>
  <c r="Q36" i="255"/>
  <c r="Q34" i="255"/>
  <c r="Q105" i="255"/>
  <c r="Q28" i="255"/>
  <c r="Q53" i="255"/>
  <c r="Q35" i="255"/>
  <c r="Q48" i="255"/>
  <c r="R76" i="255"/>
  <c r="Q87" i="255"/>
  <c r="R59" i="255"/>
  <c r="Q101" i="255"/>
  <c r="Q77" i="255"/>
  <c r="Q49" i="255"/>
  <c r="Q62" i="255"/>
  <c r="Q32" i="255"/>
  <c r="Q67" i="255"/>
  <c r="R110" i="255"/>
  <c r="Q79" i="255"/>
  <c r="R26" i="255"/>
  <c r="R33" i="255"/>
  <c r="R42" i="255"/>
  <c r="R64" i="255"/>
  <c r="R37" i="255"/>
  <c r="P133" i="255"/>
  <c r="Q23" i="255"/>
  <c r="Q103" i="255"/>
  <c r="Q96" i="255"/>
  <c r="Q60" i="255"/>
  <c r="Q29" i="255"/>
  <c r="R40" i="255"/>
  <c r="R23" i="255"/>
  <c r="Q71" i="255"/>
  <c r="Q112" i="255"/>
  <c r="R118" i="255"/>
  <c r="Q45" i="255"/>
  <c r="R93" i="255"/>
  <c r="Q120" i="255"/>
  <c r="R115" i="255"/>
  <c r="S116" i="255"/>
  <c r="U116" i="255" s="1"/>
  <c r="S117" i="255"/>
  <c r="U117" i="255" s="1"/>
  <c r="S113" i="255"/>
  <c r="U113" i="255" s="1"/>
  <c r="S95" i="255"/>
  <c r="T95" i="255" s="1"/>
  <c r="S31" i="255"/>
  <c r="U95" i="255"/>
  <c r="S104" i="255"/>
  <c r="S50" i="255"/>
  <c r="U50" i="255" s="1"/>
  <c r="S86" i="255"/>
  <c r="S100" i="255"/>
  <c r="S24" i="255"/>
  <c r="S98" i="255" l="1"/>
  <c r="U98" i="255" s="1"/>
  <c r="S114" i="255"/>
  <c r="U114" i="255" s="1"/>
  <c r="S129" i="255"/>
  <c r="U129" i="255" s="1"/>
  <c r="S126" i="255"/>
  <c r="S125" i="255"/>
  <c r="S111" i="255"/>
  <c r="U111" i="255" s="1"/>
  <c r="S82" i="255"/>
  <c r="U82" i="255" s="1"/>
  <c r="S119" i="255"/>
  <c r="S132" i="255"/>
  <c r="S127" i="255"/>
  <c r="S131" i="255"/>
  <c r="S124" i="255"/>
  <c r="S68" i="255"/>
  <c r="U68" i="255" s="1"/>
  <c r="S45" i="255"/>
  <c r="T45" i="255" s="1"/>
  <c r="S66" i="255"/>
  <c r="U66" i="255" s="1"/>
  <c r="S70" i="255"/>
  <c r="U70" i="255" s="1"/>
  <c r="S41" i="255"/>
  <c r="T41" i="255" s="1"/>
  <c r="S73" i="255"/>
  <c r="T73" i="255" s="1"/>
  <c r="S67" i="255"/>
  <c r="U67" i="255" s="1"/>
  <c r="S59" i="255"/>
  <c r="U59" i="255" s="1"/>
  <c r="S54" i="255"/>
  <c r="U54" i="255" s="1"/>
  <c r="S63" i="255"/>
  <c r="T63" i="255" s="1"/>
  <c r="S39" i="255"/>
  <c r="U39" i="255" s="1"/>
  <c r="S53" i="255"/>
  <c r="T53" i="255" s="1"/>
  <c r="S109" i="255"/>
  <c r="T109" i="255" s="1"/>
  <c r="S93" i="255"/>
  <c r="T93" i="255" s="1"/>
  <c r="S107" i="255"/>
  <c r="U107" i="255" s="1"/>
  <c r="S58" i="255"/>
  <c r="U58" i="255" s="1"/>
  <c r="S65" i="255"/>
  <c r="U65" i="255" s="1"/>
  <c r="S79" i="255"/>
  <c r="T79" i="255" s="1"/>
  <c r="S92" i="255"/>
  <c r="U92" i="255" s="1"/>
  <c r="S60" i="255"/>
  <c r="U60" i="255" s="1"/>
  <c r="S46" i="255"/>
  <c r="U46" i="255" s="1"/>
  <c r="R133" i="255"/>
  <c r="S120" i="255"/>
  <c r="U120" i="255" s="1"/>
  <c r="S71" i="255"/>
  <c r="T71" i="255" s="1"/>
  <c r="S110" i="255"/>
  <c r="T110" i="255" s="1"/>
  <c r="S21" i="255"/>
  <c r="T21" i="255" s="1"/>
  <c r="S57" i="255"/>
  <c r="U57" i="255" s="1"/>
  <c r="S106" i="255"/>
  <c r="U106" i="255" s="1"/>
  <c r="S103" i="255"/>
  <c r="U103" i="255" s="1"/>
  <c r="S48" i="255"/>
  <c r="T48" i="255" s="1"/>
  <c r="S35" i="255"/>
  <c r="U35" i="255" s="1"/>
  <c r="S74" i="255"/>
  <c r="U74" i="255" s="1"/>
  <c r="S42" i="255"/>
  <c r="T42" i="255" s="1"/>
  <c r="S62" i="255"/>
  <c r="T62" i="255" s="1"/>
  <c r="S69" i="255"/>
  <c r="U69" i="255" s="1"/>
  <c r="S75" i="255"/>
  <c r="U75" i="255" s="1"/>
  <c r="S25" i="255"/>
  <c r="S38" i="255"/>
  <c r="T38" i="255" s="1"/>
  <c r="S80" i="255"/>
  <c r="U80" i="255" s="1"/>
  <c r="S23" i="255"/>
  <c r="U23" i="255" s="1"/>
  <c r="S88" i="255"/>
  <c r="T88" i="255" s="1"/>
  <c r="S76" i="255"/>
  <c r="U76" i="255" s="1"/>
  <c r="S101" i="255"/>
  <c r="T101" i="255" s="1"/>
  <c r="S52" i="255"/>
  <c r="T52" i="255" s="1"/>
  <c r="S115" i="255"/>
  <c r="T115" i="255" s="1"/>
  <c r="S34" i="255"/>
  <c r="T34" i="255" s="1"/>
  <c r="Q133" i="255"/>
  <c r="S81" i="255"/>
  <c r="U81" i="255" s="1"/>
  <c r="S102" i="255"/>
  <c r="U102" i="255" s="1"/>
  <c r="S108" i="255"/>
  <c r="T108" i="255" s="1"/>
  <c r="S28" i="255"/>
  <c r="T28" i="255" s="1"/>
  <c r="S84" i="255"/>
  <c r="U84" i="255" s="1"/>
  <c r="S77" i="255"/>
  <c r="U77" i="255" s="1"/>
  <c r="S37" i="255"/>
  <c r="T37" i="255" s="1"/>
  <c r="S85" i="255"/>
  <c r="U85" i="255" s="1"/>
  <c r="S32" i="255"/>
  <c r="T32" i="255" s="1"/>
  <c r="S78" i="255"/>
  <c r="U78" i="255" s="1"/>
  <c r="S22" i="255"/>
  <c r="T22" i="255" s="1"/>
  <c r="S36" i="255"/>
  <c r="U36" i="255" s="1"/>
  <c r="S55" i="255"/>
  <c r="U55" i="255" s="1"/>
  <c r="S90" i="255"/>
  <c r="U90" i="255" s="1"/>
  <c r="S64" i="255"/>
  <c r="U64" i="255" s="1"/>
  <c r="S112" i="255"/>
  <c r="U112" i="255" s="1"/>
  <c r="S44" i="255"/>
  <c r="U44" i="255" s="1"/>
  <c r="S56" i="255"/>
  <c r="T56" i="255" s="1"/>
  <c r="S87" i="255"/>
  <c r="U87" i="255" s="1"/>
  <c r="S33" i="255"/>
  <c r="U33" i="255" s="1"/>
  <c r="S47" i="255"/>
  <c r="U47" i="255" s="1"/>
  <c r="S91" i="255"/>
  <c r="U91" i="255" s="1"/>
  <c r="S49" i="255"/>
  <c r="U49" i="255" s="1"/>
  <c r="S40" i="255"/>
  <c r="U40" i="255" s="1"/>
  <c r="S72" i="255"/>
  <c r="U72" i="255" s="1"/>
  <c r="S94" i="255"/>
  <c r="U94" i="255" s="1"/>
  <c r="S89" i="255"/>
  <c r="T89" i="255" s="1"/>
  <c r="S29" i="255"/>
  <c r="U29" i="255" s="1"/>
  <c r="S105" i="255"/>
  <c r="U105" i="255" s="1"/>
  <c r="S61" i="255"/>
  <c r="U61" i="255" s="1"/>
  <c r="S30" i="255"/>
  <c r="U30" i="255" s="1"/>
  <c r="S43" i="255"/>
  <c r="U43" i="255" s="1"/>
  <c r="S27" i="255"/>
  <c r="U27" i="255" s="1"/>
  <c r="S83" i="255"/>
  <c r="U83" i="255" s="1"/>
  <c r="S96" i="255"/>
  <c r="U96" i="255" s="1"/>
  <c r="S26" i="255"/>
  <c r="U26" i="255" s="1"/>
  <c r="S118" i="255"/>
  <c r="U118" i="255" s="1"/>
  <c r="T116" i="255"/>
  <c r="T114" i="255"/>
  <c r="T117" i="255"/>
  <c r="T113" i="255"/>
  <c r="U31" i="255"/>
  <c r="T31" i="255"/>
  <c r="U104" i="255"/>
  <c r="T104" i="255"/>
  <c r="T50" i="255"/>
  <c r="U86" i="255"/>
  <c r="T86" i="255"/>
  <c r="U100" i="255"/>
  <c r="T100" i="255"/>
  <c r="U24" i="255"/>
  <c r="T24" i="255"/>
  <c r="T98" i="255" l="1"/>
  <c r="T129" i="255"/>
  <c r="U126" i="255"/>
  <c r="T126" i="255"/>
  <c r="U125" i="255"/>
  <c r="T125" i="255"/>
  <c r="T82" i="255"/>
  <c r="T120" i="255"/>
  <c r="T111" i="255"/>
  <c r="U131" i="255"/>
  <c r="T131" i="255"/>
  <c r="U127" i="255"/>
  <c r="T127" i="255"/>
  <c r="U132" i="255"/>
  <c r="T132" i="255"/>
  <c r="U124" i="255"/>
  <c r="T124" i="255"/>
  <c r="U119" i="255"/>
  <c r="T119" i="255"/>
  <c r="T92" i="255"/>
  <c r="T36" i="255"/>
  <c r="T33" i="255"/>
  <c r="T43" i="255"/>
  <c r="T112" i="255"/>
  <c r="U101" i="255"/>
  <c r="U28" i="255"/>
  <c r="T29" i="255"/>
  <c r="T69" i="255"/>
  <c r="T40" i="255"/>
  <c r="T80" i="255"/>
  <c r="T85" i="255"/>
  <c r="T57" i="255"/>
  <c r="T107" i="255"/>
  <c r="T39" i="255"/>
  <c r="T67" i="255"/>
  <c r="T35" i="255"/>
  <c r="T66" i="255"/>
  <c r="U34" i="255"/>
  <c r="T49" i="255"/>
  <c r="T30" i="255"/>
  <c r="U41" i="255"/>
  <c r="U45" i="255"/>
  <c r="U38" i="255"/>
  <c r="T68" i="255"/>
  <c r="U109" i="255"/>
  <c r="T70" i="255"/>
  <c r="U22" i="255"/>
  <c r="U73" i="255"/>
  <c r="U108" i="255"/>
  <c r="U48" i="255"/>
  <c r="U79" i="255"/>
  <c r="U63" i="255"/>
  <c r="U62" i="255"/>
  <c r="U37" i="255"/>
  <c r="U21" i="255"/>
  <c r="T87" i="255"/>
  <c r="T76" i="255"/>
  <c r="U93" i="255"/>
  <c r="U89" i="255"/>
  <c r="T54" i="255"/>
  <c r="T23" i="255"/>
  <c r="T74" i="255"/>
  <c r="T44" i="255"/>
  <c r="U32" i="255"/>
  <c r="U42" i="255"/>
  <c r="T46" i="255"/>
  <c r="T59" i="255"/>
  <c r="U71" i="255"/>
  <c r="T106" i="255"/>
  <c r="T105" i="255"/>
  <c r="U53" i="255"/>
  <c r="U52" i="255"/>
  <c r="T94" i="255"/>
  <c r="T64" i="255"/>
  <c r="T96" i="255"/>
  <c r="T91" i="255"/>
  <c r="T90" i="255"/>
  <c r="T118" i="255"/>
  <c r="T55" i="255"/>
  <c r="T84" i="255"/>
  <c r="T60" i="255"/>
  <c r="T27" i="255"/>
  <c r="T81" i="255"/>
  <c r="T72" i="255"/>
  <c r="T58" i="255"/>
  <c r="T47" i="255"/>
  <c r="T75" i="255"/>
  <c r="T26" i="255"/>
  <c r="T103" i="255"/>
  <c r="T77" i="255"/>
  <c r="U110" i="255"/>
  <c r="T65" i="255"/>
  <c r="U56" i="255"/>
  <c r="S133" i="255"/>
  <c r="T83" i="255"/>
  <c r="U115" i="255"/>
  <c r="T25" i="255"/>
  <c r="U25" i="255"/>
  <c r="T78" i="255"/>
  <c r="T102" i="255"/>
  <c r="T61" i="255"/>
  <c r="U88" i="255"/>
  <c r="V113" i="255"/>
  <c r="W113" i="255" s="1"/>
  <c r="P113" i="256" s="1"/>
  <c r="V116" i="255"/>
  <c r="W116" i="255" s="1"/>
  <c r="P116" i="256" s="1"/>
  <c r="V117" i="255"/>
  <c r="W117" i="255" s="1"/>
  <c r="P117" i="256" s="1"/>
  <c r="V95" i="255"/>
  <c r="W95" i="255" s="1"/>
  <c r="P95" i="256" s="1"/>
  <c r="V31" i="255"/>
  <c r="W31" i="255" s="1"/>
  <c r="P31" i="256" s="1"/>
  <c r="V104" i="255"/>
  <c r="W104" i="255" s="1"/>
  <c r="P104" i="256" s="1"/>
  <c r="V100" i="255"/>
  <c r="W100" i="255" s="1"/>
  <c r="P100" i="256" s="1"/>
  <c r="V86" i="255"/>
  <c r="W86" i="255" s="1"/>
  <c r="P86" i="256" s="1"/>
  <c r="V24" i="255"/>
  <c r="W24" i="255" s="1"/>
  <c r="P24" i="256" s="1"/>
  <c r="V50" i="255"/>
  <c r="W50" i="255" s="1"/>
  <c r="P50" i="256" s="1"/>
  <c r="V98" i="255" l="1"/>
  <c r="W98" i="255" s="1"/>
  <c r="P98" i="256" s="1"/>
  <c r="V129" i="255"/>
  <c r="W129" i="255" s="1"/>
  <c r="P129" i="256" s="1"/>
  <c r="V114" i="255"/>
  <c r="W114" i="255" s="1"/>
  <c r="P114" i="256" s="1"/>
  <c r="Q114" i="256" s="1"/>
  <c r="Q114" i="257" s="1"/>
  <c r="V125" i="255"/>
  <c r="W125" i="255" s="1"/>
  <c r="V126" i="255"/>
  <c r="W126" i="255" s="1"/>
  <c r="P24" i="257"/>
  <c r="Q24" i="256"/>
  <c r="Q24" i="257" s="1"/>
  <c r="P113" i="257"/>
  <c r="Q113" i="256"/>
  <c r="Q113" i="257" s="1"/>
  <c r="P95" i="257"/>
  <c r="Q95" i="256"/>
  <c r="Q95" i="257" s="1"/>
  <c r="P117" i="257"/>
  <c r="Q117" i="256"/>
  <c r="Q117" i="257" s="1"/>
  <c r="P31" i="257"/>
  <c r="Q31" i="256"/>
  <c r="Q31" i="257" s="1"/>
  <c r="P86" i="257"/>
  <c r="Q86" i="256"/>
  <c r="Q86" i="257" s="1"/>
  <c r="P100" i="257"/>
  <c r="Q100" i="256"/>
  <c r="Q100" i="257" s="1"/>
  <c r="P50" i="257"/>
  <c r="Q50" i="256"/>
  <c r="Q50" i="257" s="1"/>
  <c r="P104" i="257"/>
  <c r="Q104" i="256"/>
  <c r="Q104" i="257" s="1"/>
  <c r="P116" i="257"/>
  <c r="Q116" i="256"/>
  <c r="Q116" i="257" s="1"/>
  <c r="V111" i="255"/>
  <c r="W111" i="255" s="1"/>
  <c r="P111" i="256" s="1"/>
  <c r="V82" i="255"/>
  <c r="W82" i="255" s="1"/>
  <c r="P82" i="256" s="1"/>
  <c r="V127" i="255"/>
  <c r="W127" i="255" s="1"/>
  <c r="P127" i="256" s="1"/>
  <c r="V124" i="255"/>
  <c r="W124" i="255" s="1"/>
  <c r="P124" i="256" s="1"/>
  <c r="V119" i="255"/>
  <c r="W119" i="255" s="1"/>
  <c r="P119" i="256" s="1"/>
  <c r="V132" i="255"/>
  <c r="W132" i="255" s="1"/>
  <c r="P132" i="256" s="1"/>
  <c r="V131" i="255"/>
  <c r="W131" i="255" s="1"/>
  <c r="P131" i="256" s="1"/>
  <c r="V66" i="255"/>
  <c r="W66" i="255" s="1"/>
  <c r="P66" i="256" s="1"/>
  <c r="V67" i="255"/>
  <c r="W67" i="255" s="1"/>
  <c r="P67" i="256" s="1"/>
  <c r="V96" i="255"/>
  <c r="W96" i="255" s="1"/>
  <c r="P96" i="256" s="1"/>
  <c r="V107" i="255"/>
  <c r="W107" i="255" s="1"/>
  <c r="P107" i="256" s="1"/>
  <c r="T133" i="255"/>
  <c r="V71" i="255"/>
  <c r="W71" i="255" s="1"/>
  <c r="P71" i="256" s="1"/>
  <c r="V55" i="255"/>
  <c r="W55" i="255" s="1"/>
  <c r="P55" i="256" s="1"/>
  <c r="V106" i="255"/>
  <c r="W106" i="255" s="1"/>
  <c r="P106" i="256" s="1"/>
  <c r="V62" i="255"/>
  <c r="W62" i="255" s="1"/>
  <c r="P62" i="256" s="1"/>
  <c r="V109" i="255"/>
  <c r="W109" i="255" s="1"/>
  <c r="P109" i="256" s="1"/>
  <c r="V58" i="255"/>
  <c r="W58" i="255" s="1"/>
  <c r="P58" i="256" s="1"/>
  <c r="V42" i="255"/>
  <c r="W42" i="255" s="1"/>
  <c r="P42" i="256" s="1"/>
  <c r="V87" i="255"/>
  <c r="W87" i="255" s="1"/>
  <c r="P87" i="256" s="1"/>
  <c r="V79" i="255"/>
  <c r="W79" i="255" s="1"/>
  <c r="P79" i="256" s="1"/>
  <c r="V54" i="255"/>
  <c r="W54" i="255" s="1"/>
  <c r="P54" i="256" s="1"/>
  <c r="V33" i="255"/>
  <c r="W33" i="255" s="1"/>
  <c r="P33" i="256" s="1"/>
  <c r="V74" i="255"/>
  <c r="W74" i="255" s="1"/>
  <c r="P74" i="256" s="1"/>
  <c r="V26" i="255"/>
  <c r="W26" i="255" s="1"/>
  <c r="P26" i="256" s="1"/>
  <c r="V47" i="255"/>
  <c r="W47" i="255" s="1"/>
  <c r="P47" i="256" s="1"/>
  <c r="V72" i="255"/>
  <c r="W72" i="255" s="1"/>
  <c r="P72" i="256" s="1"/>
  <c r="V88" i="255"/>
  <c r="W88" i="255" s="1"/>
  <c r="P88" i="256" s="1"/>
  <c r="V45" i="255"/>
  <c r="W45" i="255" s="1"/>
  <c r="P45" i="256" s="1"/>
  <c r="V120" i="255"/>
  <c r="W120" i="255" s="1"/>
  <c r="P120" i="256" s="1"/>
  <c r="V93" i="255"/>
  <c r="W93" i="255" s="1"/>
  <c r="P93" i="256" s="1"/>
  <c r="V73" i="255"/>
  <c r="W73" i="255" s="1"/>
  <c r="P73" i="256" s="1"/>
  <c r="V59" i="255"/>
  <c r="W59" i="255" s="1"/>
  <c r="P59" i="256" s="1"/>
  <c r="V103" i="255"/>
  <c r="W103" i="255" s="1"/>
  <c r="P103" i="256" s="1"/>
  <c r="V35" i="255"/>
  <c r="W35" i="255" s="1"/>
  <c r="P35" i="256" s="1"/>
  <c r="V56" i="255"/>
  <c r="W56" i="255" s="1"/>
  <c r="P56" i="256" s="1"/>
  <c r="V44" i="255"/>
  <c r="W44" i="255" s="1"/>
  <c r="P44" i="256" s="1"/>
  <c r="V89" i="255"/>
  <c r="W89" i="255" s="1"/>
  <c r="P89" i="256" s="1"/>
  <c r="V76" i="255"/>
  <c r="W76" i="255" s="1"/>
  <c r="P76" i="256" s="1"/>
  <c r="V85" i="255"/>
  <c r="W85" i="255" s="1"/>
  <c r="P85" i="256" s="1"/>
  <c r="V102" i="255"/>
  <c r="W102" i="255" s="1"/>
  <c r="P102" i="256" s="1"/>
  <c r="V83" i="255"/>
  <c r="W83" i="255" s="1"/>
  <c r="P83" i="256" s="1"/>
  <c r="V92" i="255"/>
  <c r="W92" i="255" s="1"/>
  <c r="P92" i="256" s="1"/>
  <c r="V63" i="255"/>
  <c r="W63" i="255" s="1"/>
  <c r="P63" i="256" s="1"/>
  <c r="V53" i="255"/>
  <c r="W53" i="255" s="1"/>
  <c r="P53" i="256" s="1"/>
  <c r="V46" i="255"/>
  <c r="W46" i="255" s="1"/>
  <c r="P46" i="256" s="1"/>
  <c r="V84" i="255"/>
  <c r="W84" i="255" s="1"/>
  <c r="P84" i="256" s="1"/>
  <c r="V101" i="255"/>
  <c r="W101" i="255" s="1"/>
  <c r="P101" i="256" s="1"/>
  <c r="V52" i="255"/>
  <c r="W52" i="255" s="1"/>
  <c r="P52" i="256" s="1"/>
  <c r="V115" i="255"/>
  <c r="W115" i="255" s="1"/>
  <c r="P115" i="256" s="1"/>
  <c r="V49" i="255"/>
  <c r="W49" i="255" s="1"/>
  <c r="P49" i="256" s="1"/>
  <c r="V22" i="255"/>
  <c r="W22" i="255" s="1"/>
  <c r="P22" i="256" s="1"/>
  <c r="V105" i="255"/>
  <c r="W105" i="255" s="1"/>
  <c r="P105" i="256" s="1"/>
  <c r="V34" i="255"/>
  <c r="W34" i="255" s="1"/>
  <c r="P34" i="256" s="1"/>
  <c r="V69" i="255"/>
  <c r="W69" i="255" s="1"/>
  <c r="P69" i="256" s="1"/>
  <c r="V65" i="255"/>
  <c r="W65" i="255" s="1"/>
  <c r="P65" i="256" s="1"/>
  <c r="V61" i="255"/>
  <c r="W61" i="255" s="1"/>
  <c r="P61" i="256" s="1"/>
  <c r="V25" i="255"/>
  <c r="W25" i="255" s="1"/>
  <c r="P25" i="256" s="1"/>
  <c r="V27" i="255"/>
  <c r="W27" i="255" s="1"/>
  <c r="P27" i="256" s="1"/>
  <c r="V36" i="255"/>
  <c r="W36" i="255" s="1"/>
  <c r="P36" i="256" s="1"/>
  <c r="V29" i="255"/>
  <c r="W29" i="255" s="1"/>
  <c r="P29" i="256" s="1"/>
  <c r="V39" i="255"/>
  <c r="W39" i="255" s="1"/>
  <c r="P39" i="256" s="1"/>
  <c r="V77" i="255"/>
  <c r="W77" i="255" s="1"/>
  <c r="P77" i="256" s="1"/>
  <c r="V60" i="255"/>
  <c r="W60" i="255" s="1"/>
  <c r="P60" i="256" s="1"/>
  <c r="V37" i="255"/>
  <c r="W37" i="255" s="1"/>
  <c r="P37" i="256" s="1"/>
  <c r="V90" i="255"/>
  <c r="W90" i="255" s="1"/>
  <c r="P90" i="256" s="1"/>
  <c r="V118" i="255"/>
  <c r="W118" i="255" s="1"/>
  <c r="P118" i="256" s="1"/>
  <c r="V32" i="255"/>
  <c r="W32" i="255" s="1"/>
  <c r="P32" i="256" s="1"/>
  <c r="U133" i="255"/>
  <c r="V80" i="255"/>
  <c r="W80" i="255" s="1"/>
  <c r="P80" i="256" s="1"/>
  <c r="V40" i="255"/>
  <c r="W40" i="255" s="1"/>
  <c r="P40" i="256" s="1"/>
  <c r="V21" i="255"/>
  <c r="W21" i="255" s="1"/>
  <c r="P21" i="256" s="1"/>
  <c r="V108" i="255"/>
  <c r="W108" i="255" s="1"/>
  <c r="P108" i="256" s="1"/>
  <c r="V38" i="255"/>
  <c r="W38" i="255" s="1"/>
  <c r="P38" i="256" s="1"/>
  <c r="V91" i="255"/>
  <c r="W91" i="255" s="1"/>
  <c r="P91" i="256" s="1"/>
  <c r="V64" i="255"/>
  <c r="W64" i="255" s="1"/>
  <c r="P64" i="256" s="1"/>
  <c r="V94" i="255"/>
  <c r="W94" i="255" s="1"/>
  <c r="P94" i="256" s="1"/>
  <c r="V43" i="255"/>
  <c r="W43" i="255" s="1"/>
  <c r="P43" i="256" s="1"/>
  <c r="V68" i="255"/>
  <c r="W68" i="255" s="1"/>
  <c r="P68" i="256" s="1"/>
  <c r="V28" i="255"/>
  <c r="W28" i="255" s="1"/>
  <c r="P28" i="256" s="1"/>
  <c r="V75" i="255"/>
  <c r="W75" i="255" s="1"/>
  <c r="P75" i="256" s="1"/>
  <c r="V48" i="255"/>
  <c r="W48" i="255" s="1"/>
  <c r="P48" i="256" s="1"/>
  <c r="V23" i="255"/>
  <c r="W23" i="255" s="1"/>
  <c r="P23" i="256" s="1"/>
  <c r="V81" i="255"/>
  <c r="W81" i="255" s="1"/>
  <c r="P81" i="256" s="1"/>
  <c r="V57" i="255"/>
  <c r="W57" i="255" s="1"/>
  <c r="P57" i="256" s="1"/>
  <c r="V30" i="255"/>
  <c r="W30" i="255" s="1"/>
  <c r="P30" i="256" s="1"/>
  <c r="V41" i="255"/>
  <c r="W41" i="255" s="1"/>
  <c r="P41" i="256" s="1"/>
  <c r="V78" i="255"/>
  <c r="W78" i="255" s="1"/>
  <c r="P78" i="256" s="1"/>
  <c r="V70" i="255"/>
  <c r="W70" i="255" s="1"/>
  <c r="P70" i="256" s="1"/>
  <c r="V112" i="255"/>
  <c r="W112" i="255" s="1"/>
  <c r="P112" i="256" s="1"/>
  <c r="V110" i="255"/>
  <c r="W110" i="255" s="1"/>
  <c r="P110" i="256" s="1"/>
  <c r="X98" i="255" l="1"/>
  <c r="P98" i="257"/>
  <c r="Q98" i="256"/>
  <c r="Q98" i="257" s="1"/>
  <c r="P114" i="257"/>
  <c r="P125" i="256"/>
  <c r="X125" i="255"/>
  <c r="X129" i="255"/>
  <c r="P126" i="256"/>
  <c r="X126" i="255"/>
  <c r="Q129" i="256"/>
  <c r="Q129" i="257" s="1"/>
  <c r="P129" i="257"/>
  <c r="P112" i="257"/>
  <c r="Q112" i="256"/>
  <c r="Q112" i="257" s="1"/>
  <c r="P38" i="257"/>
  <c r="Q38" i="256"/>
  <c r="Q38" i="257" s="1"/>
  <c r="P25" i="257"/>
  <c r="Q25" i="256"/>
  <c r="Q25" i="257" s="1"/>
  <c r="P115" i="257"/>
  <c r="Q115" i="256"/>
  <c r="Q115" i="257" s="1"/>
  <c r="P46" i="257"/>
  <c r="Q46" i="256"/>
  <c r="Q46" i="257" s="1"/>
  <c r="P83" i="257"/>
  <c r="Q83" i="256"/>
  <c r="Q83" i="257" s="1"/>
  <c r="P89" i="257"/>
  <c r="Q89" i="256"/>
  <c r="Q89" i="257" s="1"/>
  <c r="P103" i="257"/>
  <c r="Q103" i="256"/>
  <c r="Q103" i="257" s="1"/>
  <c r="P120" i="257"/>
  <c r="Q120" i="256"/>
  <c r="Q120" i="257" s="1"/>
  <c r="P47" i="257"/>
  <c r="Q47" i="256"/>
  <c r="Q47" i="257" s="1"/>
  <c r="P54" i="257"/>
  <c r="Q54" i="256"/>
  <c r="Q54" i="257" s="1"/>
  <c r="P58" i="257"/>
  <c r="Q58" i="256"/>
  <c r="Q58" i="257" s="1"/>
  <c r="P55" i="257"/>
  <c r="Q55" i="256"/>
  <c r="Q55" i="257" s="1"/>
  <c r="P96" i="257"/>
  <c r="Q96" i="256"/>
  <c r="Q96" i="257" s="1"/>
  <c r="P132" i="257"/>
  <c r="Q132" i="256"/>
  <c r="Q132" i="257" s="1"/>
  <c r="P82" i="257"/>
  <c r="Q82" i="256"/>
  <c r="Q82" i="257" s="1"/>
  <c r="P30" i="257"/>
  <c r="Q30" i="256"/>
  <c r="Q30" i="257" s="1"/>
  <c r="P80" i="257"/>
  <c r="Q80" i="256"/>
  <c r="Q80" i="257" s="1"/>
  <c r="P34" i="257"/>
  <c r="Q34" i="256"/>
  <c r="Q34" i="257" s="1"/>
  <c r="P57" i="257"/>
  <c r="Q57" i="256"/>
  <c r="Q57" i="257" s="1"/>
  <c r="P75" i="257"/>
  <c r="Q75" i="256"/>
  <c r="Q75" i="257" s="1"/>
  <c r="P94" i="257"/>
  <c r="Q94" i="256"/>
  <c r="Q94" i="257" s="1"/>
  <c r="P108" i="257"/>
  <c r="Q108" i="256"/>
  <c r="Q108" i="257" s="1"/>
  <c r="P37" i="257"/>
  <c r="Q37" i="256"/>
  <c r="Q37" i="257" s="1"/>
  <c r="P29" i="257"/>
  <c r="Q29" i="256"/>
  <c r="Q29" i="257" s="1"/>
  <c r="Q61" i="256"/>
  <c r="Q61" i="257" s="1"/>
  <c r="P61" i="257"/>
  <c r="P105" i="257"/>
  <c r="Q105" i="256"/>
  <c r="Q105" i="257" s="1"/>
  <c r="P52" i="257"/>
  <c r="Q52" i="256"/>
  <c r="Q52" i="257" s="1"/>
  <c r="Q53" i="256"/>
  <c r="Q53" i="257" s="1"/>
  <c r="P53" i="257"/>
  <c r="P102" i="257"/>
  <c r="Q102" i="256"/>
  <c r="Q102" i="257" s="1"/>
  <c r="P44" i="257"/>
  <c r="Q44" i="256"/>
  <c r="Q44" i="257" s="1"/>
  <c r="P59" i="257"/>
  <c r="Q59" i="256"/>
  <c r="Q59" i="257" s="1"/>
  <c r="Q45" i="256"/>
  <c r="Q45" i="257" s="1"/>
  <c r="P45" i="257"/>
  <c r="P26" i="257"/>
  <c r="Q26" i="256"/>
  <c r="Q26" i="257" s="1"/>
  <c r="P79" i="257"/>
  <c r="Q79" i="256"/>
  <c r="Q79" i="257" s="1"/>
  <c r="P109" i="257"/>
  <c r="Q109" i="256"/>
  <c r="Q109" i="257" s="1"/>
  <c r="P71" i="257"/>
  <c r="Q71" i="256"/>
  <c r="Q71" i="257" s="1"/>
  <c r="P67" i="257"/>
  <c r="Q67" i="256"/>
  <c r="Q67" i="257" s="1"/>
  <c r="P119" i="257"/>
  <c r="Q119" i="256"/>
  <c r="Q119" i="257" s="1"/>
  <c r="P111" i="257"/>
  <c r="Q111" i="256"/>
  <c r="Q111" i="257" s="1"/>
  <c r="Q48" i="256"/>
  <c r="Q48" i="257" s="1"/>
  <c r="P48" i="257"/>
  <c r="P90" i="257"/>
  <c r="Q90" i="256"/>
  <c r="Q90" i="257" s="1"/>
  <c r="P70" i="257"/>
  <c r="Q70" i="256"/>
  <c r="Q70" i="257" s="1"/>
  <c r="P78" i="257"/>
  <c r="Q78" i="256"/>
  <c r="Q78" i="257" s="1"/>
  <c r="P81" i="257"/>
  <c r="Q81" i="256"/>
  <c r="Q81" i="257" s="1"/>
  <c r="P28" i="257"/>
  <c r="Q28" i="256"/>
  <c r="Q28" i="257" s="1"/>
  <c r="P64" i="257"/>
  <c r="Q64" i="256"/>
  <c r="Q64" i="257" s="1"/>
  <c r="P21" i="257"/>
  <c r="Q21" i="256"/>
  <c r="Q21" i="257" s="1"/>
  <c r="Q32" i="256"/>
  <c r="Q32" i="257" s="1"/>
  <c r="P32" i="257"/>
  <c r="P60" i="257"/>
  <c r="Q60" i="256"/>
  <c r="Q60" i="257" s="1"/>
  <c r="P36" i="257"/>
  <c r="Q36" i="256"/>
  <c r="Q36" i="257" s="1"/>
  <c r="Q65" i="256"/>
  <c r="Q65" i="257" s="1"/>
  <c r="P65" i="257"/>
  <c r="P22" i="257"/>
  <c r="Q22" i="256"/>
  <c r="Q22" i="257" s="1"/>
  <c r="P101" i="257"/>
  <c r="Q101" i="256"/>
  <c r="Q101" i="257" s="1"/>
  <c r="P63" i="257"/>
  <c r="Q63" i="256"/>
  <c r="Q63" i="257" s="1"/>
  <c r="P85" i="257"/>
  <c r="Q85" i="256"/>
  <c r="Q85" i="257" s="1"/>
  <c r="P56" i="257"/>
  <c r="Q56" i="256"/>
  <c r="Q56" i="257" s="1"/>
  <c r="Q73" i="256"/>
  <c r="Q73" i="257" s="1"/>
  <c r="P73" i="257"/>
  <c r="P88" i="257"/>
  <c r="Q88" i="256"/>
  <c r="Q88" i="257" s="1"/>
  <c r="P74" i="257"/>
  <c r="Q74" i="256"/>
  <c r="Q74" i="257" s="1"/>
  <c r="P87" i="257"/>
  <c r="Q87" i="256"/>
  <c r="Q87" i="257" s="1"/>
  <c r="P62" i="257"/>
  <c r="Q62" i="256"/>
  <c r="Q62" i="257" s="1"/>
  <c r="P66" i="257"/>
  <c r="Q66" i="256"/>
  <c r="Q66" i="257" s="1"/>
  <c r="P124" i="257"/>
  <c r="Q124" i="256"/>
  <c r="Q124" i="257" s="1"/>
  <c r="P43" i="257"/>
  <c r="Q43" i="256"/>
  <c r="Q43" i="257" s="1"/>
  <c r="P39" i="257"/>
  <c r="Q39" i="256"/>
  <c r="Q39" i="257" s="1"/>
  <c r="P110" i="257"/>
  <c r="Q110" i="256"/>
  <c r="Q110" i="257" s="1"/>
  <c r="Q41" i="256"/>
  <c r="Q41" i="257" s="1"/>
  <c r="P41" i="257"/>
  <c r="P23" i="257"/>
  <c r="Q23" i="256"/>
  <c r="Q23" i="257" s="1"/>
  <c r="P68" i="257"/>
  <c r="Q68" i="256"/>
  <c r="Q68" i="257" s="1"/>
  <c r="P91" i="257"/>
  <c r="Q91" i="256"/>
  <c r="Q91" i="257" s="1"/>
  <c r="Q40" i="256"/>
  <c r="Q40" i="257" s="1"/>
  <c r="P40" i="257"/>
  <c r="P118" i="257"/>
  <c r="Q118" i="256"/>
  <c r="Q118" i="257" s="1"/>
  <c r="P77" i="257"/>
  <c r="Q77" i="256"/>
  <c r="Q77" i="257" s="1"/>
  <c r="P27" i="257"/>
  <c r="Q27" i="256"/>
  <c r="Q27" i="257" s="1"/>
  <c r="Q69" i="256"/>
  <c r="Q69" i="257" s="1"/>
  <c r="P69" i="257"/>
  <c r="Q49" i="256"/>
  <c r="Q49" i="257" s="1"/>
  <c r="P49" i="257"/>
  <c r="P84" i="257"/>
  <c r="Q84" i="256"/>
  <c r="Q84" i="257" s="1"/>
  <c r="P92" i="257"/>
  <c r="Q92" i="256"/>
  <c r="Q92" i="257" s="1"/>
  <c r="P76" i="257"/>
  <c r="Q76" i="256"/>
  <c r="Q76" i="257" s="1"/>
  <c r="P35" i="257"/>
  <c r="Q35" i="256"/>
  <c r="Q35" i="257" s="1"/>
  <c r="P93" i="257"/>
  <c r="Q93" i="256"/>
  <c r="Q93" i="257" s="1"/>
  <c r="P72" i="257"/>
  <c r="Q72" i="256"/>
  <c r="Q72" i="257" s="1"/>
  <c r="Q33" i="256"/>
  <c r="Q33" i="257" s="1"/>
  <c r="P33" i="257"/>
  <c r="P42" i="257"/>
  <c r="Q42" i="256"/>
  <c r="Q42" i="257" s="1"/>
  <c r="P106" i="257"/>
  <c r="Q106" i="256"/>
  <c r="Q106" i="257" s="1"/>
  <c r="P107" i="257"/>
  <c r="Q107" i="256"/>
  <c r="Q107" i="257" s="1"/>
  <c r="P131" i="257"/>
  <c r="Q131" i="256"/>
  <c r="Q131" i="257" s="1"/>
  <c r="P127" i="257"/>
  <c r="Q127" i="256"/>
  <c r="Q127" i="257" s="1"/>
  <c r="X132" i="255"/>
  <c r="X119" i="255"/>
  <c r="X124" i="255"/>
  <c r="X131" i="255"/>
  <c r="X127" i="255"/>
  <c r="X120" i="255"/>
  <c r="V133" i="255"/>
  <c r="X117" i="255"/>
  <c r="X118" i="255"/>
  <c r="X115" i="255"/>
  <c r="X116" i="255"/>
  <c r="X113" i="255"/>
  <c r="X114" i="255"/>
  <c r="X50" i="255"/>
  <c r="X111" i="255"/>
  <c r="X51" i="255"/>
  <c r="X52" i="255"/>
  <c r="X93" i="255"/>
  <c r="X77" i="255"/>
  <c r="X94" i="255"/>
  <c r="X26" i="255"/>
  <c r="X75" i="255"/>
  <c r="X61" i="255"/>
  <c r="X23" i="255"/>
  <c r="X24" i="255"/>
  <c r="X30" i="255"/>
  <c r="X27" i="255"/>
  <c r="X58" i="255"/>
  <c r="X64" i="255"/>
  <c r="X36" i="255"/>
  <c r="X45" i="255"/>
  <c r="X71" i="255"/>
  <c r="X41" i="255"/>
  <c r="X106" i="255"/>
  <c r="X73" i="255"/>
  <c r="X85" i="255"/>
  <c r="X32" i="255"/>
  <c r="X107" i="255"/>
  <c r="X49" i="255"/>
  <c r="X103" i="255"/>
  <c r="X38" i="255"/>
  <c r="X92" i="255"/>
  <c r="X87" i="255"/>
  <c r="X44" i="255"/>
  <c r="X31" i="255"/>
  <c r="X82" i="255"/>
  <c r="X101" i="255"/>
  <c r="X79" i="255"/>
  <c r="X109" i="255"/>
  <c r="X110" i="255"/>
  <c r="X95" i="255"/>
  <c r="X112" i="255"/>
  <c r="X104" i="255"/>
  <c r="X74" i="255"/>
  <c r="X65" i="255"/>
  <c r="X33" i="255"/>
  <c r="X83" i="255"/>
  <c r="X59" i="255"/>
  <c r="X66" i="255"/>
  <c r="X47" i="255"/>
  <c r="X100" i="255"/>
  <c r="X91" i="255"/>
  <c r="X55" i="255"/>
  <c r="X25" i="255"/>
  <c r="W133" i="255"/>
  <c r="X21" i="255"/>
  <c r="X88" i="255"/>
  <c r="X46" i="255"/>
  <c r="X54" i="255"/>
  <c r="X72" i="255"/>
  <c r="X90" i="255"/>
  <c r="X84" i="255"/>
  <c r="X102" i="255"/>
  <c r="X63" i="255"/>
  <c r="X35" i="255"/>
  <c r="X28" i="255"/>
  <c r="X48" i="255"/>
  <c r="X67" i="255"/>
  <c r="X86" i="255"/>
  <c r="X39" i="255"/>
  <c r="X60" i="255"/>
  <c r="X34" i="255"/>
  <c r="X69" i="255"/>
  <c r="X68" i="255"/>
  <c r="X96" i="255"/>
  <c r="X22" i="255"/>
  <c r="X57" i="255"/>
  <c r="X76" i="255"/>
  <c r="X29" i="255"/>
  <c r="X80" i="255"/>
  <c r="X108" i="255"/>
  <c r="X53" i="255"/>
  <c r="X78" i="255"/>
  <c r="X40" i="255"/>
  <c r="X43" i="255"/>
  <c r="X37" i="255"/>
  <c r="X56" i="255"/>
  <c r="X42" i="255"/>
  <c r="X89" i="255"/>
  <c r="X105" i="255"/>
  <c r="X70" i="255"/>
  <c r="X62" i="255"/>
  <c r="X81" i="255"/>
  <c r="P126" i="257" l="1"/>
  <c r="Q126" i="256"/>
  <c r="Q126" i="257" s="1"/>
  <c r="Q125" i="256"/>
  <c r="Q125" i="257" s="1"/>
  <c r="P125" i="257"/>
  <c r="X133" i="255"/>
  <c r="P133" i="257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David</author>
  </authors>
  <commentList>
    <comment ref="A29" authorId="0" shapeId="0" xr:uid="{00000000-0006-0000-0300-000001000000}">
      <text>
        <r>
          <rPr>
            <b/>
            <sz val="9"/>
            <color indexed="81"/>
            <rFont val="Tahoma"/>
            <family val="2"/>
          </rPr>
          <t>מספר שורות למוסדות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<sst xmlns="http://schemas.openxmlformats.org/spreadsheetml/2006/main" count="3200" uniqueCount="1051">
  <si>
    <t>AllowFilterCheckBox</t>
  </si>
  <si>
    <t>AllowFormattingCheckBox</t>
  </si>
  <si>
    <t>AllowColumnFormattingCheckBox</t>
  </si>
  <si>
    <t>AllowRowFormattingCheckBox</t>
  </si>
  <si>
    <t>שנת התקציב</t>
  </si>
  <si>
    <t>תקציב</t>
  </si>
  <si>
    <t>סיווג יוצרי מחול עצמאיים</t>
  </si>
  <si>
    <t>מקדם קבוצתי</t>
  </si>
  <si>
    <t>סוג יוצר</t>
  </si>
  <si>
    <t>יוצר ותיק</t>
  </si>
  <si>
    <t>יוצר בראשית דרכו</t>
  </si>
  <si>
    <t>יוצר מנוסה</t>
  </si>
  <si>
    <t>מקדם יוצר</t>
  </si>
  <si>
    <t>סכום מקסימלי למקדם יוצר</t>
  </si>
  <si>
    <t>מפתח סימול וניקוד מספר רקדנים ומבצעים</t>
  </si>
  <si>
    <t>מפתח ניקוד</t>
  </si>
  <si>
    <t xml:space="preserve">סוג </t>
  </si>
  <si>
    <t>ניקוד</t>
  </si>
  <si>
    <t>קריטריון</t>
  </si>
  <si>
    <t>רקדנים</t>
  </si>
  <si>
    <t>משקל המשתנים בתחשיב הבסיסי</t>
  </si>
  <si>
    <t>תיאטרון שמרבית הרצותיו הן בשפה שאינה עברית או שמרבית השחקנים והצוות האמנותי שהוא מעסיק הם עולים חדשים המצויים בישראל תקופה שאינה עולה על 20 שנים</t>
  </si>
  <si>
    <t>ביטוי משמעותי ליוצרים בתחילת דרכם</t>
  </si>
  <si>
    <t>מבצעים</t>
  </si>
  <si>
    <t>משתנה</t>
  </si>
  <si>
    <t>משקל</t>
  </si>
  <si>
    <t>העשרה מקצועית וסדנאות ליוצרים בתחילת דרכם</t>
  </si>
  <si>
    <t>מספר הרצות</t>
  </si>
  <si>
    <t>מפתח סימול וניקוד מספר הרצות</t>
  </si>
  <si>
    <t>מספר רקדנים ומבצעים בתשלום</t>
  </si>
  <si>
    <t>פרמטר</t>
  </si>
  <si>
    <t>ניקוד הפקה בשנת ההערכה</t>
  </si>
  <si>
    <t>מיקום ההרצות</t>
  </si>
  <si>
    <t>פרמטרים לחישוב ניקוד מורכבות ההפקות</t>
  </si>
  <si>
    <t>פרמטרים לחישוב ניקוד תרומה לקהילה</t>
  </si>
  <si>
    <t>הכנסות עצמיות</t>
  </si>
  <si>
    <t>מורכבות יחודית</t>
  </si>
  <si>
    <t>תרומה משמעותית</t>
  </si>
  <si>
    <t>רמה אומנותית</t>
  </si>
  <si>
    <t>אתגר יוצא דופן</t>
  </si>
  <si>
    <t>תרומה יוצאת דופן</t>
  </si>
  <si>
    <t>סה"כ</t>
  </si>
  <si>
    <t>פרמטרים לחישוב ניקוד מיקום ההרצות</t>
  </si>
  <si>
    <t>מפתח סימול ניקוד מיקום ההרצות</t>
  </si>
  <si>
    <t>מרחק ממקום הפעילות המרכזי</t>
  </si>
  <si>
    <t>סימול</t>
  </si>
  <si>
    <t>סיווג</t>
  </si>
  <si>
    <t>מפתח סימול הכנסות עצמיות</t>
  </si>
  <si>
    <t>עבור כל 1 ₪ ממכירת כטיסים ומופעים</t>
  </si>
  <si>
    <t>עבור כל 1 ₪ מתרומות או מהכנסות עצמיות</t>
  </si>
  <si>
    <t>מפתח סימול וניקוד רמה אומנותית</t>
  </si>
  <si>
    <t>יוצר בראשית דרכו / יוצר מנוסה</t>
  </si>
  <si>
    <t>מפתח סימול וניקוד רמת הכוריאוגרפיה</t>
  </si>
  <si>
    <t>רמה נאותה</t>
  </si>
  <si>
    <t>רמה טובה</t>
  </si>
  <si>
    <t>רמה מעולה</t>
  </si>
  <si>
    <t>מפתח סימול וניקוד חדשנות וגיוון רפרטוארי</t>
  </si>
  <si>
    <t>חדשנות וגיוון רפרטוארי טוב</t>
  </si>
  <si>
    <t>חדשנות וגיוון רפרטוארי מצוין</t>
  </si>
  <si>
    <t>פרמטרים לחישוב תמיכה לאור שיעור מוסדי ותמיכה ממקורות אחרים</t>
  </si>
  <si>
    <t>תאגיד מוסדי או מחויבות ממשלתית</t>
  </si>
  <si>
    <t>תוספת בגין מקורות אחרים</t>
  </si>
  <si>
    <t>סוג</t>
  </si>
  <si>
    <t>שיעור תמיכה</t>
  </si>
  <si>
    <t>מכפלת השקלים שמזכה בתוספת</t>
  </si>
  <si>
    <t>התוספת לכל מכפלה</t>
  </si>
  <si>
    <t>תאגיד מוסדי</t>
  </si>
  <si>
    <t>אינו תאגיד מוסדי</t>
  </si>
  <si>
    <t>פרמטרים לחישוב מנגנון ההגנה</t>
  </si>
  <si>
    <t>מנגנון ההגנה</t>
  </si>
  <si>
    <t>סעיף</t>
  </si>
  <si>
    <t>ערך</t>
  </si>
  <si>
    <t>שיעור פיחות מירבי בתמיכה</t>
  </si>
  <si>
    <t>שיעור תמיכה מינימלי משנה קודמת</t>
  </si>
  <si>
    <t>לא יפחת שיעור התמיכה של מוסד שנמצא זכאי לתמיכה בשנה הקודמת ביותר מ:</t>
  </si>
  <si>
    <t>הערות</t>
  </si>
  <si>
    <t>בדוק נתוני הזנה</t>
  </si>
  <si>
    <t>סוגי בקרות</t>
  </si>
  <si>
    <t>0/1</t>
  </si>
  <si>
    <t>מספר</t>
  </si>
  <si>
    <t>מספר שלם</t>
  </si>
  <si>
    <t>מספר שאינו שלילי</t>
  </si>
  <si>
    <t>מספר שלם שאינו שלילי</t>
  </si>
  <si>
    <t>מספר חיובי</t>
  </si>
  <si>
    <t>מספר שלם חיובי</t>
  </si>
  <si>
    <t>טקסט</t>
  </si>
  <si>
    <t>טקסט מרשימה סגורה</t>
  </si>
  <si>
    <t>שיעור הקלה</t>
  </si>
  <si>
    <t>מספר בקרה</t>
  </si>
  <si>
    <t>מספר תנאים</t>
  </si>
  <si>
    <t>הקלות מותרות</t>
  </si>
  <si>
    <t>רלוונטי למבחן עמידה בתנאי סף? 1=רלוונטי. 0= לא רלוונטי אבל נדרשת בקרה על הזנת נתונים. 99= לא רלוונטי ולא נדרשת בקה על הזנת נתונים</t>
  </si>
  <si>
    <t>רשימה סגורה</t>
  </si>
  <si>
    <t>נדרש לפי הקלה</t>
  </si>
  <si>
    <t>מעבר תנאי סף- במידה ולא רלוונטי להשאיר ריק</t>
  </si>
  <si>
    <t>שורה אחרונה משומשת</t>
  </si>
  <si>
    <t>יש לסמן 1 בעמודה אחת ו-0 בשניה</t>
  </si>
  <si>
    <t>בקשה שהוגשה על יד ארגון גג</t>
  </si>
  <si>
    <t>שם המוסד</t>
  </si>
  <si>
    <t>תקציבה של הפעילות בעדה מבוקשת התמיכה מנוהל כמשק סגור</t>
  </si>
  <si>
    <t>מטרות המוסד כמפורט במסמכי היסוד שלו ואופן פעולתו עולים בקנה אחד עם מטרות התמיכה המפורטות במבחנים</t>
  </si>
  <si>
    <t>מקיים את הוראות החוק הנוגעות לפעילותו, מקפיד על כללי ניהול תקין ושומר על שקיפות מלאה</t>
  </si>
  <si>
    <t>צורפה הצהרתו של מנהל המוסד לפיה הנתונים הכלולים בבקשה הם נכונים, שלמים ומדויקים</t>
  </si>
  <si>
    <t>הבקשה כוללת התייחסות לפעילות נשוא התמיכה בלבד, ולא לפעילויות או תחומי עשייה אחרים של ארגון הגג</t>
  </si>
  <si>
    <t>הבקשה נחתמה בנוסף בידי הגורם המקצועי המנהל את הפעילות נשוא הבקשה לתמיכה בארגון</t>
  </si>
  <si>
    <t>ארגון הגג מנהל באופן ישיר את ההוצאות בשל הפעילות, והוא אינו מעביר כספים ליוצרי מחול עצמאיים לשם
ביצוע הפעילות</t>
  </si>
  <si>
    <t>ארגון הגג לא כלל בבקשה  הוצאות שבעדן קיבל תמיכה כארגון גג</t>
  </si>
  <si>
    <t>עובר תנאי הגשה בידי מוסד ציבור/ארגון גג</t>
  </si>
  <si>
    <t>קריטריון הקלה 1</t>
  </si>
  <si>
    <t>קריטריון הקלה 2</t>
  </si>
  <si>
    <t>קריטריון הקלה 3</t>
  </si>
  <si>
    <t>קריטריון הקלה 4</t>
  </si>
  <si>
    <t>קריטריון הקלה 5</t>
  </si>
  <si>
    <t>עומד בתנאים לאור הקלות</t>
  </si>
  <si>
    <t>מעבר תנאי סף-אישור מיוחד</t>
  </si>
  <si>
    <t>ריק</t>
  </si>
  <si>
    <t>מעבר תנאי סף</t>
  </si>
  <si>
    <t>בקרה ראשית</t>
  </si>
  <si>
    <t>תנאים עם הקלה</t>
  </si>
  <si>
    <t>עומד בתנאים ללא הקלות</t>
  </si>
  <si>
    <t>עומד בתנאים להקלות</t>
  </si>
  <si>
    <t>סילביה דוראן</t>
  </si>
  <si>
    <t>רנה שינפלד</t>
  </si>
  <si>
    <t>אבי קייזר וסרג'יו אנטוניניו</t>
  </si>
  <si>
    <t>אדוה ירמיהו</t>
  </si>
  <si>
    <t>אהרונה ישראל</t>
  </si>
  <si>
    <t>אופיר יודילביץ</t>
  </si>
  <si>
    <t>אור מרין ואורן נחום</t>
  </si>
  <si>
    <t>אורי שפיר</t>
  </si>
  <si>
    <t>אורלי פורטל</t>
  </si>
  <si>
    <t>אורין יוחנן</t>
  </si>
  <si>
    <t>איריס ארז</t>
  </si>
  <si>
    <t>ענבל אושמן</t>
  </si>
  <si>
    <t>אנדריאה מרטיני</t>
  </si>
  <si>
    <t>אפרת רובין</t>
  </si>
  <si>
    <t>שרון צוקרמן</t>
  </si>
  <si>
    <t>בשמת נוסן</t>
  </si>
  <si>
    <t>גיל קרר</t>
  </si>
  <si>
    <t>דינה תלם</t>
  </si>
  <si>
    <t>דנה יהלומי</t>
  </si>
  <si>
    <t>דנה רוטנברג</t>
  </si>
  <si>
    <t>דפי אלטבב</t>
  </si>
  <si>
    <t>הלל קוגן</t>
  </si>
  <si>
    <t>אנאבל דביר</t>
  </si>
  <si>
    <t>יוסי ברג ועודד גרף</t>
  </si>
  <si>
    <t>נדין בומר</t>
  </si>
  <si>
    <t xml:space="preserve">להקת בלט פאנוב </t>
  </si>
  <si>
    <t>מאיה ברינר</t>
  </si>
  <si>
    <t>מאיה מכלל גלפנד</t>
  </si>
  <si>
    <t>מיה שטרן ותומר שרעבי</t>
  </si>
  <si>
    <t>מיכאל גטמן</t>
  </si>
  <si>
    <t>מיכל הרמן</t>
  </si>
  <si>
    <t>מירב דגן</t>
  </si>
  <si>
    <t>תמר לם ודיוויד קרן</t>
  </si>
  <si>
    <t>סיגל ברגמן</t>
  </si>
  <si>
    <t>מעין ליבמן שרון</t>
  </si>
  <si>
    <t>אודליה קופרברג</t>
  </si>
  <si>
    <t>נועה צוק</t>
  </si>
  <si>
    <t>נטע פולברמכר</t>
  </si>
  <si>
    <t>ניב שינפלד ואורן לאור</t>
  </si>
  <si>
    <t>נימה יעקובי</t>
  </si>
  <si>
    <t>נמרוד פריד</t>
  </si>
  <si>
    <t>נעה דר</t>
  </si>
  <si>
    <t>נעה שדור</t>
  </si>
  <si>
    <t>סאלי אן פרילנד</t>
  </si>
  <si>
    <t>סהר עזימי</t>
  </si>
  <si>
    <t>עדו פדר</t>
  </si>
  <si>
    <t>עודד רונן</t>
  </si>
  <si>
    <t>עידן כהן</t>
  </si>
  <si>
    <t>עידן שרעבי</t>
  </si>
  <si>
    <t>ענת גריגוריו</t>
  </si>
  <si>
    <t>ענת דניאלי</t>
  </si>
  <si>
    <t>ענת כץ וארז מעיין</t>
  </si>
  <si>
    <t>ענת שמגר</t>
  </si>
  <si>
    <t>ק.ט.מ.ו.ן קבוצת מחול בירושלים</t>
  </si>
  <si>
    <t>רונית זיו</t>
  </si>
  <si>
    <t>רייצ'ל ארדוס</t>
  </si>
  <si>
    <t>שירה אביתר</t>
  </si>
  <si>
    <t>שלומית פונדמינסקי</t>
  </si>
  <si>
    <t>שרון וזנה</t>
  </si>
  <si>
    <t>שרונה פלורסהיים</t>
  </si>
  <si>
    <t>תמי ליבוביץ</t>
  </si>
  <si>
    <t>תמר בורר</t>
  </si>
  <si>
    <t>רננה רז</t>
  </si>
  <si>
    <t>רתם תשח</t>
  </si>
  <si>
    <t>שרון שגיא - פלמנקו</t>
  </si>
  <si>
    <t>דגה פדר</t>
  </si>
  <si>
    <t>דנה חפוטה</t>
  </si>
  <si>
    <t>יענק'לה פילצר</t>
  </si>
  <si>
    <t>ענבל פינטו</t>
  </si>
  <si>
    <t>רוני חדש</t>
  </si>
  <si>
    <t>שחר בנימיני</t>
  </si>
  <si>
    <t>רביד אברבאנל</t>
  </si>
  <si>
    <t>שרון פרידמן</t>
  </si>
  <si>
    <t/>
  </si>
  <si>
    <t>סווג</t>
  </si>
  <si>
    <t>מספר שנות ותק</t>
  </si>
  <si>
    <t>מספר שנות ותק רצופות כיוצר מחול עצמאי</t>
  </si>
  <si>
    <t>מספר הפקות ב-5 השנים הקודמות (בכל אחת מהן נכללה יצירה חדשה)</t>
  </si>
  <si>
    <t>מספר הפקות ב-3 השנים הקודמות (בכל אחת מהן נכללה יצירה חדשה)</t>
  </si>
  <si>
    <t>מספר הרצות בארץ בשנת ההערכה</t>
  </si>
  <si>
    <t>בעל רמה אמנותית נאותה
 (1-5)</t>
  </si>
  <si>
    <t>מקדם</t>
  </si>
  <si>
    <t>רמה אמנותית מינימלית לקבלת אישור מיוחד של מדור לסיווג כיוצר ותיק</t>
  </si>
  <si>
    <t>2-5</t>
  </si>
  <si>
    <t>אינו עומד בתנאי סף</t>
  </si>
  <si>
    <t>מספר סידורי</t>
  </si>
  <si>
    <t xml:space="preserve">שם הגוף </t>
  </si>
  <si>
    <r>
      <t xml:space="preserve">להזנה בשנת 2017: </t>
    </r>
    <r>
      <rPr>
        <sz val="12"/>
        <color theme="1"/>
        <rFont val="David"/>
        <family val="2"/>
      </rPr>
      <t>היוצר הקים תאגיד לצורך קבלת התמיכה</t>
    </r>
  </si>
  <si>
    <r>
      <t xml:space="preserve">להזנה בשנת 2017: </t>
    </r>
    <r>
      <rPr>
        <sz val="12"/>
        <color theme="1"/>
        <rFont val="David"/>
        <family val="2"/>
      </rPr>
      <t>היוצר קיבל תמיכה בשנת 2016 באמצעות ארגון גג</t>
    </r>
  </si>
  <si>
    <r>
      <t xml:space="preserve">להזנה בשנת 2017: </t>
    </r>
    <r>
      <rPr>
        <sz val="12"/>
        <color theme="1"/>
        <rFont val="David"/>
        <family val="2"/>
      </rPr>
      <t>תקציב פעילותו של היוצר בשנת 2015</t>
    </r>
  </si>
  <si>
    <r>
      <t xml:space="preserve">להזנה בשנת 2017: </t>
    </r>
    <r>
      <rPr>
        <sz val="12"/>
        <color theme="1"/>
        <rFont val="David"/>
        <family val="2"/>
      </rPr>
      <t>תקציב פעילותו של היוצר בשנת 2016</t>
    </r>
  </si>
  <si>
    <r>
      <rPr>
        <b/>
        <u/>
        <sz val="12"/>
        <color theme="1"/>
        <rFont val="David"/>
        <family val="2"/>
      </rPr>
      <t>בשנת 2017:</t>
    </r>
    <r>
      <rPr>
        <sz val="12"/>
        <color theme="1"/>
        <rFont val="David"/>
        <family val="2"/>
      </rPr>
      <t xml:space="preserve">
מקדם יוצר</t>
    </r>
  </si>
  <si>
    <r>
      <rPr>
        <b/>
        <u/>
        <sz val="12"/>
        <color rgb="FFFF0000"/>
        <rFont val="David"/>
        <family val="2"/>
      </rPr>
      <t>מיוחד:</t>
    </r>
    <r>
      <rPr>
        <b/>
        <sz val="12"/>
        <color theme="1"/>
        <rFont val="David"/>
        <family val="2"/>
      </rPr>
      <t xml:space="preserve"> המדור  החליט שלא לפסול יוצר ותיק בעל רמה אמנותית של 2 לכל הפחות (0/1)</t>
    </r>
  </si>
  <si>
    <t>בעל מוניטין ותרומה מיוחדת (0/1)</t>
  </si>
  <si>
    <t>העלה בשנת ההערכה הפקה שכללה יצירה חדשה אחת לפחות שלו (0/1)</t>
  </si>
  <si>
    <t>נדרש עבור אישור מיוחד ליוצר מנוסה  או בראשית דרכו בלבד</t>
  </si>
  <si>
    <r>
      <rPr>
        <b/>
        <u/>
        <sz val="12"/>
        <color rgb="FFFF0000"/>
        <rFont val="David"/>
        <family val="2"/>
      </rPr>
      <t>מיוחד:</t>
    </r>
    <r>
      <rPr>
        <b/>
        <sz val="12"/>
        <color theme="1"/>
        <rFont val="David"/>
        <family val="2"/>
      </rPr>
      <t xml:space="preserve"> המדור  החליט לאשר יוצר מנוסה/בראשית דרכו בעל רמה אמנותית של 2 לכל הפחות (0/1)</t>
    </r>
  </si>
  <si>
    <t>מספר שנים קודמות שקיבל הקלה זו (מספר)</t>
  </si>
  <si>
    <t>היוצר הגיש תכנית עבודה כנדרש (0/1)</t>
  </si>
  <si>
    <t>חלפו 4 שנים לפחות מתום תקופת הקלה קודמת (או שלא קיבל הקלה בעבר) (0/1)</t>
  </si>
  <si>
    <t>יוצר מנוסה שזכאי להקלה בסעיף רמה אמנותית</t>
  </si>
  <si>
    <t xml:space="preserve">המוסד עומד בתנאי הסף הכלליים 0/1 </t>
  </si>
  <si>
    <t>בקרות</t>
  </si>
  <si>
    <t>בקרת על</t>
  </si>
  <si>
    <t>שם היוצר</t>
  </si>
  <si>
    <t>מקדם סיווג</t>
  </si>
  <si>
    <t>ניקוד הרצות</t>
  </si>
  <si>
    <t>שיעור יחסי</t>
  </si>
  <si>
    <t>מספר רקדנים שהועסקו בתשלום בשנת ההערכה ושהשתתפו בהפקה שהועלתה באותה שנה</t>
  </si>
  <si>
    <t>מספר מבצעים שהועסקו בתשלום בשנת ההערכה ושהשתתפו בהפקה שהועלתה באותה שנה</t>
  </si>
  <si>
    <t>סך רקדנים ומבצעים שהועסקו בתשלום</t>
  </si>
  <si>
    <t>ניקוד רקדנים ומבצעים</t>
  </si>
  <si>
    <t>מיקום הרצות ממקום הפעילות המרכזי</t>
  </si>
  <si>
    <t>סך הכנסות ממכירת כרטיסים ומופעים (₪)</t>
  </si>
  <si>
    <t>סך הכנסות מתרומות והכנסות עצמיות (₪)</t>
  </si>
  <si>
    <t>ניקוד הכנסות עצמיות</t>
  </si>
  <si>
    <t>רמה אומנותית של היוצר</t>
  </si>
  <si>
    <t>ניקוד רמת אמנותית</t>
  </si>
  <si>
    <t>התחשיב הבסיסי</t>
  </si>
  <si>
    <t>שיעור התמיכה</t>
  </si>
  <si>
    <t>שיעור תמיכה מתוקנן</t>
  </si>
  <si>
    <t>סכום בסיסי</t>
  </si>
  <si>
    <t xml:space="preserve">AAAAAAAAAAA </t>
  </si>
  <si>
    <t>שנה</t>
  </si>
  <si>
    <t>תקציב התמיכה</t>
  </si>
  <si>
    <t>פרמטרים לחישוב הפחתות בגין חריגות שכר</t>
  </si>
  <si>
    <t>חריגות שכר</t>
  </si>
  <si>
    <t>מכפלת חריגה</t>
  </si>
  <si>
    <t>חסר נתון</t>
  </si>
  <si>
    <t>תמיכה לאחר מוסדי ותוספת בגין תמיכה ממקורות אחרים</t>
  </si>
  <si>
    <t>תמיכה בסיסית</t>
  </si>
  <si>
    <t>תמיכה
(לאחר מוסדי)</t>
  </si>
  <si>
    <t>תמיכה נוספת ממקורות אחרים</t>
  </si>
  <si>
    <t>תוספת תמיכה בגין מקורות אחרים</t>
  </si>
  <si>
    <t>תמיכה
(לאחר מקורות אחרים)</t>
  </si>
  <si>
    <t>סכום לאחר מקורות אחרים</t>
  </si>
  <si>
    <t>מספר שאינו שלילי תא ריק = 0</t>
  </si>
  <si>
    <t>בקרת נתון תאגיד מוסדי</t>
  </si>
  <si>
    <t>בקרת נתון תמיכה ממקורות אחרים</t>
  </si>
  <si>
    <t>בקרת נתונים</t>
  </si>
  <si>
    <t>בקרת סה"כ</t>
  </si>
  <si>
    <t>מגנון הייצוב</t>
  </si>
  <si>
    <t>שיעור יחסי
לפני ייצוב</t>
  </si>
  <si>
    <t>הפעילות נתמכת לראשונה בתחום מקצועי זה (ברירת מחדל - לא)</t>
  </si>
  <si>
    <t>שיעור תמיכה בשנה קודמת</t>
  </si>
  <si>
    <t>שיעור תמיכה לאחר ייצוב</t>
  </si>
  <si>
    <t>שיעור יחסי של התמיכה לאחר ייצוב</t>
  </si>
  <si>
    <t>סכום לאחר ייצוב</t>
  </si>
  <si>
    <t>בקרת נתון שיעור יחסי לפני ייצוב</t>
  </si>
  <si>
    <t>בקרת נתון שיעור תמיכה שנה קודמת</t>
  </si>
  <si>
    <t>שיעור תמיכה יחסי בשנה קודמת</t>
  </si>
  <si>
    <t>זכאי להגנה</t>
  </si>
  <si>
    <t>זקוק להגנה</t>
  </si>
  <si>
    <t>אינדיקציית הגנה 1</t>
  </si>
  <si>
    <t>הגנה 1</t>
  </si>
  <si>
    <t>שיעור יחסי לאחר הגנה 1</t>
  </si>
  <si>
    <t>זקוק להגנה 2</t>
  </si>
  <si>
    <t>אינדיקציית הגנה 2</t>
  </si>
  <si>
    <t>הגנה 2</t>
  </si>
  <si>
    <t>שיעור יחסי לאחר הגנה 2</t>
  </si>
  <si>
    <t>זקוק להגנה 3</t>
  </si>
  <si>
    <t>אינדיקציית הגנה 3</t>
  </si>
  <si>
    <t>הגנה 3</t>
  </si>
  <si>
    <t>שיעור יחסי לאחר הגנה 3</t>
  </si>
  <si>
    <t>זקוק להגנה 4</t>
  </si>
  <si>
    <t>אינדיקציית הגנה 4</t>
  </si>
  <si>
    <t>הגנה 4</t>
  </si>
  <si>
    <t>שיעור יחסי לאחר הגנה 4</t>
  </si>
  <si>
    <t>זקוק להגנה 5</t>
  </si>
  <si>
    <t>אינדיקציית הגנה 5</t>
  </si>
  <si>
    <t>הגנה 5</t>
  </si>
  <si>
    <t>שיעור יחסי לאחר הגנה 5</t>
  </si>
  <si>
    <t>זקוק להגנה 6</t>
  </si>
  <si>
    <t>אינדיקציית הגנה 6</t>
  </si>
  <si>
    <t>הגנה 6</t>
  </si>
  <si>
    <t>שיעור יחסי לאחר הגנה 6</t>
  </si>
  <si>
    <t>זקוק להגנה 7</t>
  </si>
  <si>
    <t>אינדיקציית הגנה 7</t>
  </si>
  <si>
    <t>הגנה 7</t>
  </si>
  <si>
    <t>שיעור יחסי לאחר הגנה 7</t>
  </si>
  <si>
    <t>זקוק להגנה 8</t>
  </si>
  <si>
    <t>אינדיקציית הגנה 8</t>
  </si>
  <si>
    <t>הגנה 8</t>
  </si>
  <si>
    <t>שיעור יחסי לאחר הגנה 8</t>
  </si>
  <si>
    <t>זקוק להגנה 9</t>
  </si>
  <si>
    <t>אינדיקציית הגנה 9</t>
  </si>
  <si>
    <t>הגנה 9</t>
  </si>
  <si>
    <t>שיעור יחסי לאחר הגנה 9</t>
  </si>
  <si>
    <t>זקוק להגנה 10</t>
  </si>
  <si>
    <t>אינדיקציית הגנה 10</t>
  </si>
  <si>
    <t>הגנה 10</t>
  </si>
  <si>
    <t>שיעור יחסי לאחר הגנה</t>
  </si>
  <si>
    <t>שיעור תמיכה לאחר הגנה</t>
  </si>
  <si>
    <t>גובה התמיכה</t>
  </si>
  <si>
    <t>בקרת נתון זכאי להגנה</t>
  </si>
  <si>
    <t>נדרש להציג תכנית הבראה</t>
  </si>
  <si>
    <t>בקרת הציג תכנית הבראה</t>
  </si>
  <si>
    <t>בקרת נתון תקציב</t>
  </si>
  <si>
    <t>בקרת עודף גירעון שוטף</t>
  </si>
  <si>
    <t>בקרת עודף גירעון מצטבר</t>
  </si>
  <si>
    <t>בקרת קיצוץ תקציבי</t>
  </si>
  <si>
    <t>בקרץ מספר נשים בוועד</t>
  </si>
  <si>
    <t>בקרת מספר נשים כולל</t>
  </si>
  <si>
    <t>שיעור התמיכה וסכום התמיכה לפי המודל</t>
  </si>
  <si>
    <t>שיעור התמיכה בשנה הקודמת</t>
  </si>
  <si>
    <t>גובה תמיכה בשנה קודמת</t>
  </si>
  <si>
    <t>גובה תמיכה לפי התחשיב הבסיסי</t>
  </si>
  <si>
    <t>שינוי באחוזים משנה קודמת</t>
  </si>
  <si>
    <t>שינוי בגובה התמיכה משנה קודמת</t>
  </si>
  <si>
    <t>גובה סכום התמיכה המבוקש</t>
  </si>
  <si>
    <t>גובה תמיכה מומלצת</t>
  </si>
  <si>
    <t>האם קיימת הגבלה ראשונית?</t>
  </si>
  <si>
    <t xml:space="preserve">תמיכה מקסימאלית </t>
  </si>
  <si>
    <t>תמיכה ראשונית</t>
  </si>
  <si>
    <t>תמיכה לאחר הגבלה לסכום מבוקש</t>
  </si>
  <si>
    <t>נתון עזר 2</t>
  </si>
  <si>
    <t>תמיכה מקסימאלית 2</t>
  </si>
  <si>
    <t>תמיכה 2</t>
  </si>
  <si>
    <t>נתון עזר 3</t>
  </si>
  <si>
    <t>תמיכה מקסימאלית 3</t>
  </si>
  <si>
    <t>תמיכה 3</t>
  </si>
  <si>
    <t>נתון עזר 4</t>
  </si>
  <si>
    <t>תמיכה מקסימאלית 4</t>
  </si>
  <si>
    <t>תמיכה 4</t>
  </si>
  <si>
    <t>נתון עזר 5</t>
  </si>
  <si>
    <t>תמיכה מקסימאלית 5</t>
  </si>
  <si>
    <t>תמיכה 5</t>
  </si>
  <si>
    <t>סכום תמיכה לגופים חוץ מהגוף המקוזז</t>
  </si>
  <si>
    <t>סה"כ קיזוזים בגין איחורים</t>
  </si>
  <si>
    <t>גובה התמיכה המומלצת</t>
  </si>
  <si>
    <t>ימי איחור</t>
  </si>
  <si>
    <t>גובה סכום מקוזז</t>
  </si>
  <si>
    <t>סכום תמיכה ראשוני לאחר קיזוז</t>
  </si>
  <si>
    <t>גובה תמיכה לאחר קיזוזים</t>
  </si>
  <si>
    <t>הגוף מקוזז בוועדה</t>
  </si>
  <si>
    <t>הגוף מקוזז באיחורים</t>
  </si>
  <si>
    <t>הגוף מקוזז</t>
  </si>
  <si>
    <t>סכום תוספת</t>
  </si>
  <si>
    <t>גובה התמיכה המומלץ</t>
  </si>
  <si>
    <t>סה"כ קיזוזים</t>
  </si>
  <si>
    <t>גובה סכום התמיכה המבוקש לאחר הפחתת קיזוזים</t>
  </si>
  <si>
    <t>תמיכה לאחר הגבלה לסכום מבוקש (2)</t>
  </si>
  <si>
    <t>מגיש בקשה</t>
  </si>
  <si>
    <t>מספר העמותה</t>
  </si>
  <si>
    <t>שם הגוף</t>
  </si>
  <si>
    <t>מהות הבקשה</t>
  </si>
  <si>
    <t>סיבות לשינויים ביחס לשנה קודמת</t>
  </si>
  <si>
    <t>נימוקים</t>
  </si>
  <si>
    <t>קיזוזים בגין ימי איחור</t>
  </si>
  <si>
    <t>קיזוזים בגין החלטות ועדה</t>
  </si>
  <si>
    <t>עמותת הכוריאוגרפים (ע"ר)</t>
  </si>
  <si>
    <t>פרויקטים במחול - שליד תיאטרון מחול</t>
  </si>
  <si>
    <t>החברה העירונית לתרבות, ספורט ומרכזי</t>
  </si>
  <si>
    <t>תמיכה לפעילות שוטפת</t>
  </si>
  <si>
    <t>7 (א) (3)</t>
  </si>
  <si>
    <t>המוסד עומד בדרישות הנוהל, ובכלל זה יעמיד עצמו לביקורת המשרד להבטחת עמידתו בתנאים למתן תמיכה</t>
  </si>
  <si>
    <t>7 (א) (5)</t>
  </si>
  <si>
    <t>7 (א) (6)</t>
  </si>
  <si>
    <t>המוסד משתמש בכספי התמיכה רק למטרות שלשמן ניתנו</t>
  </si>
  <si>
    <t>7 (א) (7)</t>
  </si>
  <si>
    <t>7 (א) (8)</t>
  </si>
  <si>
    <t>7 (א) (9)</t>
  </si>
  <si>
    <t>7 (א) (10)</t>
  </si>
  <si>
    <t>7 (א) (11)</t>
  </si>
  <si>
    <t>המוסד הגיש תכנית עבודה כללית לשנת התמיכה התואמת את תנאי הסף שנקבעו לתחום פעילותו</t>
  </si>
  <si>
    <t>המוסד הגיש, במהלך שנת התמיכה, דו"חות ביצוע שוטפים, דוחות פעילות רבעוניים שוטפים ודוחות שנתיים המעידים על עמידתו בתכנית העבודה ובתנאי הזכאות לקבלת התמיכה</t>
  </si>
  <si>
    <t>7 (א) (12)</t>
  </si>
  <si>
    <t>7 (א) (13) (א)</t>
  </si>
  <si>
    <t>7 (א) (13) (ב)</t>
  </si>
  <si>
    <t>בעל מוניטין ותרומה מיוחדת וקיבל תמיכה בשנת הכספים הקודמת ובשנת התקציב המבוקר (0/1)</t>
  </si>
  <si>
    <t>קיבל תמיכה בשנת הכספים הקודמת ובשנת התקציב המבוקר (0/1)</t>
  </si>
  <si>
    <t xml:space="preserve">קיבל תמיכה בשנת הכספים הקודמת ובשנת התקציב המבוקר </t>
  </si>
  <si>
    <t>היוצר קיבל תמיכה בשנת הכספים הקודמת (0/1)</t>
  </si>
  <si>
    <t xml:space="preserve">עד 30 ק"מ </t>
  </si>
  <si>
    <t xml:space="preserve">מעל 30 עד 60 ק"מ </t>
  </si>
  <si>
    <t>מעל 60 עד 100 ק"מ</t>
  </si>
  <si>
    <t>מעל 100 ק"מ</t>
  </si>
  <si>
    <t>A</t>
  </si>
  <si>
    <t>B</t>
  </si>
  <si>
    <t>C</t>
  </si>
  <si>
    <t>D</t>
  </si>
  <si>
    <t xml:space="preserve">מספר הרצות בשנת ההערכה שעלות כל אחת מהן שווה או גדולה מ 5,000 ₪ </t>
  </si>
  <si>
    <t>שיעור תמיכה לפני הגבלות לסכום מבוקש וקיזוזים</t>
  </si>
  <si>
    <t>תמיכה ע"פ המודל לפני הגבלות לסכום מבוקש וקיזוזים</t>
  </si>
  <si>
    <t xml:space="preserve">מנגנון ההגנה </t>
  </si>
  <si>
    <r>
      <t xml:space="preserve">מחזור פעילותו השנתי של היוצר או מוסד ציבור בשנת התקציב המבוקר ובשנה שקדמה לה, המגישים את הבקשה באמצעות ארגון גג, </t>
    </r>
    <r>
      <rPr>
        <b/>
        <u/>
        <sz val="12"/>
        <color theme="1"/>
        <rFont val="Calibri"/>
        <family val="2"/>
        <scheme val="minor"/>
      </rPr>
      <t>לא</t>
    </r>
    <r>
      <rPr>
        <b/>
        <sz val="12"/>
        <color theme="1"/>
        <rFont val="Calibri"/>
        <family val="2"/>
        <scheme val="minor"/>
      </rPr>
      <t xml:space="preserve"> עלה על 400,000 שקלים חדשים</t>
    </r>
  </si>
  <si>
    <t>7 (א) (1)</t>
  </si>
  <si>
    <t>7 (א) (2)</t>
  </si>
  <si>
    <t>7 (א) (4)</t>
  </si>
  <si>
    <t>המוסד פועל ביעילות ובתקורה מיזערית</t>
  </si>
  <si>
    <t>המוסד השלים את הגשת כל הדו"חות הנדרשים לצורך ניקודו לפי מבחנים אלה, כשהם מלאים ותקינים, עד יום 1 במרס של שנת הכספים הקודמת</t>
  </si>
  <si>
    <t>7 (א) (11א)</t>
  </si>
  <si>
    <t>העלה לפחות הפקה שכללה יצירה חדשה אחת לפחות שלו</t>
  </si>
  <si>
    <t>בעל רמה אמנותית נאותה</t>
  </si>
  <si>
    <t>מספר שנות ותק נכון ליום 1 בינואר של שנת התמיכה</t>
  </si>
  <si>
    <t>קיבל ברמה אומנותית:</t>
  </si>
  <si>
    <t>קיבל ברמה אומנותית</t>
  </si>
  <si>
    <t>כן</t>
  </si>
  <si>
    <t>לא</t>
  </si>
  <si>
    <t xml:space="preserve">  הודיע למינהל התרבות  לא יאוחר מיום 1 בינואר של שנת הכספים הקודמת, על כוונתו להגיש בקשה לתמיכה לפי מבחנים אלה, ונתן לחברי המדור למחול הזדמנות סבירה לצפות בהפקותיו או להתרשם מפעילותו, לפי העניין</t>
  </si>
  <si>
    <t>עם מתן הודעה כאמור, יעדכן המוסד את מינהל התרבות, בכתב, על אודות הפקותיו, מועדי ההרצות ומיקומן (להלן בפסקה זו – פעילותו) לתקופה של 21 ימים ממועד מתן ההודעה כאמור וימשיך לעדכן בכתב את המינהל באופן שוטף על אודות פעילותו 21  ימים מראש לפחות</t>
  </si>
  <si>
    <t xml:space="preserve"> העביר למינהל התרבות, לא יאוחר מיום 1 במרס של שנת הכספים הקודמת, קישור לצפייה דיגיטלית בהפקה או בפעילות שקיים בשנת ההערכה או בשנת הכספים הקודמת</t>
  </si>
  <si>
    <t>האם חלה הוראת השעה בשנה הספציפית</t>
  </si>
  <si>
    <t>קיבל ברמה אומנותית לפחות:</t>
  </si>
  <si>
    <t>עד 2024</t>
  </si>
  <si>
    <t>מ 2024</t>
  </si>
  <si>
    <t>מספר הרצות בשנת ההערכה</t>
  </si>
  <si>
    <t>סעיף 7 (א) (10)</t>
  </si>
  <si>
    <t>המוסד השלים את הגשת כל הדו"חות הנדרשים לצורך ניקודו לפי מבחנים אלה, כשהם מלאים ותקינים, עד למועד כפי שיורה המינהל</t>
  </si>
  <si>
    <t>סעיף 7 (א) (13) (א)</t>
  </si>
  <si>
    <t xml:space="preserve">  הודיע למינהל התרבות 6 חודשים לפחות לפני מועד הגשת הבקשה לתמיכה, על כוונתו להגיש בקשה לתמיכה לפי מבחנים אלה, ונתן לחברי המדור למחול הזדמנות סבירה לצפות בהפקותיו או להתרשם מפעילותו, לפי העניין</t>
  </si>
  <si>
    <t xml:space="preserve"> העביר למינהל התרבות, במועד האמור בפסקת משנה (א), קישור לצפייה דיגיטלית בהפקה או בפעילות שקיים בשנת ההערכה או בשנת הכספים הקודמת</t>
  </si>
  <si>
    <t>המוסד קיבל תמיכה ממינהל התרבות בשנת הכספים הקודמת</t>
  </si>
  <si>
    <t>האם מגיש הבקשה הוא יוצר עצמאי</t>
  </si>
  <si>
    <t>הגדרות</t>
  </si>
  <si>
    <t>הגדרת שנה</t>
  </si>
  <si>
    <t>תאריך התחלה</t>
  </si>
  <si>
    <t>תאריך סיום</t>
  </si>
  <si>
    <t>שנת ההערכה</t>
  </si>
  <si>
    <t>שנת התקציב המבוקר</t>
  </si>
  <si>
    <t>שנת התמיכה</t>
  </si>
  <si>
    <t xml:space="preserve">המוסד יצרף לבקשתו תצהיר חתום בידי מנהלו לפיו המוסד עומד בדרישות הדין לעניין העסקת רקדנים ומבצעים ושכרם </t>
  </si>
  <si>
    <t>7(א) (10א)</t>
  </si>
  <si>
    <t>הבקשה הוגשה בידי מוסד ציבור המבצע את הפעילות
נושא התמיכה</t>
  </si>
  <si>
    <t>הבקשה הוגשה בידי ארגון גג שנתמך על ידי מינהל התרבות</t>
  </si>
  <si>
    <t>הדרכה למשתמש</t>
  </si>
  <si>
    <t>תאריך בניית המודל</t>
  </si>
  <si>
    <t>תאריך עדכון מודל</t>
  </si>
  <si>
    <r>
      <rPr>
        <b/>
        <sz val="20"/>
        <color theme="1"/>
        <rFont val="Calibri"/>
        <family val="2"/>
        <scheme val="minor"/>
      </rPr>
      <t>הערה חשובה:</t>
    </r>
    <r>
      <rPr>
        <b/>
        <sz val="16"/>
        <color theme="1"/>
        <rFont val="Calibri"/>
        <family val="2"/>
        <scheme val="minor"/>
      </rPr>
      <t xml:space="preserve"> בעת עריכת המודל - חל </t>
    </r>
    <r>
      <rPr>
        <b/>
        <u/>
        <sz val="16"/>
        <color theme="1"/>
        <rFont val="Calibri"/>
        <family val="2"/>
        <scheme val="minor"/>
      </rPr>
      <t>איסור מוחלט</t>
    </r>
    <r>
      <rPr>
        <b/>
        <sz val="16"/>
        <color theme="1"/>
        <rFont val="Calibri"/>
        <family val="2"/>
        <scheme val="minor"/>
      </rPr>
      <t xml:space="preserve"> לבצע </t>
    </r>
    <r>
      <rPr>
        <i/>
        <u/>
        <sz val="16"/>
        <color theme="1"/>
        <rFont val="Calibri"/>
        <family val="2"/>
        <scheme val="minor"/>
      </rPr>
      <t>גזירה</t>
    </r>
    <r>
      <rPr>
        <i/>
        <sz val="16"/>
        <color theme="1"/>
        <rFont val="Calibri"/>
        <family val="2"/>
        <scheme val="minor"/>
      </rPr>
      <t xml:space="preserve"> והדבקה</t>
    </r>
    <r>
      <rPr>
        <b/>
        <sz val="16"/>
        <color theme="1"/>
        <rFont val="Calibri"/>
        <family val="2"/>
        <scheme val="minor"/>
      </rPr>
      <t xml:space="preserve"> או </t>
    </r>
    <r>
      <rPr>
        <i/>
        <sz val="16"/>
        <color theme="1"/>
        <rFont val="Calibri"/>
        <family val="2"/>
        <scheme val="minor"/>
      </rPr>
      <t>העברה של תא ממקום למקום על ידי גרירה</t>
    </r>
    <r>
      <rPr>
        <b/>
        <sz val="16"/>
        <color theme="1"/>
        <rFont val="Calibri"/>
        <family val="2"/>
        <scheme val="minor"/>
      </rPr>
      <t>.</t>
    </r>
  </si>
  <si>
    <t>הוראת שעה/מעבר:</t>
  </si>
  <si>
    <t>הדרכה להזנת נתונים</t>
  </si>
  <si>
    <t>צבע התא</t>
  </si>
  <si>
    <t>מטרת התא</t>
  </si>
  <si>
    <t>דגש</t>
  </si>
  <si>
    <t>צהוב</t>
  </si>
  <si>
    <t>הזנת נתונים</t>
  </si>
  <si>
    <t>נדרש להזין מידע בהתאם להנחיות מבחן התמיכה, אי הזנה של תא יכולה להביא לידי שגיאה בתוצאות במודל. למעט גיליון "ניוד מופעים לפרפירה" בו אי הזנת נתון במספר הרצות משמעו 0 הרצות.</t>
  </si>
  <si>
    <t>חום</t>
  </si>
  <si>
    <t>הצגת מידע</t>
  </si>
  <si>
    <t>תא שאיננו מיועד להזנה. תא זה מציג מידע עפ"י נוסחה קבועה ואין לשנות אותה.</t>
  </si>
  <si>
    <t>אדום</t>
  </si>
  <si>
    <t>התראת שגיאה</t>
  </si>
  <si>
    <t>קיימת שגיאה בהזנת נתונים באחד מהתאים המיועדים להזנה, נדרש להזין את הנתונים הנדרשים לפני קביעת גובה תמיכה סופי.</t>
  </si>
  <si>
    <t>את רשימת המוסדות יש להזין בגיליונות השמאליים של הקובץ הממוספרים מ1 עד 10 במקום שם הגיליון , גיליון שממוספר מ1-10 ואינו נמצא בשימוש אין לשנות את שם הגיליון הקיים כברירת מחדל (מספר סידורי). במידה והוחלט לא להשתמש בגיליון לאחר כתיבת השם, נדרש לשנות חזרה את שם הגיליון למספר סידורי</t>
  </si>
  <si>
    <t>ניהול גרסאות</t>
  </si>
  <si>
    <t>מספר גרסה</t>
  </si>
  <si>
    <t>תאריך עדכון גרסה</t>
  </si>
  <si>
    <t>תאריך גרסה של מבחן תמיכה</t>
  </si>
  <si>
    <t>התאמות נוספות של מבחן תמיכה</t>
  </si>
  <si>
    <t>תיקון נוסחאות בגיליון סיווג על פי ההזנות</t>
  </si>
  <si>
    <t>המוסד לא קיבל תמיכה ממינהל התרבות בשנת הכספים הקודמת אך עומד בסעיפים 7 (א) (13) (א),(ב)</t>
  </si>
  <si>
    <t>7 (א) (13)</t>
  </si>
  <si>
    <t>שם הרשות</t>
  </si>
  <si>
    <t>תל אביב- יפו</t>
  </si>
  <si>
    <t>נתניה</t>
  </si>
  <si>
    <t>נטף</t>
  </si>
  <si>
    <t>ראשון לציון</t>
  </si>
  <si>
    <t>אשדוד</t>
  </si>
  <si>
    <t>ירושלים</t>
  </si>
  <si>
    <t>מירב כהן</t>
  </si>
  <si>
    <t>קים טייטלבאום</t>
  </si>
  <si>
    <t>מ.א מנשה</t>
  </si>
  <si>
    <t>קרית טבעון</t>
  </si>
  <si>
    <t>סילביה דוראן-תמיכה ביוצרת עצמאית</t>
  </si>
  <si>
    <t>אבי קייזר- תמיכה ביוצר עצמאי</t>
  </si>
  <si>
    <t>אהרונה ישראל - תמיכה ביוצרת עצמאית</t>
  </si>
  <si>
    <t>אופיר יודלביץ-תמיכה ביוצר עצמאי</t>
  </si>
  <si>
    <t>אורין יוחנן-תמיכה ביוצרת עצמאית</t>
  </si>
  <si>
    <t>איריס ארז-תמיכה ביוצרת עצמאית</t>
  </si>
  <si>
    <t>אנדראה מרטיני-תמיכה ביוצר עצמאי</t>
  </si>
  <si>
    <t>אפרת רובין - תמיכה ביוצרת עצמאית</t>
  </si>
  <si>
    <t>דינה תלם-תמיכה ביוצרת עצמאית</t>
  </si>
  <si>
    <t>דנה יהלומי-תמיכה ביוצרת עצמאית</t>
  </si>
  <si>
    <t>דנה רוטנברג-תמיכה ביוצרת עצמאית</t>
  </si>
  <si>
    <t>דפי אלטבב-תמיכה ביוצרת עצמאית</t>
  </si>
  <si>
    <t>הלל קוגן-תמיכה ביוצר עצמאי</t>
  </si>
  <si>
    <t>אנאבל דביר-תמיכה ביוצרת עצמאית</t>
  </si>
  <si>
    <t>מאיה ברינר-תמיכה ביוצרת עצמאית</t>
  </si>
  <si>
    <t>מאיה מכלל גלפנד-תמיכה ביוצרת עצמאית</t>
  </si>
  <si>
    <t>מיכאל גטמן-תמיכה ביוצר עצמאי</t>
  </si>
  <si>
    <t>מיכל הרמן-תמיכה ביוצרת עצמאית</t>
  </si>
  <si>
    <t>מירב דגן-תמיכה ביוצרת עצמאית</t>
  </si>
  <si>
    <t>עדו פדר-תמיכה ביוצר עצמאי</t>
  </si>
  <si>
    <t>ענת גרגוריו-תמיכה ביוצרת עצמאית</t>
  </si>
  <si>
    <t>ענת דניאלי-תמיכה ביוצרת עצמאית</t>
  </si>
  <si>
    <t>רונית זיו-תמיכה ביוצרת עצמאית</t>
  </si>
  <si>
    <t>שירה אביתר-תמיכה ביוצרת עצמאית</t>
  </si>
  <si>
    <t>שלומית פונדמינסקי-תמיכה ביוצרת עצמאית</t>
  </si>
  <si>
    <t>שרונה פלורסהיים-תמיכה ביוצרת עצמאית</t>
  </si>
  <si>
    <t>תמי ליבוביץ-תמיכה ביוצרת עצמאית</t>
  </si>
  <si>
    <t>תמר בורר-תמיכה ביוצרת עצמאית</t>
  </si>
  <si>
    <t>רותם תשח-תמיכה ביוצר עצמאי</t>
  </si>
  <si>
    <t>מיכל סמאמה-תמיכה ביוצרת עצמאית</t>
  </si>
  <si>
    <t>דגה פדר-תמיכה ביוצרת עצמאית</t>
  </si>
  <si>
    <t>דנה חפוטה-תמיכה ביוצרת עצמאית</t>
  </si>
  <si>
    <t>יענקלה פילצר-תמיכה ביוצר עצמאי</t>
  </si>
  <si>
    <t>ענבל פינטו-תמיכה ביוצרת עצמאית</t>
  </si>
  <si>
    <t>רוני חדש-תמיכה ביוצרת עצמאית</t>
  </si>
  <si>
    <t>שחר בנימיני-תמיכה ביוצר עצמאי</t>
  </si>
  <si>
    <t>רביד אברבנל-תמיכה ביוצרת עצמאית</t>
  </si>
  <si>
    <t>קימ טייטלבאום-תמיכה ביוצר עצמאי</t>
  </si>
  <si>
    <t>רחל בנגורה</t>
  </si>
  <si>
    <t>מרים אנגל</t>
  </si>
  <si>
    <t>מיכל סממה</t>
  </si>
  <si>
    <t>טלי זבילביץ</t>
  </si>
  <si>
    <t>אורי לנקינסקי</t>
  </si>
  <si>
    <t>דנה מרכוס</t>
  </si>
  <si>
    <t>יואנה בליקמן</t>
  </si>
  <si>
    <t>שקד מוכיח</t>
  </si>
  <si>
    <t>שרון הללי אסא</t>
  </si>
  <si>
    <t>דנה מרכוס-תמיכה ביוצרת עצמאית</t>
  </si>
  <si>
    <t>שקד מוכיח-תמיכה ביוצרת עצמאית</t>
  </si>
  <si>
    <t>להקת ג'אם</t>
  </si>
  <si>
    <t>הרצליה</t>
  </si>
  <si>
    <t>ג'אם להקת מחול (ע"ר)</t>
  </si>
  <si>
    <t>4(ה)</t>
  </si>
  <si>
    <t>הפעילות שבעדה מבוקשת התמיכה אינה ממומנת ע"י משרד ממשלתי אחר</t>
  </si>
  <si>
    <t>בין שמים לארץ- יוצרים תמי ורונן 2024</t>
  </si>
  <si>
    <t>בקשת תמיכה שוטפת ל2024</t>
  </si>
  <si>
    <t>תמר לם ודיוויד קרן-תמיכה ביוצרים עצמאיים</t>
  </si>
  <si>
    <t>תמיכה בניב שינפלד ואורן לאור 2024</t>
  </si>
  <si>
    <t>סאלי אן פרידלנד-תמיכה ביוצרת עצמאית</t>
  </si>
  <si>
    <t>ענת שמגר-תמיכה ביוצרת עצמאית</t>
  </si>
  <si>
    <t>מחול ק.ט.מ.ו.ן 2024</t>
  </si>
  <si>
    <t>יוסי ברג ועודד גרף 2024 תמיכה שוטפת</t>
  </si>
  <si>
    <t>נדין בומר - תמיכה ביוצרת עצמאית</t>
  </si>
  <si>
    <t>בלט פאנוב 2024</t>
  </si>
  <si>
    <t>רנה שינפלד - תמיכה שוטפת 2024</t>
  </si>
  <si>
    <t>אדוה ירמיהו - תמיכה ביוצרת עצמאית</t>
  </si>
  <si>
    <t>אור מרין - תמיכה ביוצרת עצמאית</t>
  </si>
  <si>
    <t>עדי בוטרוס אמנויות הבמה (ע"ר)</t>
  </si>
  <si>
    <t>להקת מחול ליאור תבורי (ע"ר)</t>
  </si>
  <si>
    <t>נועה שילה</t>
  </si>
  <si>
    <t>מיקה קופפר</t>
  </si>
  <si>
    <t>מיכל בן צבי</t>
  </si>
  <si>
    <t>מורן אברג'ל יצחקי</t>
  </si>
  <si>
    <t>אלה גרינבוים</t>
  </si>
  <si>
    <t>חיפה</t>
  </si>
  <si>
    <t>צור משה</t>
  </si>
  <si>
    <t>מיקה קופפר - תמיכה ביוצרת עצמאית</t>
  </si>
  <si>
    <t>מאץ ואן רוסום ורבקה לאופר - תמיכה ביוצרי</t>
  </si>
  <si>
    <t>תמיכה לשנת 2024</t>
  </si>
  <si>
    <t>תמיכה בפעילות של יוצר מחול עצמאי</t>
  </si>
  <si>
    <t>שרון הללי אסא - תמיכה ביוצרת עצמאית</t>
  </si>
  <si>
    <t>מירב כהן - תמיכה ביוצרת עצמאית</t>
  </si>
  <si>
    <t>טלי זבילביץ - תמיכה ביוצרת עצמאית</t>
  </si>
  <si>
    <t>ענת כץ - תמיכה ביוצרת עצמאית</t>
  </si>
  <si>
    <t>במוסד בו מועסקים עובדים ביחסי עבודה, המוסד קבע תקנון למניעת הטרדה מינית ועומד בדרישות תקנה 8 לתקנות חובות מעסיק. המוסד צירף לבקשתו את התקנון ופרטים על ההתאמות בתקנון, פרסומו למסירתו. (במוסד בו אין מתכונת יחסי עבודה - יש לסמן 1 עבור תנאי זה)</t>
  </si>
  <si>
    <t>רחובות</t>
  </si>
  <si>
    <t>עמותה למחול ואמנויות ניב שינפלד ואו</t>
  </si>
  <si>
    <t>מס' בקשה שנ תמיכה</t>
  </si>
  <si>
    <t>מס' בקשה שנה קודמת</t>
  </si>
  <si>
    <t>השנה האחרונה בה ניתנה הגנה לצורך 80% (מנגנון הגנה ביחס לשנה קודמת)</t>
  </si>
  <si>
    <t>זכאות להגנה של 80% (מנגנון הגנה ביחס לשנה קודמת)</t>
  </si>
  <si>
    <t>זיהוי מספר הבקשה לאותו גוף</t>
  </si>
  <si>
    <t>שנת בקשה</t>
  </si>
  <si>
    <t>סכום מבוקש</t>
  </si>
  <si>
    <t>סכום תמיכה בשנה קודמת</t>
  </si>
  <si>
    <t>סכום תמיכה מומלץ</t>
  </si>
  <si>
    <t>מספר בקשה</t>
  </si>
  <si>
    <t>תיאור בקשה קצר</t>
  </si>
  <si>
    <t>סטאטוס</t>
  </si>
  <si>
    <t>מזהה מגיש הבקשה</t>
  </si>
  <si>
    <t>מס' מגיש (ספק)</t>
  </si>
  <si>
    <t>שם מגיש הבקשה</t>
  </si>
  <si>
    <t>סכום מעודכן</t>
  </si>
  <si>
    <t>מס' תקנה</t>
  </si>
  <si>
    <t>תיאור תקנה תקציבית</t>
  </si>
  <si>
    <t>ביהס למחול ט-יב יואב 2024</t>
  </si>
  <si>
    <t>חויב</t>
  </si>
  <si>
    <t>אשכולות יואב (ע"ר)</t>
  </si>
  <si>
    <t>19-42-02-20</t>
  </si>
  <si>
    <t>מחול וארגוני גג</t>
  </si>
  <si>
    <t>בקשת תמיכה בפעילות השוטפת של להקת הפלמנק</t>
  </si>
  <si>
    <t>העמותה לקידום תרבות הפלמנקו בישראל</t>
  </si>
  <si>
    <t>מרכז מחול</t>
  </si>
  <si>
    <t>תיאטרון תנועה "תמו-נע"</t>
  </si>
  <si>
    <t>תמיכה לבני/ות נוער</t>
  </si>
  <si>
    <t>חב' מוסדות חנוך תרבות והתחדשות שכונ</t>
  </si>
  <si>
    <t>מרכז מחול יוצר</t>
  </si>
  <si>
    <t>המרכז הרב תחומי לקידום אמנויות (ע"ר</t>
  </si>
  <si>
    <t>הפקות מקור וסדנאות העשרה בפלמנקו 2024</t>
  </si>
  <si>
    <t>קרן עדי אגמון (ע"ר)</t>
  </si>
  <si>
    <t>תמיכה שוטפת ל2024</t>
  </si>
  <si>
    <t>להקת יסמין גודר (ע''ר)</t>
  </si>
  <si>
    <t>להקת מחול</t>
  </si>
  <si>
    <t>להקת קולבן דאנס (ע"ר)</t>
  </si>
  <si>
    <t>תמיכה בבית ספר למחול רמת הנגב</t>
  </si>
  <si>
    <t>מרכז תרבות, נוער וספורט רמת נגב (חל</t>
  </si>
  <si>
    <t>ארוח קבוצות מחול</t>
  </si>
  <si>
    <t>המרכז לתיאטרון של עכו (ע"ר)</t>
  </si>
  <si>
    <t>אירוח סופרים ומשוררים</t>
  </si>
  <si>
    <t>בוטל</t>
  </si>
  <si>
    <t>בקשת תמיכה לשנת 2024</t>
  </si>
  <si>
    <t>הבלט הישראלי )ע"ר(</t>
  </si>
  <si>
    <t>תמיכה שוטפת להקת המחול פרסקו</t>
  </si>
  <si>
    <t>להקת המחול פרסקו (ע"ר)</t>
  </si>
  <si>
    <t>תמיכה בבית פרסקו למחול ותרבות</t>
  </si>
  <si>
    <t>בית ספר למחול מרכז קלור 2024</t>
  </si>
  <si>
    <t>מ. א. הגליל העליון</t>
  </si>
  <si>
    <t>,תמיכה בתי הספר למחול לנוער ומבוגרים -</t>
  </si>
  <si>
    <t>מתנ"ס גדרה - מרכז תרבות, נוער וספור</t>
  </si>
  <si>
    <t>תמיכה בלהקת מחול מקצועית</t>
  </si>
  <si>
    <t>תיאטרון מחול ירושלים (ע"ר)</t>
  </si>
  <si>
    <t>בית ספר למחול מקצועי 2024</t>
  </si>
  <si>
    <t>אלון יזרעאל - הרכבים</t>
  </si>
  <si>
    <t>אלון יזרעאל - מחול בעמק (ע"ר)</t>
  </si>
  <si>
    <t>להקת מחול קטנה</t>
  </si>
  <si>
    <t>להקת הפלמנקו רמנגאר בע"מ חברה לתועל</t>
  </si>
  <si>
    <t>להקת מחול תימנית - ריקוד עם ישראלי 2024</t>
  </si>
  <si>
    <t>מ. א. מגידו</t>
  </si>
  <si>
    <t>ביה"ס למחול - 2024</t>
  </si>
  <si>
    <t>,תמיכה במחול 2024</t>
  </si>
  <si>
    <t>להקת המחול הקיבוצית (ע"ר)</t>
  </si>
  <si>
    <t>בית ספר למחול 2024</t>
  </si>
  <si>
    <t>עמותת בית האמנויות וחינוך בעמק יזרע</t>
  </si>
  <si>
    <t>תמיכה שוטפת פולקלור 2024</t>
  </si>
  <si>
    <t>מתנ"ס מרכז קהילתי מטה אשר (ע"ר)</t>
  </si>
  <si>
    <t>בין הסדקים 2024</t>
  </si>
  <si>
    <t>ק.ט.מ.ו.ן - קבוצת מחול בירושלים (ע'</t>
  </si>
  <si>
    <t>זירת מחול</t>
  </si>
  <si>
    <t>הזירה הבין-תחומית (ע"ר)</t>
  </si>
  <si>
    <t>תמיכה שוטפת</t>
  </si>
  <si>
    <t>תאטרון מחול אבשלום פולק בע"מ (חל"צ)</t>
  </si>
  <si>
    <t>עבור תקצוב להקת המחול העירונית</t>
  </si>
  <si>
    <t>עירית באר שבע</t>
  </si>
  <si>
    <t>מרכז התנועה שדרות אדמה</t>
  </si>
  <si>
    <t>מרכז התנועה שדרות אדמה (ע''ר)</t>
  </si>
  <si>
    <t>תמיכה בפעילות להקת מחול קטנה</t>
  </si>
  <si>
    <t>להקת מחול רועי אסף (ע"ר)</t>
  </si>
  <si>
    <t>תמיכה שוטפת לפעילות להקת בלט ירושלים</t>
  </si>
  <si>
    <t>בלט ירושלים (ע"ר)</t>
  </si>
  <si>
    <t>תמיכה שוטפת לפעילות בית הספר לבלט</t>
  </si>
  <si>
    <t>תמיכה באולפן מחול לשנת 2024</t>
  </si>
  <si>
    <t>מ. א. שער הנגב</t>
  </si>
  <si>
    <t>תמיכה בלהקת הורה שמש לשנת 2024</t>
  </si>
  <si>
    <t>מתנ"ס שער הנגב (ע"ר)</t>
  </si>
  <si>
    <t>בית ספר למחול FLY</t>
  </si>
  <si>
    <t>נעסף</t>
  </si>
  <si>
    <t>"רגעים"- עמותה לחינוך בלתי פורמלי ב</t>
  </si>
  <si>
    <t>ביה"ס למחול להקת מחול בת-שבע תמיכה 2024</t>
  </si>
  <si>
    <t>להקת מחול בת-שבע (ע"ר)</t>
  </si>
  <si>
    <t>תמיכה בבית ספר למחול מתנס קולייר</t>
  </si>
  <si>
    <t>חברת מוסדות חנוך ותרבות באילת מיסוד</t>
  </si>
  <si>
    <t>אודליה קופרברג - תמיכה ביוצרת עצמאית</t>
  </si>
  <si>
    <t>אוליביה קורט מסה - תמיכה ביוצרת עצמאית</t>
  </si>
  <si>
    <t>אופיר יודלביץ - תמיכה ביוצר עצמאי</t>
  </si>
  <si>
    <t>תמיכה בבית ספר למחול כוכב יאיר צור יגאל</t>
  </si>
  <si>
    <t>העמותה לפעילות קהילתית כוכב יאיר (ע</t>
  </si>
  <si>
    <t>אורי לנקינסקי - תמיכה ביוצרת עצמאית</t>
  </si>
  <si>
    <t>אורי שפיר - תמיכה ביוצר עצמאי</t>
  </si>
  <si>
    <t>אורין יוחנן - תמיכה ביוצרת עצמאית</t>
  </si>
  <si>
    <t>ארגון גג למוזיקאים עצמאיים</t>
  </si>
  <si>
    <t>המרכז למוסיקה ע"ש פיליציה בלומנטל (</t>
  </si>
  <si>
    <t>תמיכה בבית ספר למחול לבני נוער ומבוגרים</t>
  </si>
  <si>
    <t>מ. א. עמק הירדן</t>
  </si>
  <si>
    <t>אורלי פורטל - תמיכה ביוצרת עצמאית</t>
  </si>
  <si>
    <t>איריס ארז - תמיכה ביוצרת עצמאית</t>
  </si>
  <si>
    <t>אלה גרינבוים - תמיכה ביוצרת עצמאית</t>
  </si>
  <si>
    <t>אלה רוטשילד - תמיכה ביוצרת עצמאית</t>
  </si>
  <si>
    <t>אנאבל דביר - תמיכה ביוצרת עצמאית</t>
  </si>
  <si>
    <t>אנדראה מרטיני - תמיכה ביוצר עצמאי</t>
  </si>
  <si>
    <t>בשמת נוסן - תמיכה ביוצרת עצמאית</t>
  </si>
  <si>
    <t>גיל קרר - תמיכה ביוצר עצמאי</t>
  </si>
  <si>
    <t>דגה פדר - תמיכה ביוצרת עצמאית</t>
  </si>
  <si>
    <t>דינה תלם - תמיכה ביוצרת עצמאית</t>
  </si>
  <si>
    <t>דנה חפוטה - תמיכה ביוצרת עצמאית</t>
  </si>
  <si>
    <t>דנה יהלומי - תמיכה ביוצרת עצמאית</t>
  </si>
  <si>
    <t>דנה מרכוס - תמיכה ביוצרת עצמאית</t>
  </si>
  <si>
    <t>להקת גוונים</t>
  </si>
  <si>
    <t>עירית ראשון לציון</t>
  </si>
  <si>
    <t>דנה רוטנברג - תמיכה ביוצרת עצמאית</t>
  </si>
  <si>
    <t>דניאל שופרא - תמיכה ביוצרת עצמאית</t>
  </si>
  <si>
    <t>דפי אלטבב - תמיכה ביוצרת עצמאית</t>
  </si>
  <si>
    <t>הלל קוגן - תמיכה ביוצר עצמאי</t>
  </si>
  <si>
    <t>יואנה בליקמן - תמיכה ביוצרת עצמאית</t>
  </si>
  <si>
    <t>יענקלה פילצר - תמיכה ביוצר עצמאי</t>
  </si>
  <si>
    <t>מאי זרחי - תמיכה ביוצרת עצמאית</t>
  </si>
  <si>
    <t>מאיה ברינר - תמיכה ביוצרת עצמאית</t>
  </si>
  <si>
    <t>מאיה מכלל גלפנד - תמיכה ביוצרת עצמאית</t>
  </si>
  <si>
    <t>מורן אברג'ל יצחקי - תמיכה ביוצרת עצמאית</t>
  </si>
  <si>
    <t>מיה שטרן ותומר שרעבי - תמיכה ביוצרים עצמ</t>
  </si>
  <si>
    <t>מיכאל גטמן - תמיכה ביוצר עצמאי</t>
  </si>
  <si>
    <t>מיכל בן צבי - תמיכה ביוצרת עצמאית</t>
  </si>
  <si>
    <t>מיכל הרמן - תמיכה ביוצרת עצמאית</t>
  </si>
  <si>
    <t>מיכל סמאמה - תמיכה ביוצרת עצמאית</t>
  </si>
  <si>
    <t>מירב דגן - תמיכה ביוצרת עצמאית</t>
  </si>
  <si>
    <t>מעיין כהן מרציאנו - תמיכה ביוצרת עצמאית</t>
  </si>
  <si>
    <t>מעיין דנוך - תמיכה ביוצרת עצמאית</t>
  </si>
  <si>
    <t>מעין ליבמן שרון - תמיכה ביוצרת עצמאית</t>
  </si>
  <si>
    <t>מרים אנגל - תמיכה ביוצרת עצמאית</t>
  </si>
  <si>
    <t>נועה שילה - תמיכה ביוצרת עצמאית</t>
  </si>
  <si>
    <t>נטע פולברמכר - תמיכה ביוצרת עצמאית</t>
  </si>
  <si>
    <t>נימה יעקבי - תמיכה ביוצרת עצמאית</t>
  </si>
  <si>
    <t>נמרוד פריד - תמיכה ביוצר עצמאי</t>
  </si>
  <si>
    <t>נעה דר - תמיכה ביוצרת עצמאית</t>
  </si>
  <si>
    <t>נעה צוק - תמיכה ביוצרת עצמאית</t>
  </si>
  <si>
    <t>נעה שדור - תמיכה ביוצרת עצמאית</t>
  </si>
  <si>
    <t>סאלי אן פרידלנד - תמיכה ביוצרת עצמאית</t>
  </si>
  <si>
    <t>סהר עזימי - תמיכה ביוצר עצמאי</t>
  </si>
  <si>
    <t>סופיה קרנץ - תמיכה ביוצרת עצמאית</t>
  </si>
  <si>
    <t>סיגל ארמוזה - תמיכה ביוצרת עצמאית</t>
  </si>
  <si>
    <t>סיגל ברגמן - תמיכה ביוצרת עצמאית</t>
  </si>
  <si>
    <t>סילביה דוראן - תמיכה ביוצרת עצמאית</t>
  </si>
  <si>
    <t>עדו פדר - תמיכה ביוצר עצמאי</t>
  </si>
  <si>
    <t>עודד רונן - תמיכה ביוצר עצמאי</t>
  </si>
  <si>
    <t>עידן כהן - תמיכה ביוצר עצמאי</t>
  </si>
  <si>
    <t>עידן שרעבי - תמיכה ביוצר עצמאי</t>
  </si>
  <si>
    <t>ענבל אושמן - תמיכה ביוצרת עצמאית</t>
  </si>
  <si>
    <t>ענבל פינטו - תמיכה ביוצרת עצמאית</t>
  </si>
  <si>
    <t>ענת גרגוריו - תמיכה ביוצרת עצמאית</t>
  </si>
  <si>
    <t>ענת דניאלי - תמיכה ביוצרת עצמאית</t>
  </si>
  <si>
    <t>ענת שמגר - תמיכה ביוצרת עצמאית</t>
  </si>
  <si>
    <t>פרויקט חיות מחול - פעולות לקידום המחול</t>
  </si>
  <si>
    <t>פרויקט 48 - פעולות לקידום המחול</t>
  </si>
  <si>
    <t>פרויקט GO - פעולות לקידום המחול</t>
  </si>
  <si>
    <t>פרויקט בודי וויז - פעולות לקידום המחול</t>
  </si>
  <si>
    <t>פרויקט בי"ס אורלי פורטל - פעולות לקידום</t>
  </si>
  <si>
    <t>פרויקט טייצ' - פעולות לקידום המחול</t>
  </si>
  <si>
    <t>פרויקט נון אימג' - פעולות לקידום המחול</t>
  </si>
  <si>
    <t>פרויקט נפגשות - פעולות לקידום המחול</t>
  </si>
  <si>
    <t>פרויקט סטודיו נעה אשכול - פעולות לקידום</t>
  </si>
  <si>
    <t>פרויקט ריסרצ' - פעולות לקידום המחול</t>
  </si>
  <si>
    <t>פרויקט ריקודנטו - פעולות לקידום המחול</t>
  </si>
  <si>
    <t>פרויקט שינוע - פעילות לקידום המחול</t>
  </si>
  <si>
    <t>פרויקט תלוי במקום - פעולות לקידום המחול</t>
  </si>
  <si>
    <t>פרויקט תנועה מקומית - פעולות לקידום המחו</t>
  </si>
  <si>
    <t>קימ טייטלבאום - תמיכה ביוצר עצמאי</t>
  </si>
  <si>
    <t>רביד אברבנל - תמיכה ביוצרת עצמאית</t>
  </si>
  <si>
    <t>רוני חדש - תמיכה ביוצרת עצמאית</t>
  </si>
  <si>
    <t>רונית זיו - תמיכה ביוצרת עצמאית</t>
  </si>
  <si>
    <t>רותם תשח - תמיכה ביוצר עצמאי</t>
  </si>
  <si>
    <t>רחל בנגורה - תמיכה ביוצרת עצמאית</t>
  </si>
  <si>
    <t>ריצל ארדוס - תמיכה ביוצרת עצמאית</t>
  </si>
  <si>
    <t>שחר בנימיני - תמיכה ביוצר עצמאי</t>
  </si>
  <si>
    <t>שירה אביתר - תמיכה ביוצרת עצמאית</t>
  </si>
  <si>
    <t>שלומי ביטון - תמיכה ביוצר עצמאי</t>
  </si>
  <si>
    <t>שלומית פונדמינסקי - תמיכה ביוצרת עצמאית</t>
  </si>
  <si>
    <t>שקד מוכיח - תמיכה ביוצרת עצמאית</t>
  </si>
  <si>
    <t>שרון וזנה - תמיכה ביוצרת עצמאית</t>
  </si>
  <si>
    <t>שרון פרידמן - תמיכה ביוצר עצמאי</t>
  </si>
  <si>
    <t>שרון צוקרמן - תמיכה ביוצרת עצמאית</t>
  </si>
  <si>
    <t>שרונה פלורסהיים - תמיכה ביוצרת עצמאית</t>
  </si>
  <si>
    <t>תמי ליבוביץ - תמיכה ביוצרת עצמאית</t>
  </si>
  <si>
    <t>תמר בורר - תמיכה ביוצרת עצמאית</t>
  </si>
  <si>
    <t>עמותת הכוריאוגרפים - תמיכה בארגון גג</t>
  </si>
  <si>
    <t>בית ספר למחול</t>
  </si>
  <si>
    <t>משגב הגליל עמותה לקידום ההתישבות בג</t>
  </si>
  <si>
    <t>להקות המחול משגב 2024</t>
  </si>
  <si>
    <t>בקשה לתמיכה מתקציב משרד התרבות והספורט</t>
  </si>
  <si>
    <t>זמארין - העמותה לתרבות פנאי וקהילה</t>
  </si>
  <si>
    <t>תמיכה בפעילות של עמותת הקונטקט בישראל</t>
  </si>
  <si>
    <t>העמותה לקונטאקט אימפרוביזציה בישראל</t>
  </si>
  <si>
    <t>תמיכה לפעילות שטפת</t>
  </si>
  <si>
    <t>פלמנקו נטורל - המרכז לאמנות הפלמנקו</t>
  </si>
  <si>
    <t>בקשת תמיכה ללהקות המחול העירוניות בגבעתי</t>
  </si>
  <si>
    <t>קהילתיים - תרבות פנאי וקהילה בגבעתי</t>
  </si>
  <si>
    <t>בית ספר למחול גולן</t>
  </si>
  <si>
    <t>מרכז קהילתי רמת הגולן (ע"ר)</t>
  </si>
  <si>
    <t>להקת מחול בת שבע תמיכה לשנת 2024</t>
  </si>
  <si>
    <t>תמיכה בריקוד עם ישראלי-הרכבים מבצעים</t>
  </si>
  <si>
    <t>עירית רחובות</t>
  </si>
  <si>
    <t>מחולות מנשה - ריקוד עם ישראלי</t>
  </si>
  <si>
    <t>ר.ו.ת.ם - העמותה לרווחת תושבי מנשה</t>
  </si>
  <si>
    <t>בית ספר למחול לנוער - אולפן למחול מנשה</t>
  </si>
  <si>
    <t>קידום סצינת המחול האמנותי באזור מ.א מנשה</t>
  </si>
  <si>
    <t>מרכז מחול - בית המחול מנשה</t>
  </si>
  <si>
    <t>מרכז מחול- כלים גוף לעבודה כוריאוגרפית</t>
  </si>
  <si>
    <t>כלים - גוף לעבודה כוריאוגרפית (ע"ר)</t>
  </si>
  <si>
    <t>בקשה לתמיכה לשנת 2024</t>
  </si>
  <si>
    <t>תנועה בעם ע"ר)</t>
  </si>
  <si>
    <t>מרכז מחול שלם</t>
  </si>
  <si>
    <t>מחול שלם - בית עכשווי למחול (ע"ר)</t>
  </si>
  <si>
    <t>אירוע חשיפה בינלאומית למחול בירושלים</t>
  </si>
  <si>
    <t>בית ספר למחול איילות</t>
  </si>
  <si>
    <t>איילות - מרכז למחול ותנועה (ע"ר)</t>
  </si>
  <si>
    <t>רזידנסי לאמני מחול</t>
  </si>
  <si>
    <t>תמיכה בלהקת מחול - שוטף</t>
  </si>
  <si>
    <t>עמותת ורטיגו למחול - ירושלים (ע"ר)</t>
  </si>
  <si>
    <t>תמיכה בבית ספר למחול הקבוצה ביפו 2024</t>
  </si>
  <si>
    <t>הקבוצה ביפו - עמותה לקידום בית ספר</t>
  </si>
  <si>
    <t>תמיכה במרכז מחול - ורטיגו בכפר</t>
  </si>
  <si>
    <t>תמיכה בבית ספר למחול של ורטיגו</t>
  </si>
  <si>
    <t>פעילות שוטפת להקת מחול ענבל</t>
  </si>
  <si>
    <t>תאטרון מחול ענבל - מרכז אתני רב תחו</t>
  </si>
  <si>
    <t>בקשה לתמיכה בבית ספר למחול לנוער</t>
  </si>
  <si>
    <t>גנ"ת - גוף, נפש, תודעה - העמותה היש</t>
  </si>
  <si>
    <t>מרכז סוזן דלל למחול ולתיאטרון - נוה</t>
  </si>
  <si>
    <t>חשיפה בינלאומית</t>
  </si>
  <si>
    <t>פיצ'ינג</t>
  </si>
  <si>
    <t>עמותת רננה רז - מחול ויצירה רב תחומ</t>
  </si>
  <si>
    <t>תמיכה במחול 2024</t>
  </si>
  <si>
    <t>תיאטרון הבית - מרכז בינתחומי למחול</t>
  </si>
  <si>
    <t>קידום נתיב האמן (ע"ר)</t>
  </si>
  <si>
    <t>סטודיו פתוח - מחול בתיאטרון הבית</t>
  </si>
  <si>
    <t>תיאטרון מחול יוסי ברג ועודד גרף (ע'</t>
  </si>
  <si>
    <t>מחול פרינג 2024</t>
  </si>
  <si>
    <t>תיאטרון הפרינג' באר שבע (ע"ר)</t>
  </si>
  <si>
    <t>בית ספר למחול ערבה 2024</t>
  </si>
  <si>
    <t>מ. א. הערבה התיכונה</t>
  </si>
  <si>
    <t>להקות המחול צבעי מחול</t>
  </si>
  <si>
    <t>להקת צבעי מחול בע"מ (חל"צ)</t>
  </si>
  <si>
    <t>בין שמים לארץ- פרויקט מחול 2024</t>
  </si>
  <si>
    <t>בין שמיים לארץ (ע"ר)</t>
  </si>
  <si>
    <t>בין שמים לארץ- אנסמבל 2024</t>
  </si>
  <si>
    <t>להקת המחול קמע- תמיכה 2024</t>
  </si>
  <si>
    <t>בת-דור באר-שבע - מרכז עירוני לאמנות</t>
  </si>
  <si>
    <t>בית ספר בת דור באר שבע תמיכה 2024</t>
  </si>
  <si>
    <t>ביהס למחול ביכורי העתים 2024</t>
  </si>
  <si>
    <t>עירית תל-אביב-יפו</t>
  </si>
  <si>
    <t>המסלול להכשרת רקדנים ביכורי העתים 2024</t>
  </si>
  <si>
    <t>להקת גלגלי רני אילן</t>
  </si>
  <si>
    <t>איל"ן אגוד ישראלי לילדים נפגעים (ע"</t>
  </si>
  <si>
    <t>ביה"ס למחול - 2024 - עמק המעיינות</t>
  </si>
  <si>
    <t>מתנ"ס עמק המעיינות (ע"ר)</t>
  </si>
  <si>
    <t>בית הספר למחול בקונסרבטוריון כפר סבא</t>
  </si>
  <si>
    <t>החברה העירונית לתרבות הפנאי בכפר סב</t>
  </si>
  <si>
    <t>מחול במזיא</t>
  </si>
  <si>
    <t>תאטרון "פסיק" ירושלים )ע"ר(</t>
  </si>
  <si>
    <t>אי"ב- ארגון יוצרים, ארגוני גג 2024</t>
  </si>
  <si>
    <t>אי"ב - ארגון יוצרים עצמאים בתיאטרון</t>
  </si>
  <si>
    <t>תמיכה בפעילותה השוטפת של העמותה</t>
  </si>
  <si>
    <t>תמיכה עבור הסדנה למחול מטה אשר 2024</t>
  </si>
  <si>
    <t>בית ספר למחול לבני נוער קרית טבעון 2024</t>
  </si>
  <si>
    <t>רשת מתנ"סים ק. טבעון (ע"ר)</t>
  </si>
  <si>
    <t>מחול פרויקטים- הורה ירושלים 2024</t>
  </si>
  <si>
    <t>הורה ירושלים, עמותה עירונית למחול ו</t>
  </si>
  <si>
    <t>מחול אירועים - הורה 2024</t>
  </si>
  <si>
    <t>מחול הרכבים- הורה ירושלים 2024</t>
  </si>
  <si>
    <t>בית ספר למחול- הורה ירושלים 2024</t>
  </si>
  <si>
    <t>הבית למחול- להקת מחול 2024</t>
  </si>
  <si>
    <t>הבית למחול (ע"ר)</t>
  </si>
  <si>
    <t>תמיכה באולפן למחול מ"א לגילאי 14-18 2024</t>
  </si>
  <si>
    <t>מועד</t>
  </si>
  <si>
    <t>פרוייקט/סדרת מחול</t>
  </si>
  <si>
    <t>בית מזי"א לתאטרון בע"מ (חל"צ)</t>
  </si>
  <si>
    <t>הספריה למחול 2024</t>
  </si>
  <si>
    <t>קידום ושימור מחול ישראלי 2024</t>
  </si>
  <si>
    <t>ריקוד עם ישראלי - כרמי מחול</t>
  </si>
  <si>
    <t>מרכז תרבות וספורט כרמיאל</t>
  </si>
  <si>
    <t>איה אשכול 2024</t>
  </si>
  <si>
    <t>מ. א. אשכול</t>
  </si>
  <si>
    <t>תמיכה בהרכבי ביצוע "חבצלות" נתניה</t>
  </si>
  <si>
    <t>עמותת היכל התרבות העירוני - נתניה (</t>
  </si>
  <si>
    <t>16753 בית ספר למחול</t>
  </si>
  <si>
    <t>עירית רעננה</t>
  </si>
  <si>
    <t>ספריי למחול 2024</t>
  </si>
  <si>
    <t>ספריה למחול-קידום ושימור מחול ישראלי</t>
  </si>
  <si>
    <t>מרכז קהילתי אשכול (ע"ר)</t>
  </si>
  <si>
    <t>להקת גלגלי ראשון לציון אילן</t>
  </si>
  <si>
    <t>להקת הורה אילן חיפה</t>
  </si>
  <si>
    <t>תמיכה בית הספר למחול</t>
  </si>
  <si>
    <t>מרכז קהילתי ביבנה עש גרמנוב וסימון</t>
  </si>
  <si>
    <t>תמיכה בקורס ריקודי עם ולהקת מחול</t>
  </si>
  <si>
    <t>המועדון לספורט באוניברסיטת תל-אביב</t>
  </si>
  <si>
    <t>תמיכה</t>
  </si>
  <si>
    <t>אנחנו כאן אגודה לתרבות פולקלור וחבר</t>
  </si>
  <si>
    <t>בית ספר למחול "יד חריף"- מ.א. מטה יהודה</t>
  </si>
  <si>
    <t>מ. א. מטה יהודה</t>
  </si>
  <si>
    <t>אירועי מחול לשנת 2024</t>
  </si>
  <si>
    <t>מוזיאון ישראל )חל"צ(</t>
  </si>
  <si>
    <t>להקת מחול פרדס-חנה כרכור 2024</t>
  </si>
  <si>
    <t>מ. מ. פרדס-חנה-כרכור</t>
  </si>
  <si>
    <t>תקנת ריקודי עם 2024</t>
  </si>
  <si>
    <t>המכללה האקדמית תל-חי (ע"ר)</t>
  </si>
  <si>
    <t>תמיכה בלהקת מחול בת שבע</t>
  </si>
  <si>
    <t>טיוט</t>
  </si>
  <si>
    <t>להקת מחול תימנית- ריקוד עם ישראלי 2025</t>
  </si>
  <si>
    <t>הפקות מקור וסדנאות העשרה בפלמנקו 2025</t>
  </si>
  <si>
    <t>ארוח יוצרי מחול וקבוצות מחול מודרני</t>
  </si>
  <si>
    <t>בלט ירושלים להקה תמיכה שוטפת 2025</t>
  </si>
  <si>
    <t>רנה שינפלד - תמיכה שוטפת 2025</t>
  </si>
  <si>
    <t>תמיכה שוטפת לשנת 2025 ללהקת מחול יוסי ב</t>
  </si>
  <si>
    <t>פולקלור הורה תמיכה שוטפת 2025</t>
  </si>
  <si>
    <t>להקת מחול בינונית</t>
  </si>
  <si>
    <t>אבי קייזר - תמיכה ביוצר עצמאי</t>
  </si>
  <si>
    <t>אוליביה קורט מסה-תמיכה ביוצרת עצמאית</t>
  </si>
  <si>
    <t>אור מרין-תמיכה ביוצרת עצמאית</t>
  </si>
  <si>
    <t>אורי לנקינסקי-תמיכה ביוצרת עצמאית</t>
  </si>
  <si>
    <t>אורי שפיר-תמיכה ביוצר עצמאי</t>
  </si>
  <si>
    <t>אורית שאול - תמיכה ביוצרת עצמאית</t>
  </si>
  <si>
    <t>אורלי פורטל- תמיכה ביוצרת עצמאית</t>
  </si>
  <si>
    <t>אלה גרינבוים-תמיכה ביוצרת עצמאית</t>
  </si>
  <si>
    <t>אפרת רובין-תמיכה ביוצרת עצמאית</t>
  </si>
  <si>
    <t>טלי זבילביץ-תמיכה ביוצרת עצמאית</t>
  </si>
  <si>
    <t>יואנה בליקמן-תמיכה ביוצרת עצמאית</t>
  </si>
  <si>
    <t>יניב הופמן-תמיכה ביוצר עצמאי</t>
  </si>
  <si>
    <t>ליאור לזרוף-תמיכה ביוצרת עצמאית</t>
  </si>
  <si>
    <t>מאי זרחי-תמיכה ביוצרת עצמאית</t>
  </si>
  <si>
    <t>מורן יצחקי אברגל-תמיכה ביוצרת עצמאית</t>
  </si>
  <si>
    <t>מיה שטרן ותומר שרעבי-תמיכה ביוצרים עצמאי</t>
  </si>
  <si>
    <t>מיכל בן צבי-תמיכה ביוצרת עצמאית</t>
  </si>
  <si>
    <t>מיקה קופפר-תמיכה ביוצרת עצמאית</t>
  </si>
  <si>
    <t>מירב כהן-תמיכה ביוצרת עצמאית</t>
  </si>
  <si>
    <t>מעיין כהן מרציאנו-תמיכה ביוצרת עצמאית</t>
  </si>
  <si>
    <t>מעין ליבמן שרון-תמיכה ביוצרת עצמאית</t>
  </si>
  <si>
    <t>מרים אנגל-תמיכה ביוצרת עצמאית</t>
  </si>
  <si>
    <t>נעה שילה - תמיכה ביוצרת עצמאית</t>
  </si>
  <si>
    <t>נימה יעקובי - תמיכה ביוצרת עצמאית</t>
  </si>
  <si>
    <t>נמרוד פריד- תמיכה ביוצר עצמאי</t>
  </si>
  <si>
    <t>עידו גידרון - תמיכה ביוצר עצמאי</t>
  </si>
  <si>
    <t>ענת כץ-תמיכה ביוצרת עצמאית</t>
  </si>
  <si>
    <t>פרוייקט פריצה-פעילות לקידום המחול</t>
  </si>
  <si>
    <t>פרויקט 48-פעילות לקידום המחול</t>
  </si>
  <si>
    <t>פרויקט GO-פעולות לקידום המחול</t>
  </si>
  <si>
    <t>פרויקט בודי וויז-פעולות לקידום המחול</t>
  </si>
  <si>
    <t>פרויקט בי"ס למחול אורלי פורטל-פעולות לקי</t>
  </si>
  <si>
    <t>פרויקט חיות מחול-פעולות לקידום המחול</t>
  </si>
  <si>
    <t>פרויקט טייצ-פעולות לקידום המחול</t>
  </si>
  <si>
    <t>פרויקט נון אימג-פעולות לקידום המחול</t>
  </si>
  <si>
    <t>פרויקט נפגשות-פעולות לקידום המחול</t>
  </si>
  <si>
    <t>פרויקט סטודיו נעה אשכול-פעולות לקידום המ</t>
  </si>
  <si>
    <t>פרויקט ספירה-פעולות לקידום המחול</t>
  </si>
  <si>
    <t>פרויקט עבודות לאור יום-פעולות לקידום המח</t>
  </si>
  <si>
    <t>פרויקט ריסרצ-פעולות לקידום המחול</t>
  </si>
  <si>
    <t>פרויקט ריקודנטו-פעולות לקידום המחול</t>
  </si>
  <si>
    <t>פרויקט תלוי במקום-פעולות לקידום המחול</t>
  </si>
  <si>
    <t>פרויקט תנועה מקומית-פעולות לקידום המחול</t>
  </si>
  <si>
    <t>קלי איאש-תמיכה ביוצרת עצמאית</t>
  </si>
  <si>
    <t>רחל בנגורה-תמיכה ביוצרת עצמאית</t>
  </si>
  <si>
    <t>רייצל ארדוס-תמיכה ביוצרת עצמאית</t>
  </si>
  <si>
    <t>שרון הללי אסא-תמיכה ביוצרת עצמאית</t>
  </si>
  <si>
    <t>שרון וזאנה-תמיכה ביוצרת עצמאית</t>
  </si>
  <si>
    <t>שרון פרידמן-תמיכה ביוצר עצמאי</t>
  </si>
  <si>
    <t>שרון צוקרמן-תמיכה ביוצרת עצמאית</t>
  </si>
  <si>
    <t>תמי ורונן יצחקי-תמיכה ביוצרים עצמאיים</t>
  </si>
  <si>
    <t>עמותת הכוריאוגרפים-תמיכה בארגון גג</t>
  </si>
  <si>
    <t>ריקודי עם ישראלי</t>
  </si>
  <si>
    <t>עירית ערד</t>
  </si>
  <si>
    <t>מעין דנוך - תמיכה ביוצרת עצמאית</t>
  </si>
  <si>
    <t>עבור תמיכה בלהקות המחול</t>
  </si>
  <si>
    <t>פעילות העמותה לקונטקט אימפרוביזציה</t>
  </si>
  <si>
    <t>עדי בוטרוס 2025 תמיכה שוטפת</t>
  </si>
  <si>
    <t>תמיכה ביוצרים ניב שינפלד ואורן לאור</t>
  </si>
  <si>
    <t>רזידנסי מחול מקומי</t>
  </si>
  <si>
    <t>בקשת תמיכה שוטפת ללהקת מחול ליאור תבורי</t>
  </si>
  <si>
    <t>להקת מחול 2025</t>
  </si>
  <si>
    <t>בקשת תמיכה לשנת 2025 למרכז למחול מנשה</t>
  </si>
  <si>
    <t>תמיכה שוטפת בלהקת מחול ענבל</t>
  </si>
  <si>
    <t>תמיכה בהרכבי ביצוע "חבצלות " נתניה</t>
  </si>
  <si>
    <t>תמיכה שוטפת בפעילות הלהקה</t>
  </si>
  <si>
    <t>מחול 2025</t>
  </si>
  <si>
    <t>להקת הפלמנקו רמנגאר תמיכה שוטפת</t>
  </si>
  <si>
    <t>זוזימה מרכז מחול</t>
  </si>
  <si>
    <t>ארץ עיר )ע"ר(</t>
  </si>
  <si>
    <t>מחול בבית - מרכז בינתחומי למחול</t>
  </si>
  <si>
    <t>בלט פאנוב תקנת להקה 2025</t>
  </si>
  <si>
    <t>פאנוב יוצרים 2025</t>
  </si>
  <si>
    <t>מחול הרכבים 2025</t>
  </si>
  <si>
    <t>בית אריאלה הספרייה למחול 2025</t>
  </si>
  <si>
    <t>מחול אירועים 2025</t>
  </si>
  <si>
    <t>מחול פרויקטים - הורה ירושלים 2025</t>
  </si>
  <si>
    <t>הבית למחול - להקת מחול 2025</t>
  </si>
  <si>
    <t>בקשה שוטפת לשנת 2025</t>
  </si>
  <si>
    <t>קולקטיב דדון-לשעבר להקת המחול סול</t>
  </si>
  <si>
    <t>תרבות מאן דהוא (ע"ר)</t>
  </si>
  <si>
    <t>אירועי מחול 25</t>
  </si>
  <si>
    <t>הרכבים מבצעים ריקוד עם ישראלי במשגב 2025</t>
  </si>
  <si>
    <t>בקשת תמיכה לשנת 2025</t>
  </si>
  <si>
    <t>ריקודי עם-הדרי רחובות-2025</t>
  </si>
  <si>
    <t>בקשת תמיכה בפעילות שוטפת של להקת הפלמנקו</t>
  </si>
  <si>
    <t>להקות מחול- אנסמבל</t>
  </si>
  <si>
    <t>תמיכה במחול 2025</t>
  </si>
  <si>
    <t>קבוצות מחול (פרוייקט)</t>
  </si>
  <si>
    <t>בקשת תמיכה שוטפת לשנת 2025</t>
  </si>
  <si>
    <t>מחול- בין הסדקים 2025</t>
  </si>
  <si>
    <t>תמיכה שוטפת ללהקת מחול ליאור תבורי</t>
  </si>
  <si>
    <t>בקשה לתמיכה לשנת 2025</t>
  </si>
  <si>
    <t>תמיכה בלהקת ריקוד הורה שמש לשנת 2025</t>
  </si>
  <si>
    <t>להקת פרסקו- מחול להקה 2025</t>
  </si>
  <si>
    <t>להקת פרסקו- מרכז מחול 2025</t>
  </si>
  <si>
    <t>ג'אם להקת מחול, בקשת תמיכה 2025</t>
  </si>
  <si>
    <t>מחול שלם- מרכז מחול 2025</t>
  </si>
  <si>
    <t>מחול שלם- קידום מחל 2025</t>
  </si>
  <si>
    <t>פרוייקט מחול בבית מזיא</t>
  </si>
  <si>
    <t>להקת גלגלי רני</t>
  </si>
  <si>
    <t>להקת צבעי מחול-מחול הרכבים 2025</t>
  </si>
  <si>
    <t>ריקוד עם ישראלי-כרמי מחול</t>
  </si>
  <si>
    <t>להקת מחול בת דור- 2025</t>
  </si>
  <si>
    <t>הרקדן החדש- יוצרים עצמאיים 2025</t>
  </si>
  <si>
    <t>הרקדן החדש (ע"ר)</t>
  </si>
  <si>
    <t>הרקדן החדש- פרויקט מחול 2025</t>
  </si>
  <si>
    <t>תמיכה ללהקות המחול בגבעתיים בתחום ריקוד</t>
  </si>
  <si>
    <t>איה אשכול להקת מחול היצוגית של אשכול</t>
  </si>
  <si>
    <t>תמיכה במרכז מחול ענבל</t>
  </si>
  <si>
    <t>מחול ישראלי - קמפוס שיאים</t>
  </si>
  <si>
    <t>איב- ארגון גג 2025</t>
  </si>
  <si>
    <t>צבעי מחול- אירועים 2025</t>
  </si>
  <si>
    <t>צבעי מחול- פרויקטים 2025</t>
  </si>
  <si>
    <t>תמיכה ללהקת גוונם</t>
  </si>
  <si>
    <t>להקת מחול - הורה פרדס-חנה כרכור</t>
  </si>
  <si>
    <t>.</t>
  </si>
  <si>
    <t>תמיכה שנה קודמת</t>
  </si>
  <si>
    <t>בית ספר למחול 2024 - שוהם</t>
  </si>
  <si>
    <t>אושר</t>
  </si>
  <si>
    <t>החברה עירונית לתרבות נוער וחוגי ספו</t>
  </si>
  <si>
    <t>מקדמ</t>
  </si>
  <si>
    <t>בקשת תמיכה ללהקות המחול בגבעתיים</t>
  </si>
  <si>
    <t>תקצוב להקת מחול</t>
  </si>
  <si>
    <t>ריקודי עם - פרויקטים 2024 (17551)</t>
  </si>
  <si>
    <t>פרויקט מחול בבית מזיא</t>
  </si>
  <si>
    <t>צבעי מחול- מרכז מחול 2025</t>
  </si>
  <si>
    <t>צבעי מחול- יוזמה- קידום מחול 2025</t>
  </si>
  <si>
    <t>בקשת תמיכה ללהקת מחול ישראלית</t>
  </si>
  <si>
    <t>שלום 2000 אשדוד (ע"ר)</t>
  </si>
  <si>
    <t>תמיכה להקות מחול תל מונד ריקודי עם 2025</t>
  </si>
  <si>
    <t>חברת מוסדות חנוך ותרבות בתל מונד מי</t>
  </si>
  <si>
    <t>תמיכה בלהקות מחול תל מונד ריקודי עם 2025</t>
  </si>
  <si>
    <t>להקת מחולות - בית פרנקפורט</t>
  </si>
  <si>
    <t>חרשים</t>
  </si>
  <si>
    <t>נתיב העשרה</t>
  </si>
  <si>
    <t>עמותת הרקדן החדש</t>
  </si>
  <si>
    <t>אוליביה קורט מסה</t>
  </si>
  <si>
    <t>בית ניר</t>
  </si>
  <si>
    <t>אורית שאול</t>
  </si>
  <si>
    <t>יניב הופמן</t>
  </si>
  <si>
    <t>ליאור לזרוף</t>
  </si>
  <si>
    <t>מאי זרחי</t>
  </si>
  <si>
    <t>עידו גידרון</t>
  </si>
  <si>
    <t>קלי איאש</t>
  </si>
  <si>
    <t>מעין דנוך</t>
  </si>
  <si>
    <t>תמי ורונן יצחקי</t>
  </si>
  <si>
    <t>שיעור שינוי מול שנה קודמת</t>
  </si>
  <si>
    <t>התמיכה מומלצת בהתאם למבחן התמיכה</t>
  </si>
  <si>
    <t>בקשת התמיכה מומלצת בהתאם למבחן התמיכה</t>
  </si>
  <si>
    <t>התמיכה מומלצת בהתאם למבחן התמיכה, ניתן אישור רצף פעילות לתמיכה באמצעות עמותת הכוריאוגרפים.</t>
  </si>
  <si>
    <t xml:space="preserve"> התמיכה מומלצת בהתאם למבחן התמיכה</t>
  </si>
  <si>
    <t>יוצרת חדשה,התמיכה מומלצת בהתאם למבחן התמיכה.</t>
  </si>
  <si>
    <t>בקשה חדשה, התמיכה מומלצת בהתאם למבחן התמיכה.</t>
  </si>
  <si>
    <t>רמת השרון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</si>
</sst>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164" formatCode="&quot;₪&quot;\ #,##0;[Red]&quot;₪&quot;\ \-#,##0"/>
    <numFmt numFmtId="165" formatCode="_ &quot;₪&quot;\ * #,##0_ ;_ &quot;₪&quot;\ * \-#,##0_ ;_ &quot;₪&quot;\ * &quot;-&quot;_ ;_ @_ "/>
    <numFmt numFmtId="166" formatCode="_ &quot;₪&quot;\ * #,##0.00_ ;_ &quot;₪&quot;\ * \-#,##0.00_ ;_ &quot;₪&quot;\ * &quot;-&quot;??_ ;_ @_ "/>
    <numFmt numFmtId="167" formatCode="_ * #,##0.00_ ;_ * \-#,##0.00_ ;_ * &quot;-&quot;??_ ;_ @_ "/>
    <numFmt numFmtId="168" formatCode="0.0"/>
    <numFmt numFmtId="169" formatCode="&quot;₪&quot;\ #,##0"/>
    <numFmt numFmtId="170" formatCode="0.0%"/>
    <numFmt numFmtId="171" formatCode="&quot;₪&quot;\ &quot;ממוצע - &quot;\ \ #,##0\ "/>
    <numFmt numFmtId="172" formatCode="_ * #,##0_ ;_ * \-#,##0_ ;_ * &quot;-&quot;??_ ;_ @_ "/>
    <numFmt numFmtId="173" formatCode="\ #,##0"/>
    <numFmt numFmtId="174" formatCode="#,##0_ ;\-#,##0\ "/>
    <numFmt numFmtId="175" formatCode="_ &quot;₪&quot;\ * #,##0_ ;_ &quot;₪&quot;\ * \-#,##0_ ;_ &quot;₪&quot;\ * &quot;-&quot;??_ ;_ @_ "/>
    <numFmt numFmtId="176" formatCode="#,##0.0"/>
    <numFmt numFmtId="177" formatCode="#,##0.00_ ;\-#,##0.00\ "/>
    <numFmt numFmtId="178" formatCode="&quot;ממוצע - &quot;0.0%"/>
    <numFmt numFmtId="179" formatCode="_ [$₪-40D]\ * #,##0_ ;_ [$₪-40D]\ * \-#,##0_ ;_ [$₪-40D]\ * &quot;-&quot;_ ;_ @_ "/>
    <numFmt numFmtId="180" formatCode="[$₪-40D]\ #,##0"/>
    <numFmt numFmtId="181" formatCode="_ * #,##0.000_ ;_ * \-#,##0.000_ ;_ * &quot;-&quot;??_ ;_ @_ "/>
  </numFmts>
  <fonts count="104" x14ac:knownFonts="1">
    <font>
      <sz val="10"/>
      <name val="Arial"/>
      <charset val="177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1"/>
      <color theme="1"/>
      <name val="Calibri"/>
      <family val="2"/>
      <charset val="177"/>
      <scheme val="minor"/>
    </font>
    <font>
      <sz val="10"/>
      <name val="Arial"/>
      <family val="2"/>
    </font>
    <font>
      <sz val="10"/>
      <name val="Arial"/>
      <family val="2"/>
    </font>
    <font>
      <b/>
      <sz val="18"/>
      <color indexed="56"/>
      <name val="Times New Roman"/>
      <family val="2"/>
      <charset val="177"/>
    </font>
    <font>
      <b/>
      <sz val="15"/>
      <color indexed="56"/>
      <name val="Arial"/>
      <family val="2"/>
      <charset val="177"/>
    </font>
    <font>
      <b/>
      <sz val="13"/>
      <color indexed="56"/>
      <name val="Arial"/>
      <family val="2"/>
      <charset val="177"/>
    </font>
    <font>
      <b/>
      <sz val="11"/>
      <color indexed="56"/>
      <name val="Arial"/>
      <family val="2"/>
      <charset val="177"/>
    </font>
    <font>
      <sz val="11"/>
      <color indexed="17"/>
      <name val="Arial"/>
      <family val="2"/>
      <charset val="177"/>
    </font>
    <font>
      <sz val="11"/>
      <color indexed="20"/>
      <name val="Arial"/>
      <family val="2"/>
      <charset val="177"/>
    </font>
    <font>
      <sz val="11"/>
      <color indexed="60"/>
      <name val="Arial"/>
      <family val="2"/>
      <charset val="177"/>
    </font>
    <font>
      <sz val="11"/>
      <color indexed="62"/>
      <name val="Arial"/>
      <family val="2"/>
      <charset val="177"/>
    </font>
    <font>
      <b/>
      <sz val="11"/>
      <color indexed="63"/>
      <name val="Arial"/>
      <family val="2"/>
      <charset val="177"/>
    </font>
    <font>
      <b/>
      <sz val="11"/>
      <color indexed="52"/>
      <name val="Arial"/>
      <family val="2"/>
      <charset val="177"/>
    </font>
    <font>
      <sz val="11"/>
      <color indexed="52"/>
      <name val="Arial"/>
      <family val="2"/>
      <charset val="177"/>
    </font>
    <font>
      <b/>
      <sz val="11"/>
      <color indexed="9"/>
      <name val="Arial"/>
      <family val="2"/>
      <charset val="177"/>
    </font>
    <font>
      <sz val="11"/>
      <color indexed="10"/>
      <name val="Arial"/>
      <family val="2"/>
      <charset val="177"/>
    </font>
    <font>
      <i/>
      <sz val="11"/>
      <color indexed="23"/>
      <name val="Arial"/>
      <family val="2"/>
      <charset val="177"/>
    </font>
    <font>
      <b/>
      <sz val="11"/>
      <color indexed="8"/>
      <name val="Arial"/>
      <family val="2"/>
      <charset val="177"/>
    </font>
    <font>
      <sz val="11"/>
      <color indexed="9"/>
      <name val="Arial"/>
      <family val="2"/>
      <charset val="177"/>
    </font>
    <font>
      <sz val="11"/>
      <color indexed="8"/>
      <name val="Arial"/>
      <family val="2"/>
      <charset val="177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David"/>
      <family val="2"/>
    </font>
    <font>
      <b/>
      <sz val="14"/>
      <color theme="1"/>
      <name val="David"/>
      <family val="2"/>
    </font>
    <font>
      <b/>
      <sz val="14"/>
      <name val="David"/>
      <family val="2"/>
    </font>
    <font>
      <b/>
      <sz val="10"/>
      <name val="David"/>
      <family val="2"/>
    </font>
    <font>
      <b/>
      <sz val="14"/>
      <color theme="0"/>
      <name val="David"/>
      <family val="2"/>
    </font>
    <font>
      <b/>
      <sz val="12"/>
      <color theme="1"/>
      <name val="David"/>
      <family val="2"/>
    </font>
    <font>
      <b/>
      <sz val="12"/>
      <name val="David"/>
      <family val="2"/>
    </font>
    <font>
      <b/>
      <sz val="12"/>
      <color indexed="16"/>
      <name val="David"/>
      <family val="2"/>
    </font>
    <font>
      <sz val="12"/>
      <name val="David"/>
      <family val="2"/>
    </font>
    <font>
      <sz val="12"/>
      <color theme="0"/>
      <name val="David"/>
      <family val="2"/>
    </font>
    <font>
      <sz val="12"/>
      <color theme="1"/>
      <name val="David"/>
      <family val="2"/>
    </font>
    <font>
      <b/>
      <sz val="12"/>
      <color theme="0"/>
      <name val="David"/>
      <family val="2"/>
    </font>
    <font>
      <sz val="14"/>
      <name val="David"/>
      <family val="2"/>
    </font>
    <font>
      <b/>
      <sz val="9"/>
      <color indexed="18"/>
      <name val="David"/>
      <family val="2"/>
    </font>
    <font>
      <b/>
      <sz val="11"/>
      <name val="David"/>
      <family val="2"/>
    </font>
    <font>
      <b/>
      <sz val="10"/>
      <color indexed="18"/>
      <name val="David"/>
      <family val="2"/>
    </font>
    <font>
      <b/>
      <sz val="12"/>
      <name val="David"/>
      <family val="2"/>
      <charset val="177"/>
    </font>
    <font>
      <sz val="12"/>
      <name val="David"/>
      <family val="2"/>
      <charset val="177"/>
    </font>
    <font>
      <b/>
      <sz val="11"/>
      <name val="David"/>
      <family val="2"/>
      <charset val="177"/>
    </font>
    <font>
      <b/>
      <sz val="12"/>
      <color indexed="16"/>
      <name val="David"/>
      <family val="2"/>
      <charset val="177"/>
    </font>
    <font>
      <b/>
      <sz val="10"/>
      <color indexed="32"/>
      <name val="Arial"/>
      <family val="2"/>
    </font>
    <font>
      <b/>
      <sz val="10"/>
      <color indexed="18"/>
      <name val="Arial"/>
      <family val="2"/>
    </font>
    <font>
      <sz val="9"/>
      <color theme="1"/>
      <name val="Calibri"/>
      <family val="2"/>
      <charset val="177"/>
      <scheme val="minor"/>
    </font>
    <font>
      <b/>
      <sz val="16"/>
      <name val="David"/>
      <family val="2"/>
    </font>
    <font>
      <b/>
      <u/>
      <sz val="12"/>
      <color theme="1"/>
      <name val="David"/>
      <family val="2"/>
    </font>
    <font>
      <sz val="10"/>
      <name val="Calibri"/>
      <family val="2"/>
      <scheme val="minor"/>
    </font>
    <font>
      <b/>
      <sz val="24"/>
      <color rgb="FFFF0000"/>
      <name val="David"/>
      <family val="2"/>
    </font>
    <font>
      <b/>
      <u/>
      <sz val="12"/>
      <color rgb="FFFF0000"/>
      <name val="David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David"/>
      <family val="2"/>
      <charset val="177"/>
    </font>
    <font>
      <b/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David"/>
      <family val="2"/>
      <charset val="177"/>
    </font>
    <font>
      <b/>
      <sz val="14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Arial"/>
      <family val="2"/>
      <charset val="177"/>
    </font>
    <font>
      <sz val="12"/>
      <color indexed="8"/>
      <name val="David"/>
      <family val="2"/>
      <charset val="177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color rgb="FFFF0000"/>
      <name val="Calibri"/>
      <family val="2"/>
      <charset val="177"/>
      <scheme val="minor"/>
    </font>
    <font>
      <b/>
      <u/>
      <sz val="12"/>
      <color theme="1"/>
      <name val="Calibri"/>
      <family val="2"/>
      <scheme val="minor"/>
    </font>
    <font>
      <b/>
      <sz val="12"/>
      <color rgb="FFFF0000"/>
      <name val="David"/>
      <family val="2"/>
    </font>
    <font>
      <b/>
      <sz val="10"/>
      <name val="Arial"/>
      <family val="2"/>
    </font>
    <font>
      <b/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i/>
      <u/>
      <sz val="16"/>
      <color theme="1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  <charset val="177"/>
    </font>
    <font>
      <b/>
      <sz val="10"/>
      <name val="Calibri"/>
      <family val="2"/>
      <charset val="177"/>
      <scheme val="minor"/>
    </font>
    <font>
      <b/>
      <sz val="14"/>
      <name val="David"/>
      <family val="2"/>
      <charset val="177"/>
    </font>
    <font>
      <b/>
      <sz val="12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theme="0" tint="-0.499984740745262"/>
        <bgColor indexed="64"/>
      </patternFill>
    </fill>
  </fills>
  <borders count="1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</borders>
  <cellStyleXfs count="4644">
    <xf numFmtId="0" fontId="0" fillId="0" borderId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5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9" borderId="0" applyNumberFormat="0" applyBorder="0" applyAlignment="0" applyProtection="0"/>
    <xf numFmtId="0" fontId="23" fillId="3" borderId="0" applyNumberFormat="0" applyBorder="0" applyAlignment="0" applyProtection="0"/>
    <xf numFmtId="0" fontId="27" fillId="20" borderId="1" applyNumberFormat="0" applyAlignment="0" applyProtection="0"/>
    <xf numFmtId="0" fontId="29" fillId="21" borderId="2" applyNumberFormat="0" applyAlignment="0" applyProtection="0"/>
    <xf numFmtId="0" fontId="3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25" fillId="7" borderId="1" applyNumberFormat="0" applyAlignment="0" applyProtection="0"/>
    <xf numFmtId="0" fontId="28" fillId="0" borderId="6" applyNumberFormat="0" applyFill="0" applyAlignment="0" applyProtection="0"/>
    <xf numFmtId="0" fontId="24" fillId="22" borderId="0" applyNumberFormat="0" applyBorder="0" applyAlignment="0" applyProtection="0"/>
    <xf numFmtId="0" fontId="17" fillId="23" borderId="7" applyNumberFormat="0" applyFont="0" applyAlignment="0" applyProtection="0"/>
    <xf numFmtId="0" fontId="26" fillId="20" borderId="8" applyNumberFormat="0" applyAlignment="0" applyProtection="0"/>
    <xf numFmtId="9" fontId="16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15" fillId="0" borderId="0"/>
    <xf numFmtId="0" fontId="14" fillId="0" borderId="0"/>
    <xf numFmtId="0" fontId="13" fillId="0" borderId="0"/>
    <xf numFmtId="0" fontId="16" fillId="0" borderId="0"/>
    <xf numFmtId="0" fontId="16" fillId="0" borderId="0"/>
    <xf numFmtId="9" fontId="16" fillId="0" borderId="0" applyFont="0" applyFill="0" applyBorder="0" applyAlignment="0" applyProtection="0"/>
    <xf numFmtId="0" fontId="12" fillId="0" borderId="0"/>
    <xf numFmtId="0" fontId="16" fillId="0" borderId="0"/>
    <xf numFmtId="167" fontId="12" fillId="0" borderId="0" applyFont="0" applyFill="0" applyBorder="0" applyAlignment="0" applyProtection="0"/>
    <xf numFmtId="0" fontId="12" fillId="0" borderId="0"/>
    <xf numFmtId="9" fontId="12" fillId="0" borderId="0" applyFont="0" applyFill="0" applyBorder="0" applyAlignment="0" applyProtection="0"/>
    <xf numFmtId="0" fontId="13" fillId="0" borderId="0"/>
    <xf numFmtId="0" fontId="12" fillId="0" borderId="0"/>
    <xf numFmtId="0" fontId="16" fillId="0" borderId="0"/>
    <xf numFmtId="0" fontId="35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1" fillId="0" borderId="0"/>
    <xf numFmtId="167" fontId="11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36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9" fillId="0" borderId="0"/>
    <xf numFmtId="0" fontId="8" fillId="0" borderId="0"/>
    <xf numFmtId="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" fillId="0" borderId="0"/>
    <xf numFmtId="0" fontId="9" fillId="0" borderId="0"/>
    <xf numFmtId="0" fontId="9" fillId="0" borderId="0"/>
    <xf numFmtId="0" fontId="9" fillId="0" borderId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9" fillId="0" borderId="0"/>
    <xf numFmtId="0" fontId="6" fillId="0" borderId="0"/>
    <xf numFmtId="0" fontId="5" fillId="0" borderId="0"/>
    <xf numFmtId="0" fontId="65" fillId="0" borderId="0"/>
    <xf numFmtId="0" fontId="16" fillId="0" borderId="0"/>
    <xf numFmtId="0" fontId="9" fillId="0" borderId="0"/>
    <xf numFmtId="180" fontId="34" fillId="2" borderId="0" applyNumberFormat="0" applyBorder="0" applyAlignment="0" applyProtection="0"/>
    <xf numFmtId="180" fontId="34" fillId="3" borderId="0" applyNumberFormat="0" applyBorder="0" applyAlignment="0" applyProtection="0"/>
    <xf numFmtId="180" fontId="34" fillId="4" borderId="0" applyNumberFormat="0" applyBorder="0" applyAlignment="0" applyProtection="0"/>
    <xf numFmtId="180" fontId="34" fillId="5" borderId="0" applyNumberFormat="0" applyBorder="0" applyAlignment="0" applyProtection="0"/>
    <xf numFmtId="180" fontId="34" fillId="6" borderId="0" applyNumberFormat="0" applyBorder="0" applyAlignment="0" applyProtection="0"/>
    <xf numFmtId="180" fontId="34" fillId="7" borderId="0" applyNumberFormat="0" applyBorder="0" applyAlignment="0" applyProtection="0"/>
    <xf numFmtId="180" fontId="34" fillId="8" borderId="0" applyNumberFormat="0" applyBorder="0" applyAlignment="0" applyProtection="0"/>
    <xf numFmtId="180" fontId="34" fillId="9" borderId="0" applyNumberFormat="0" applyBorder="0" applyAlignment="0" applyProtection="0"/>
    <xf numFmtId="180" fontId="34" fillId="10" borderId="0" applyNumberFormat="0" applyBorder="0" applyAlignment="0" applyProtection="0"/>
    <xf numFmtId="180" fontId="34" fillId="5" borderId="0" applyNumberFormat="0" applyBorder="0" applyAlignment="0" applyProtection="0"/>
    <xf numFmtId="180" fontId="34" fillId="8" borderId="0" applyNumberFormat="0" applyBorder="0" applyAlignment="0" applyProtection="0"/>
    <xf numFmtId="180" fontId="34" fillId="11" borderId="0" applyNumberFormat="0" applyBorder="0" applyAlignment="0" applyProtection="0"/>
    <xf numFmtId="180" fontId="33" fillId="12" borderId="0" applyNumberFormat="0" applyBorder="0" applyAlignment="0" applyProtection="0"/>
    <xf numFmtId="180" fontId="33" fillId="9" borderId="0" applyNumberFormat="0" applyBorder="0" applyAlignment="0" applyProtection="0"/>
    <xf numFmtId="180" fontId="33" fillId="10" borderId="0" applyNumberFormat="0" applyBorder="0" applyAlignment="0" applyProtection="0"/>
    <xf numFmtId="180" fontId="33" fillId="13" borderId="0" applyNumberFormat="0" applyBorder="0" applyAlignment="0" applyProtection="0"/>
    <xf numFmtId="180" fontId="33" fillId="14" borderId="0" applyNumberFormat="0" applyBorder="0" applyAlignment="0" applyProtection="0"/>
    <xf numFmtId="180" fontId="33" fillId="15" borderId="0" applyNumberFormat="0" applyBorder="0" applyAlignment="0" applyProtection="0"/>
    <xf numFmtId="180" fontId="33" fillId="16" borderId="0" applyNumberFormat="0" applyBorder="0" applyAlignment="0" applyProtection="0"/>
    <xf numFmtId="180" fontId="33" fillId="17" borderId="0" applyNumberFormat="0" applyBorder="0" applyAlignment="0" applyProtection="0"/>
    <xf numFmtId="180" fontId="33" fillId="18" borderId="0" applyNumberFormat="0" applyBorder="0" applyAlignment="0" applyProtection="0"/>
    <xf numFmtId="180" fontId="33" fillId="13" borderId="0" applyNumberFormat="0" applyBorder="0" applyAlignment="0" applyProtection="0"/>
    <xf numFmtId="180" fontId="33" fillId="14" borderId="0" applyNumberFormat="0" applyBorder="0" applyAlignment="0" applyProtection="0"/>
    <xf numFmtId="180" fontId="33" fillId="19" borderId="0" applyNumberFormat="0" applyBorder="0" applyAlignment="0" applyProtection="0"/>
    <xf numFmtId="180" fontId="23" fillId="3" borderId="0" applyNumberFormat="0" applyBorder="0" applyAlignment="0" applyProtection="0"/>
    <xf numFmtId="0" fontId="27" fillId="20" borderId="1" applyNumberFormat="0" applyAlignment="0" applyProtection="0"/>
    <xf numFmtId="0" fontId="27" fillId="20" borderId="1" applyNumberFormat="0" applyAlignment="0" applyProtection="0"/>
    <xf numFmtId="180" fontId="29" fillId="21" borderId="2" applyNumberFormat="0" applyAlignment="0" applyProtection="0"/>
    <xf numFmtId="167" fontId="45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6" fontId="5" fillId="0" borderId="0" applyFont="0" applyFill="0" applyBorder="0" applyAlignment="0" applyProtection="0"/>
    <xf numFmtId="166" fontId="16" fillId="0" borderId="0" applyFont="0" applyFill="0" applyBorder="0" applyAlignment="0" applyProtection="0"/>
    <xf numFmtId="180" fontId="31" fillId="0" borderId="0" applyNumberFormat="0" applyFill="0" applyBorder="0" applyAlignment="0" applyProtection="0"/>
    <xf numFmtId="180" fontId="22" fillId="4" borderId="0" applyNumberFormat="0" applyBorder="0" applyAlignment="0" applyProtection="0"/>
    <xf numFmtId="180" fontId="19" fillId="0" borderId="3" applyNumberFormat="0" applyFill="0" applyAlignment="0" applyProtection="0"/>
    <xf numFmtId="180" fontId="20" fillId="0" borderId="4" applyNumberFormat="0" applyFill="0" applyAlignment="0" applyProtection="0"/>
    <xf numFmtId="180" fontId="21" fillId="0" borderId="5" applyNumberFormat="0" applyFill="0" applyAlignment="0" applyProtection="0"/>
    <xf numFmtId="180" fontId="21" fillId="0" borderId="0" applyNumberFormat="0" applyFill="0" applyBorder="0" applyAlignment="0" applyProtection="0"/>
    <xf numFmtId="0" fontId="25" fillId="7" borderId="1" applyNumberFormat="0" applyAlignment="0" applyProtection="0"/>
    <xf numFmtId="0" fontId="25" fillId="7" borderId="1" applyNumberFormat="0" applyAlignment="0" applyProtection="0"/>
    <xf numFmtId="180" fontId="28" fillId="0" borderId="6" applyNumberFormat="0" applyFill="0" applyAlignment="0" applyProtection="0"/>
    <xf numFmtId="180" fontId="24" fillId="22" borderId="0" applyNumberFormat="0" applyBorder="0" applyAlignment="0" applyProtection="0"/>
    <xf numFmtId="0" fontId="16" fillId="0" borderId="0"/>
    <xf numFmtId="0" fontId="16" fillId="0" borderId="0"/>
    <xf numFmtId="180" fontId="9" fillId="0" borderId="0"/>
    <xf numFmtId="0" fontId="16" fillId="0" borderId="0"/>
    <xf numFmtId="0" fontId="16" fillId="0" borderId="0"/>
    <xf numFmtId="0" fontId="16" fillId="0" borderId="0"/>
    <xf numFmtId="0" fontId="5" fillId="0" borderId="0"/>
    <xf numFmtId="0" fontId="16" fillId="0" borderId="0"/>
    <xf numFmtId="180" fontId="16" fillId="0" borderId="0"/>
    <xf numFmtId="0" fontId="62" fillId="0" borderId="0"/>
    <xf numFmtId="180" fontId="9" fillId="0" borderId="0"/>
    <xf numFmtId="0" fontId="16" fillId="0" borderId="0"/>
    <xf numFmtId="0" fontId="9" fillId="0" borderId="0"/>
    <xf numFmtId="180" fontId="9" fillId="0" borderId="0"/>
    <xf numFmtId="180" fontId="16" fillId="0" borderId="0"/>
    <xf numFmtId="0" fontId="5" fillId="0" borderId="0"/>
    <xf numFmtId="0" fontId="5" fillId="0" borderId="0"/>
    <xf numFmtId="0" fontId="5" fillId="0" borderId="0"/>
    <xf numFmtId="18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180" fontId="9" fillId="0" borderId="0"/>
    <xf numFmtId="180" fontId="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80" fontId="9" fillId="0" borderId="0"/>
    <xf numFmtId="180" fontId="16" fillId="0" borderId="0"/>
    <xf numFmtId="0" fontId="16" fillId="0" borderId="0"/>
    <xf numFmtId="180" fontId="16" fillId="0" borderId="0"/>
    <xf numFmtId="180" fontId="9" fillId="0" borderId="0"/>
    <xf numFmtId="180" fontId="16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0" fontId="5" fillId="0" borderId="0"/>
    <xf numFmtId="0" fontId="5" fillId="0" borderId="0"/>
    <xf numFmtId="0" fontId="5" fillId="0" borderId="0"/>
    <xf numFmtId="180" fontId="1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6" fillId="23" borderId="7" applyNumberFormat="0" applyFont="0" applyAlignment="0" applyProtection="0"/>
    <xf numFmtId="0" fontId="16" fillId="23" borderId="7" applyNumberFormat="0" applyFont="0" applyAlignment="0" applyProtection="0"/>
    <xf numFmtId="0" fontId="26" fillId="20" borderId="8" applyNumberFormat="0" applyAlignment="0" applyProtection="0"/>
    <xf numFmtId="0" fontId="26" fillId="20" borderId="8" applyNumberFormat="0" applyAlignment="0" applyProtection="0"/>
    <xf numFmtId="9" fontId="16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80" fontId="18" fillId="0" borderId="0" applyNumberFormat="0" applyFill="0" applyBorder="0" applyAlignment="0" applyProtection="0"/>
    <xf numFmtId="0" fontId="32" fillId="0" borderId="9" applyNumberFormat="0" applyFill="0" applyAlignment="0" applyProtection="0"/>
    <xf numFmtId="0" fontId="32" fillId="0" borderId="9" applyNumberFormat="0" applyFill="0" applyAlignment="0" applyProtection="0"/>
    <xf numFmtId="180" fontId="30" fillId="0" borderId="0" applyNumberFormat="0" applyFill="0" applyBorder="0" applyAlignment="0" applyProtection="0"/>
    <xf numFmtId="180" fontId="16" fillId="0" borderId="0"/>
    <xf numFmtId="180" fontId="9" fillId="0" borderId="0"/>
    <xf numFmtId="0" fontId="9" fillId="0" borderId="0"/>
    <xf numFmtId="0" fontId="9" fillId="0" borderId="0"/>
    <xf numFmtId="167" fontId="9" fillId="0" borderId="0" applyFont="0" applyFill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5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33" fillId="12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18" borderId="0" applyNumberFormat="0" applyBorder="0" applyAlignment="0" applyProtection="0"/>
    <xf numFmtId="0" fontId="33" fillId="13" borderId="0" applyNumberFormat="0" applyBorder="0" applyAlignment="0" applyProtection="0"/>
    <xf numFmtId="0" fontId="33" fillId="14" borderId="0" applyNumberFormat="0" applyBorder="0" applyAlignment="0" applyProtection="0"/>
    <xf numFmtId="0" fontId="33" fillId="19" borderId="0" applyNumberFormat="0" applyBorder="0" applyAlignment="0" applyProtection="0"/>
    <xf numFmtId="0" fontId="23" fillId="3" borderId="0" applyNumberFormat="0" applyBorder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180" fontId="27" fillId="20" borderId="108" applyNumberFormat="0" applyAlignment="0" applyProtection="0"/>
    <xf numFmtId="0" fontId="29" fillId="21" borderId="2" applyNumberFormat="0" applyAlignment="0" applyProtection="0"/>
    <xf numFmtId="0" fontId="3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180" fontId="25" fillId="7" borderId="108" applyNumberFormat="0" applyAlignment="0" applyProtection="0"/>
    <xf numFmtId="0" fontId="28" fillId="0" borderId="6" applyNumberFormat="0" applyFill="0" applyAlignment="0" applyProtection="0"/>
    <xf numFmtId="0" fontId="24" fillId="22" borderId="0" applyNumberFormat="0" applyBorder="0" applyAlignment="0" applyProtection="0"/>
    <xf numFmtId="0" fontId="16" fillId="0" borderId="0"/>
    <xf numFmtId="180" fontId="16" fillId="0" borderId="0"/>
    <xf numFmtId="0" fontId="16" fillId="0" borderId="0"/>
    <xf numFmtId="180" fontId="16" fillId="0" borderId="0"/>
    <xf numFmtId="180" fontId="81" fillId="0" borderId="0"/>
    <xf numFmtId="0" fontId="9" fillId="0" borderId="0"/>
    <xf numFmtId="0" fontId="16" fillId="0" borderId="0"/>
    <xf numFmtId="180" fontId="9" fillId="0" borderId="0"/>
    <xf numFmtId="180" fontId="16" fillId="0" borderId="0"/>
    <xf numFmtId="0" fontId="16" fillId="0" borderId="0"/>
    <xf numFmtId="180" fontId="16" fillId="0" borderId="0"/>
    <xf numFmtId="0" fontId="16" fillId="0" borderId="0"/>
    <xf numFmtId="180" fontId="16" fillId="0" borderId="0"/>
    <xf numFmtId="0" fontId="5" fillId="0" borderId="0"/>
    <xf numFmtId="180" fontId="5" fillId="0" borderId="0"/>
    <xf numFmtId="0" fontId="16" fillId="0" borderId="0"/>
    <xf numFmtId="180" fontId="16" fillId="0" borderId="0"/>
    <xf numFmtId="0" fontId="9" fillId="0" borderId="0"/>
    <xf numFmtId="180" fontId="9" fillId="0" borderId="0"/>
    <xf numFmtId="0" fontId="9" fillId="0" borderId="0"/>
    <xf numFmtId="180" fontId="9" fillId="0" borderId="0"/>
    <xf numFmtId="0" fontId="16" fillId="0" borderId="0"/>
    <xf numFmtId="180" fontId="81" fillId="0" borderId="0"/>
    <xf numFmtId="0" fontId="9" fillId="0" borderId="0"/>
    <xf numFmtId="0" fontId="16" fillId="0" borderId="0"/>
    <xf numFmtId="0" fontId="62" fillId="0" borderId="0"/>
    <xf numFmtId="180" fontId="62" fillId="0" borderId="0"/>
    <xf numFmtId="180" fontId="81" fillId="0" borderId="0"/>
    <xf numFmtId="180" fontId="9" fillId="0" borderId="0"/>
    <xf numFmtId="180" fontId="9" fillId="0" borderId="0"/>
    <xf numFmtId="180" fontId="9" fillId="0" borderId="0"/>
    <xf numFmtId="18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6" fillId="0" borderId="0"/>
    <xf numFmtId="180" fontId="16" fillId="0" borderId="0"/>
    <xf numFmtId="0" fontId="16" fillId="0" borderId="0"/>
    <xf numFmtId="180" fontId="16" fillId="0" borderId="0"/>
    <xf numFmtId="0" fontId="9" fillId="0" borderId="0"/>
    <xf numFmtId="180" fontId="82" fillId="0" borderId="0"/>
    <xf numFmtId="0" fontId="16" fillId="0" borderId="0"/>
    <xf numFmtId="180" fontId="16" fillId="0" borderId="0"/>
    <xf numFmtId="180" fontId="16" fillId="0" borderId="0"/>
    <xf numFmtId="0" fontId="16" fillId="0" borderId="0"/>
    <xf numFmtId="0" fontId="9" fillId="0" borderId="0"/>
    <xf numFmtId="0" fontId="16" fillId="0" borderId="0"/>
    <xf numFmtId="180" fontId="82" fillId="0" borderId="0"/>
    <xf numFmtId="0" fontId="9" fillId="0" borderId="0"/>
    <xf numFmtId="180" fontId="82" fillId="0" borderId="0"/>
    <xf numFmtId="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81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16" fillId="0" borderId="0"/>
    <xf numFmtId="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180" fontId="81" fillId="0" borderId="0"/>
    <xf numFmtId="180" fontId="9" fillId="0" borderId="0"/>
    <xf numFmtId="0" fontId="9" fillId="0" borderId="0"/>
    <xf numFmtId="180" fontId="9" fillId="0" borderId="0"/>
    <xf numFmtId="0" fontId="9" fillId="0" borderId="0"/>
    <xf numFmtId="180" fontId="9" fillId="0" borderId="0"/>
    <xf numFmtId="0" fontId="9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9" fillId="0" borderId="0"/>
    <xf numFmtId="180" fontId="82" fillId="0" borderId="0"/>
    <xf numFmtId="0" fontId="9" fillId="0" borderId="0"/>
    <xf numFmtId="180" fontId="82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180" fontId="5" fillId="0" borderId="0"/>
    <xf numFmtId="0" fontId="5" fillId="0" borderId="0"/>
    <xf numFmtId="180" fontId="82" fillId="0" borderId="0"/>
    <xf numFmtId="0" fontId="9" fillId="0" borderId="0"/>
    <xf numFmtId="180" fontId="9" fillId="0" borderId="0"/>
    <xf numFmtId="180" fontId="9" fillId="0" borderId="0"/>
    <xf numFmtId="180" fontId="82" fillId="0" borderId="0"/>
    <xf numFmtId="0" fontId="5" fillId="0" borderId="0"/>
    <xf numFmtId="180" fontId="5" fillId="0" borderId="0"/>
    <xf numFmtId="180" fontId="5" fillId="0" borderId="0"/>
    <xf numFmtId="180" fontId="5" fillId="0" borderId="0"/>
    <xf numFmtId="180" fontId="5" fillId="0" borderId="0"/>
    <xf numFmtId="0" fontId="5" fillId="0" borderId="0"/>
    <xf numFmtId="0" fontId="16" fillId="0" borderId="0"/>
    <xf numFmtId="0" fontId="16" fillId="0" borderId="0"/>
    <xf numFmtId="180" fontId="16" fillId="0" borderId="0"/>
    <xf numFmtId="0" fontId="9" fillId="0" borderId="0"/>
    <xf numFmtId="180" fontId="82" fillId="0" borderId="0"/>
    <xf numFmtId="0" fontId="16" fillId="0" borderId="0"/>
    <xf numFmtId="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0" fontId="16" fillId="0" borderId="0"/>
    <xf numFmtId="180" fontId="81" fillId="0" borderId="0"/>
    <xf numFmtId="0" fontId="16" fillId="0" borderId="0"/>
    <xf numFmtId="180" fontId="81" fillId="0" borderId="0"/>
    <xf numFmtId="0" fontId="9" fillId="0" borderId="0"/>
    <xf numFmtId="180" fontId="82" fillId="0" borderId="0"/>
    <xf numFmtId="0" fontId="16" fillId="0" borderId="0"/>
    <xf numFmtId="0" fontId="16" fillId="0" borderId="0"/>
    <xf numFmtId="180" fontId="16" fillId="0" borderId="0"/>
    <xf numFmtId="180" fontId="16" fillId="0" borderId="0"/>
    <xf numFmtId="180" fontId="16" fillId="0" borderId="0"/>
    <xf numFmtId="180" fontId="16" fillId="0" borderId="0"/>
    <xf numFmtId="0" fontId="16" fillId="0" borderId="0"/>
    <xf numFmtId="180" fontId="81" fillId="0" borderId="0"/>
    <xf numFmtId="0" fontId="9" fillId="0" borderId="0"/>
    <xf numFmtId="180" fontId="82" fillId="0" borderId="0"/>
    <xf numFmtId="0" fontId="9" fillId="0" borderId="0"/>
    <xf numFmtId="180" fontId="82" fillId="0" borderId="0"/>
    <xf numFmtId="0" fontId="9" fillId="0" borderId="0"/>
    <xf numFmtId="180" fontId="82" fillId="0" borderId="0"/>
    <xf numFmtId="0" fontId="9" fillId="0" borderId="0"/>
    <xf numFmtId="180" fontId="82" fillId="0" borderId="0"/>
    <xf numFmtId="0" fontId="9" fillId="0" borderId="0"/>
    <xf numFmtId="180" fontId="82" fillId="0" borderId="0"/>
    <xf numFmtId="0" fontId="9" fillId="0" borderId="0"/>
    <xf numFmtId="180" fontId="82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34" fillId="0" borderId="0"/>
    <xf numFmtId="0" fontId="16" fillId="0" borderId="0"/>
    <xf numFmtId="180" fontId="81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180" fontId="16" fillId="0" borderId="0"/>
    <xf numFmtId="0" fontId="16" fillId="0" borderId="0"/>
    <xf numFmtId="0" fontId="5" fillId="0" borderId="0"/>
    <xf numFmtId="180" fontId="5" fillId="0" borderId="0"/>
    <xf numFmtId="180" fontId="34" fillId="0" borderId="0"/>
    <xf numFmtId="180" fontId="5" fillId="0" borderId="0"/>
    <xf numFmtId="0" fontId="5" fillId="0" borderId="0"/>
    <xf numFmtId="180" fontId="16" fillId="0" borderId="0"/>
    <xf numFmtId="0" fontId="16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0" fontId="5" fillId="0" borderId="0"/>
    <xf numFmtId="180" fontId="5" fillId="0" borderId="0"/>
    <xf numFmtId="0" fontId="5" fillId="0" borderId="0"/>
    <xf numFmtId="180" fontId="5" fillId="0" borderId="0"/>
    <xf numFmtId="180" fontId="34" fillId="0" borderId="0"/>
    <xf numFmtId="180" fontId="3" fillId="0" borderId="0"/>
    <xf numFmtId="180" fontId="3" fillId="0" borderId="0"/>
    <xf numFmtId="180" fontId="3" fillId="0" borderId="0"/>
    <xf numFmtId="0" fontId="3" fillId="0" borderId="0"/>
    <xf numFmtId="180" fontId="3" fillId="0" borderId="0"/>
    <xf numFmtId="180" fontId="3" fillId="0" borderId="0"/>
    <xf numFmtId="0" fontId="3" fillId="0" borderId="0"/>
    <xf numFmtId="0" fontId="3" fillId="0" borderId="0"/>
    <xf numFmtId="18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4" fillId="0" borderId="0"/>
    <xf numFmtId="0" fontId="3" fillId="0" borderId="0"/>
    <xf numFmtId="18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4" fillId="0" borderId="0"/>
    <xf numFmtId="18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4" fillId="0" borderId="0"/>
    <xf numFmtId="0" fontId="3" fillId="0" borderId="0"/>
    <xf numFmtId="18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4" fillId="0" borderId="0"/>
    <xf numFmtId="0" fontId="3" fillId="0" borderId="0"/>
    <xf numFmtId="18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4" fillId="0" borderId="0"/>
    <xf numFmtId="18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" fillId="0" borderId="0"/>
    <xf numFmtId="180" fontId="34" fillId="0" borderId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81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81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16" fillId="23" borderId="109" applyNumberFormat="0" applyFont="0" applyAlignment="0" applyProtection="0"/>
    <xf numFmtId="180" fontId="81" fillId="23" borderId="109" applyNumberFormat="0" applyFon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0" fontId="26" fillId="20" borderId="110" applyNumberFormat="0" applyAlignment="0" applyProtection="0"/>
    <xf numFmtId="180" fontId="26" fillId="20" borderId="110" applyNumberFormat="0" applyAlignment="0" applyProtection="0"/>
    <xf numFmtId="180" fontId="26" fillId="20" borderId="110" applyNumberFormat="0" applyAlignment="0" applyProtection="0"/>
    <xf numFmtId="9" fontId="1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18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32" fillId="0" borderId="111" applyNumberFormat="0" applyFill="0" applyAlignment="0" applyProtection="0"/>
    <xf numFmtId="18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80" fontId="9" fillId="0" borderId="0"/>
    <xf numFmtId="180" fontId="2" fillId="0" borderId="0"/>
    <xf numFmtId="180" fontId="9" fillId="0" borderId="0"/>
    <xf numFmtId="180" fontId="9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16" fillId="0" borderId="0"/>
    <xf numFmtId="180" fontId="9" fillId="0" borderId="0"/>
    <xf numFmtId="180" fontId="2" fillId="0" borderId="0"/>
    <xf numFmtId="180" fontId="2" fillId="0" borderId="0"/>
    <xf numFmtId="180" fontId="2" fillId="0" borderId="0"/>
    <xf numFmtId="180" fontId="27" fillId="20" borderId="113" applyNumberFormat="0" applyAlignment="0" applyProtection="0"/>
    <xf numFmtId="180" fontId="27" fillId="20" borderId="113" applyNumberFormat="0" applyAlignment="0" applyProtection="0"/>
    <xf numFmtId="180" fontId="25" fillId="7" borderId="113" applyNumberFormat="0" applyAlignment="0" applyProtection="0"/>
    <xf numFmtId="180" fontId="25" fillId="7" borderId="113" applyNumberFormat="0" applyAlignment="0" applyProtection="0"/>
    <xf numFmtId="180" fontId="2" fillId="0" borderId="0"/>
    <xf numFmtId="180" fontId="2" fillId="0" borderId="0"/>
    <xf numFmtId="180" fontId="2" fillId="0" borderId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" fillId="0" borderId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2" fillId="0" borderId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2" fillId="0" borderId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" fillId="0" borderId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" fillId="0" borderId="0"/>
    <xf numFmtId="180" fontId="2" fillId="0" borderId="0"/>
    <xf numFmtId="180" fontId="2" fillId="0" borderId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" fillId="0" borderId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2" fillId="0" borderId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2" fillId="0" borderId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180" fontId="2" fillId="0" borderId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2" fillId="0" borderId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" fillId="0" borderId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" fillId="0" borderId="0"/>
    <xf numFmtId="0" fontId="27" fillId="20" borderId="114" applyNumberFormat="0" applyAlignment="0" applyProtection="0"/>
    <xf numFmtId="180" fontId="2" fillId="0" borderId="0"/>
    <xf numFmtId="0" fontId="25" fillId="7" borderId="114" applyNumberFormat="0" applyAlignment="0" applyProtection="0"/>
    <xf numFmtId="0" fontId="25" fillId="7" borderId="114" applyNumberFormat="0" applyAlignment="0" applyProtection="0"/>
    <xf numFmtId="180" fontId="2" fillId="0" borderId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2" fillId="0" borderId="0"/>
    <xf numFmtId="180" fontId="2" fillId="0" borderId="0"/>
    <xf numFmtId="180" fontId="2" fillId="0" borderId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" fillId="0" borderId="0"/>
    <xf numFmtId="180" fontId="2" fillId="0" borderId="0"/>
    <xf numFmtId="180" fontId="2" fillId="0" borderId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7" fillId="20" borderId="114" applyNumberFormat="0" applyAlignment="0" applyProtection="0"/>
    <xf numFmtId="180" fontId="27" fillId="20" borderId="114" applyNumberFormat="0" applyAlignment="0" applyProtection="0"/>
    <xf numFmtId="0" fontId="2" fillId="0" borderId="0"/>
    <xf numFmtId="0" fontId="16" fillId="23" borderId="115" applyNumberFormat="0" applyFont="0" applyAlignment="0" applyProtection="0"/>
    <xf numFmtId="0" fontId="32" fillId="0" borderId="117" applyNumberFormat="0" applyFill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180" fontId="25" fillId="7" borderId="114" applyNumberFormat="0" applyAlignment="0" applyProtection="0"/>
    <xf numFmtId="0" fontId="2" fillId="0" borderId="0"/>
    <xf numFmtId="0" fontId="16" fillId="23" borderId="115" applyNumberFormat="0" applyFon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2" fillId="0" borderId="0"/>
    <xf numFmtId="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2" fillId="0" borderId="0"/>
    <xf numFmtId="0" fontId="2" fillId="0" borderId="0"/>
    <xf numFmtId="0" fontId="26" fillId="20" borderId="116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2" fillId="0" borderId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18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180" fontId="2" fillId="0" borderId="0"/>
    <xf numFmtId="0" fontId="2" fillId="0" borderId="0"/>
    <xf numFmtId="0" fontId="2" fillId="0" borderId="0"/>
    <xf numFmtId="180" fontId="2" fillId="0" borderId="0"/>
    <xf numFmtId="0" fontId="2" fillId="0" borderId="0"/>
    <xf numFmtId="0" fontId="2" fillId="0" borderId="0"/>
    <xf numFmtId="180" fontId="2" fillId="0" borderId="0"/>
    <xf numFmtId="180" fontId="2" fillId="0" borderId="0"/>
    <xf numFmtId="0" fontId="2" fillId="0" borderId="0"/>
    <xf numFmtId="0" fontId="2" fillId="0" borderId="0"/>
    <xf numFmtId="180" fontId="2" fillId="0" borderId="0"/>
    <xf numFmtId="0" fontId="2" fillId="0" borderId="0"/>
    <xf numFmtId="0" fontId="2" fillId="0" borderId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" fillId="0" borderId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180" fontId="27" fillId="20" borderId="114" applyNumberFormat="0" applyAlignment="0" applyProtection="0"/>
    <xf numFmtId="180" fontId="32" fillId="0" borderId="117" applyNumberFormat="0" applyFill="0" applyAlignment="0" applyProtection="0"/>
    <xf numFmtId="0" fontId="26" fillId="20" borderId="116" applyNumberFormat="0" applyAlignment="0" applyProtection="0"/>
    <xf numFmtId="0" fontId="16" fillId="23" borderId="115" applyNumberFormat="0" applyFont="0" applyAlignment="0" applyProtection="0"/>
    <xf numFmtId="180" fontId="27" fillId="20" borderId="114" applyNumberForma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6" fillId="20" borderId="116" applyNumberFormat="0" applyAlignment="0" applyProtection="0"/>
    <xf numFmtId="0" fontId="25" fillId="7" borderId="114" applyNumberFormat="0" applyAlignment="0" applyProtection="0"/>
    <xf numFmtId="180" fontId="26" fillId="20" borderId="116" applyNumberFormat="0" applyAlignment="0" applyProtection="0"/>
    <xf numFmtId="180" fontId="2" fillId="0" borderId="0"/>
    <xf numFmtId="0" fontId="26" fillId="20" borderId="116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" fillId="0" borderId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" fillId="0" borderId="0"/>
    <xf numFmtId="0" fontId="32" fillId="0" borderId="117" applyNumberFormat="0" applyFill="0" applyAlignment="0" applyProtection="0"/>
    <xf numFmtId="180" fontId="2" fillId="0" borderId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" fillId="0" borderId="0"/>
    <xf numFmtId="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27" fillId="20" borderId="114" applyNumberFormat="0" applyAlignment="0" applyProtection="0"/>
    <xf numFmtId="180" fontId="16" fillId="23" borderId="115" applyNumberFormat="0" applyFont="0" applyAlignment="0" applyProtection="0"/>
    <xf numFmtId="180" fontId="27" fillId="20" borderId="114" applyNumberFormat="0" applyAlignment="0" applyProtection="0"/>
    <xf numFmtId="0" fontId="27" fillId="20" borderId="114" applyNumberFormat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" fillId="0" borderId="0"/>
    <xf numFmtId="180" fontId="2" fillId="0" borderId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2" fillId="0" borderId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" fillId="0" borderId="0"/>
    <xf numFmtId="180" fontId="2" fillId="0" borderId="0"/>
    <xf numFmtId="180" fontId="2" fillId="0" borderId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5" fillId="7" borderId="114" applyNumberForma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18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18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16" fillId="23" borderId="115" applyNumberFormat="0" applyFont="0" applyAlignment="0" applyProtection="0"/>
    <xf numFmtId="180" fontId="2" fillId="0" borderId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18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" fillId="0" borderId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" fillId="0" borderId="0"/>
    <xf numFmtId="180" fontId="26" fillId="20" borderId="116" applyNumberFormat="0" applyAlignment="0" applyProtection="0"/>
    <xf numFmtId="180" fontId="2" fillId="0" borderId="0"/>
    <xf numFmtId="180" fontId="27" fillId="20" borderId="114" applyNumberFormat="0" applyAlignment="0" applyProtection="0"/>
    <xf numFmtId="0" fontId="27" fillId="20" borderId="114" applyNumberForma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6" fillId="20" borderId="116" applyNumberFormat="0" applyAlignment="0" applyProtection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16" fillId="23" borderId="115" applyNumberFormat="0" applyFont="0" applyAlignment="0" applyProtection="0"/>
    <xf numFmtId="180" fontId="2" fillId="0" borderId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" fillId="0" borderId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" fillId="0" borderId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" fillId="0" borderId="0"/>
    <xf numFmtId="180" fontId="2" fillId="0" borderId="0"/>
    <xf numFmtId="180" fontId="26" fillId="20" borderId="116" applyNumberFormat="0" applyAlignment="0" applyProtection="0"/>
    <xf numFmtId="180" fontId="2" fillId="0" borderId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" fillId="0" borderId="0"/>
    <xf numFmtId="180" fontId="2" fillId="0" borderId="0"/>
    <xf numFmtId="180" fontId="2" fillId="0" borderId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" fillId="0" borderId="0"/>
    <xf numFmtId="180" fontId="2" fillId="0" borderId="0"/>
    <xf numFmtId="180" fontId="2" fillId="0" borderId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6" fillId="20" borderId="116" applyNumberFormat="0" applyAlignment="0" applyProtection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6" fillId="20" borderId="116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16" fillId="23" borderId="115" applyNumberFormat="0" applyFon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180" fontId="25" fillId="7" borderId="114" applyNumberForma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5" fillId="7" borderId="114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16" fillId="23" borderId="115" applyNumberFormat="0" applyFon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6" fillId="20" borderId="116" applyNumberFormat="0" applyAlignment="0" applyProtection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32" fillId="0" borderId="117" applyNumberFormat="0" applyFill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5" fillId="7" borderId="114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16" fillId="23" borderId="115" applyNumberFormat="0" applyFon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6" fillId="20" borderId="116" applyNumberFormat="0" applyAlignment="0" applyProtection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6" fillId="20" borderId="116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5" fillId="7" borderId="114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16" fillId="23" borderId="115" applyNumberFormat="0" applyFon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6" fillId="20" borderId="116" applyNumberFormat="0" applyAlignment="0" applyProtection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6" fillId="20" borderId="116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0" fontId="27" fillId="20" borderId="114" applyNumberFormat="0" applyAlignment="0" applyProtection="0"/>
    <xf numFmtId="180" fontId="27" fillId="20" borderId="114" applyNumberFormat="0" applyAlignment="0" applyProtection="0"/>
    <xf numFmtId="0" fontId="26" fillId="20" borderId="116" applyNumberFormat="0" applyAlignment="0" applyProtection="0"/>
    <xf numFmtId="0" fontId="16" fillId="23" borderId="115" applyNumberFormat="0" applyFont="0" applyAlignment="0" applyProtection="0"/>
    <xf numFmtId="180" fontId="27" fillId="20" borderId="114" applyNumberForma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6" fillId="20" borderId="116" applyNumberFormat="0" applyAlignment="0" applyProtection="0"/>
    <xf numFmtId="0" fontId="25" fillId="7" borderId="114" applyNumberFormat="0" applyAlignment="0" applyProtection="0"/>
    <xf numFmtId="18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27" fillId="20" borderId="114" applyNumberFormat="0" applyAlignment="0" applyProtection="0"/>
    <xf numFmtId="180" fontId="16" fillId="23" borderId="115" applyNumberFormat="0" applyFont="0" applyAlignment="0" applyProtection="0"/>
    <xf numFmtId="180" fontId="27" fillId="20" borderId="114" applyNumberFormat="0" applyAlignment="0" applyProtection="0"/>
    <xf numFmtId="0" fontId="27" fillId="20" borderId="114" applyNumberFormat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18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25" fillId="7" borderId="114" applyNumberForma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0" fontId="16" fillId="23" borderId="115" applyNumberFormat="0" applyFon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25" fillId="7" borderId="114" applyNumberForma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16" fillId="23" borderId="115" applyNumberFormat="0" applyFon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180" fontId="25" fillId="7" borderId="114" applyNumberForma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5" fillId="7" borderId="114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16" fillId="23" borderId="115" applyNumberFormat="0" applyFon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6" fillId="20" borderId="116" applyNumberFormat="0" applyAlignment="0" applyProtection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32" fillId="0" borderId="117" applyNumberFormat="0" applyFill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5" fillId="7" borderId="114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16" fillId="23" borderId="115" applyNumberFormat="0" applyFon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6" fillId="20" borderId="116" applyNumberFormat="0" applyAlignment="0" applyProtection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6" fillId="20" borderId="116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5" fillId="7" borderId="114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16" fillId="23" borderId="115" applyNumberFormat="0" applyFont="0" applyAlignment="0" applyProtection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6" fillId="20" borderId="116" applyNumberFormat="0" applyAlignment="0" applyProtection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26" fillId="20" borderId="116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" fillId="0" borderId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" fillId="0" borderId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" fillId="0" borderId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" fillId="0" borderId="0"/>
    <xf numFmtId="180" fontId="2" fillId="0" borderId="0"/>
    <xf numFmtId="180" fontId="2" fillId="0" borderId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2" fillId="0" borderId="0"/>
    <xf numFmtId="180" fontId="2" fillId="0" borderId="0"/>
    <xf numFmtId="180" fontId="2" fillId="0" borderId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" fillId="0" borderId="0"/>
    <xf numFmtId="180" fontId="2" fillId="0" borderId="0"/>
    <xf numFmtId="180" fontId="2" fillId="0" borderId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0" fontId="16" fillId="23" borderId="115" applyNumberFormat="0" applyFont="0" applyAlignment="0" applyProtection="0"/>
    <xf numFmtId="180" fontId="16" fillId="23" borderId="115" applyNumberFormat="0" applyFon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" fillId="0" borderId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180" fontId="27" fillId="20" borderId="114" applyNumberFormat="0" applyAlignment="0" applyProtection="0"/>
    <xf numFmtId="0" fontId="2" fillId="0" borderId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2" fillId="0" borderId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16" fillId="23" borderId="115" applyNumberFormat="0" applyFont="0" applyAlignment="0" applyProtection="0"/>
    <xf numFmtId="180" fontId="2" fillId="0" borderId="0"/>
    <xf numFmtId="180" fontId="27" fillId="20" borderId="114" applyNumberFormat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32" fillId="0" borderId="117" applyNumberFormat="0" applyFill="0" applyAlignment="0" applyProtection="0"/>
    <xf numFmtId="180" fontId="25" fillId="7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" fillId="0" borderId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" fillId="0" borderId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2" fillId="0" borderId="0"/>
    <xf numFmtId="180" fontId="2" fillId="0" borderId="0"/>
    <xf numFmtId="180" fontId="26" fillId="20" borderId="116" applyNumberFormat="0" applyAlignment="0" applyProtection="0"/>
    <xf numFmtId="180" fontId="2" fillId="0" borderId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6" fillId="20" borderId="116" applyNumberFormat="0" applyAlignment="0" applyProtection="0"/>
    <xf numFmtId="0" fontId="27" fillId="20" borderId="114" applyNumberFormat="0" applyAlignment="0" applyProtection="0"/>
    <xf numFmtId="180" fontId="25" fillId="7" borderId="114" applyNumberFormat="0" applyAlignment="0" applyProtection="0"/>
    <xf numFmtId="180" fontId="26" fillId="20" borderId="116" applyNumberFormat="0" applyAlignment="0" applyProtection="0"/>
    <xf numFmtId="180" fontId="2" fillId="0" borderId="0"/>
    <xf numFmtId="180" fontId="2" fillId="0" borderId="0"/>
    <xf numFmtId="180" fontId="2" fillId="0" borderId="0"/>
    <xf numFmtId="180" fontId="27" fillId="20" borderId="114" applyNumberFormat="0" applyAlignment="0" applyProtection="0"/>
    <xf numFmtId="180" fontId="27" fillId="20" borderId="114" applyNumberFormat="0" applyAlignment="0" applyProtection="0"/>
    <xf numFmtId="180" fontId="25" fillId="7" borderId="114" applyNumberFormat="0" applyAlignment="0" applyProtection="0"/>
    <xf numFmtId="180" fontId="25" fillId="7" borderId="114" applyNumberFormat="0" applyAlignment="0" applyProtection="0"/>
    <xf numFmtId="180" fontId="2" fillId="0" borderId="0"/>
    <xf numFmtId="180" fontId="2" fillId="0" borderId="0"/>
    <xf numFmtId="180" fontId="2" fillId="0" borderId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7" fillId="20" borderId="114" applyNumberFormat="0" applyAlignment="0" applyProtection="0"/>
    <xf numFmtId="180" fontId="16" fillId="23" borderId="115" applyNumberFormat="0" applyFont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180" fontId="25" fillId="7" borderId="114" applyNumberFormat="0" applyAlignment="0" applyProtection="0"/>
    <xf numFmtId="0" fontId="26" fillId="20" borderId="116" applyNumberFormat="0" applyAlignment="0" applyProtection="0"/>
    <xf numFmtId="0" fontId="25" fillId="7" borderId="114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16" fillId="23" borderId="115" applyNumberFormat="0" applyFont="0" applyAlignment="0" applyProtection="0"/>
    <xf numFmtId="0" fontId="25" fillId="7" borderId="114" applyNumberForma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16" fillId="23" borderId="115" applyNumberFormat="0" applyFont="0" applyAlignment="0" applyProtection="0"/>
    <xf numFmtId="180" fontId="26" fillId="20" borderId="116" applyNumberFormat="0" applyAlignment="0" applyProtection="0"/>
    <xf numFmtId="180" fontId="32" fillId="0" borderId="117" applyNumberFormat="0" applyFill="0" applyAlignment="0" applyProtection="0"/>
    <xf numFmtId="180" fontId="32" fillId="0" borderId="117" applyNumberFormat="0" applyFill="0" applyAlignment="0" applyProtection="0"/>
    <xf numFmtId="180" fontId="26" fillId="20" borderId="116" applyNumberFormat="0" applyAlignment="0" applyProtection="0"/>
    <xf numFmtId="0" fontId="32" fillId="0" borderId="117" applyNumberFormat="0" applyFill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7" fillId="20" borderId="114" applyNumberFormat="0" applyAlignment="0" applyProtection="0"/>
    <xf numFmtId="0" fontId="25" fillId="7" borderId="114" applyNumberFormat="0" applyAlignment="0" applyProtection="0"/>
    <xf numFmtId="0" fontId="25" fillId="7" borderId="114" applyNumberFormat="0" applyAlignment="0" applyProtection="0"/>
    <xf numFmtId="0" fontId="16" fillId="23" borderId="115" applyNumberFormat="0" applyFont="0" applyAlignment="0" applyProtection="0"/>
    <xf numFmtId="0" fontId="16" fillId="23" borderId="115" applyNumberFormat="0" applyFont="0" applyAlignment="0" applyProtection="0"/>
    <xf numFmtId="0" fontId="26" fillId="20" borderId="116" applyNumberFormat="0" applyAlignment="0" applyProtection="0"/>
    <xf numFmtId="0" fontId="26" fillId="20" borderId="116" applyNumberFormat="0" applyAlignment="0" applyProtection="0"/>
    <xf numFmtId="0" fontId="32" fillId="0" borderId="117" applyNumberFormat="0" applyFill="0" applyAlignment="0" applyProtection="0"/>
    <xf numFmtId="0" fontId="32" fillId="0" borderId="117" applyNumberFormat="0" applyFill="0" applyAlignment="0" applyProtection="0"/>
    <xf numFmtId="167" fontId="1" fillId="0" borderId="0" applyFont="0" applyFill="0" applyBorder="0" applyAlignment="0" applyProtection="0"/>
    <xf numFmtId="0" fontId="1" fillId="0" borderId="0"/>
  </cellStyleXfs>
  <cellXfs count="932">
    <xf numFmtId="0" fontId="0" fillId="0" borderId="0" xfId="0"/>
    <xf numFmtId="0" fontId="37" fillId="0" borderId="0" xfId="47" applyFont="1"/>
    <xf numFmtId="169" fontId="39" fillId="35" borderId="55" xfId="0" applyNumberFormat="1" applyFont="1" applyFill="1" applyBorder="1" applyAlignment="1" applyProtection="1">
      <alignment horizontal="center" vertical="center"/>
      <protection locked="0"/>
    </xf>
    <xf numFmtId="1" fontId="42" fillId="34" borderId="48" xfId="0" applyNumberFormat="1" applyFont="1" applyFill="1" applyBorder="1" applyAlignment="1">
      <alignment horizontal="center" vertical="center" wrapText="1"/>
    </xf>
    <xf numFmtId="1" fontId="42" fillId="34" borderId="62" xfId="0" applyNumberFormat="1" applyFont="1" applyFill="1" applyBorder="1" applyAlignment="1">
      <alignment horizontal="center" vertical="center" wrapText="1"/>
    </xf>
    <xf numFmtId="1" fontId="42" fillId="34" borderId="53" xfId="0" applyNumberFormat="1" applyFont="1" applyFill="1" applyBorder="1" applyAlignment="1">
      <alignment horizontal="center" vertical="center" wrapText="1"/>
    </xf>
    <xf numFmtId="1" fontId="42" fillId="34" borderId="73" xfId="0" applyNumberFormat="1" applyFont="1" applyFill="1" applyBorder="1" applyAlignment="1">
      <alignment horizontal="center" vertical="center" wrapText="1"/>
    </xf>
    <xf numFmtId="1" fontId="42" fillId="34" borderId="68" xfId="0" applyNumberFormat="1" applyFont="1" applyFill="1" applyBorder="1" applyAlignment="1">
      <alignment horizontal="center" vertical="center" wrapText="1"/>
    </xf>
    <xf numFmtId="1" fontId="43" fillId="30" borderId="49" xfId="0" applyNumberFormat="1" applyFont="1" applyFill="1" applyBorder="1" applyAlignment="1">
      <alignment horizontal="center" vertical="center"/>
    </xf>
    <xf numFmtId="1" fontId="43" fillId="29" borderId="15" xfId="0" applyNumberFormat="1" applyFont="1" applyFill="1" applyBorder="1" applyAlignment="1">
      <alignment horizontal="center"/>
    </xf>
    <xf numFmtId="1" fontId="45" fillId="0" borderId="10" xfId="52" applyNumberFormat="1" applyFont="1" applyFill="1" applyBorder="1" applyAlignment="1" applyProtection="1">
      <alignment horizontal="center" vertical="center" readingOrder="1"/>
      <protection locked="0"/>
    </xf>
    <xf numFmtId="0" fontId="45" fillId="0" borderId="0" xfId="48" applyFont="1"/>
    <xf numFmtId="0" fontId="45" fillId="0" borderId="0" xfId="48" applyFont="1" applyAlignment="1">
      <alignment vertical="center"/>
    </xf>
    <xf numFmtId="1" fontId="43" fillId="30" borderId="49" xfId="48" applyNumberFormat="1" applyFont="1" applyFill="1" applyBorder="1" applyAlignment="1">
      <alignment horizontal="center" vertical="center"/>
    </xf>
    <xf numFmtId="169" fontId="43" fillId="30" borderId="51" xfId="48" applyNumberFormat="1" applyFont="1" applyFill="1" applyBorder="1" applyAlignment="1">
      <alignment horizontal="center" vertical="center"/>
    </xf>
    <xf numFmtId="1" fontId="43" fillId="30" borderId="0" xfId="48" applyNumberFormat="1" applyFont="1" applyFill="1" applyAlignment="1">
      <alignment horizontal="center" vertical="center"/>
    </xf>
    <xf numFmtId="169" fontId="43" fillId="30" borderId="0" xfId="48" applyNumberFormat="1" applyFont="1" applyFill="1" applyAlignment="1">
      <alignment horizontal="center" vertical="center"/>
    </xf>
    <xf numFmtId="0" fontId="49" fillId="0" borderId="0" xfId="48" applyFont="1"/>
    <xf numFmtId="0" fontId="37" fillId="0" borderId="0" xfId="48" applyFont="1"/>
    <xf numFmtId="169" fontId="43" fillId="30" borderId="51" xfId="0" applyNumberFormat="1" applyFont="1" applyFill="1" applyBorder="1" applyAlignment="1">
      <alignment horizontal="center" vertical="center"/>
    </xf>
    <xf numFmtId="9" fontId="43" fillId="34" borderId="24" xfId="39" applyFont="1" applyFill="1" applyBorder="1" applyAlignment="1">
      <alignment horizontal="center" vertical="center"/>
    </xf>
    <xf numFmtId="0" fontId="40" fillId="0" borderId="0" xfId="48" applyFont="1"/>
    <xf numFmtId="0" fontId="42" fillId="27" borderId="42" xfId="47" applyFont="1" applyFill="1" applyBorder="1" applyAlignment="1">
      <alignment horizontal="center" vertical="center" wrapText="1"/>
    </xf>
    <xf numFmtId="1" fontId="43" fillId="29" borderId="48" xfId="0" applyNumberFormat="1" applyFont="1" applyFill="1" applyBorder="1" applyAlignment="1">
      <alignment horizontal="center"/>
    </xf>
    <xf numFmtId="1" fontId="43" fillId="29" borderId="14" xfId="0" applyNumberFormat="1" applyFont="1" applyFill="1" applyBorder="1" applyAlignment="1">
      <alignment horizontal="right"/>
    </xf>
    <xf numFmtId="1" fontId="43" fillId="29" borderId="47" xfId="0" applyNumberFormat="1" applyFont="1" applyFill="1" applyBorder="1" applyAlignment="1">
      <alignment horizontal="center"/>
    </xf>
    <xf numFmtId="0" fontId="42" fillId="27" borderId="24" xfId="47" applyFont="1" applyFill="1" applyBorder="1" applyAlignment="1">
      <alignment horizontal="center" vertical="center" wrapText="1"/>
    </xf>
    <xf numFmtId="1" fontId="37" fillId="0" borderId="0" xfId="48" applyNumberFormat="1" applyFont="1"/>
    <xf numFmtId="2" fontId="37" fillId="0" borderId="0" xfId="47" applyNumberFormat="1" applyFont="1"/>
    <xf numFmtId="0" fontId="37" fillId="0" borderId="62" xfId="47" applyFont="1" applyBorder="1"/>
    <xf numFmtId="1" fontId="43" fillId="29" borderId="0" xfId="0" applyNumberFormat="1" applyFont="1" applyFill="1" applyAlignment="1">
      <alignment horizontal="right"/>
    </xf>
    <xf numFmtId="0" fontId="42" fillId="27" borderId="53" xfId="47" applyFont="1" applyFill="1" applyBorder="1" applyAlignment="1">
      <alignment horizontal="center" vertical="center" wrapText="1"/>
    </xf>
    <xf numFmtId="0" fontId="40" fillId="0" borderId="0" xfId="47" applyFont="1" applyAlignment="1">
      <alignment horizontal="center"/>
    </xf>
    <xf numFmtId="174" fontId="43" fillId="34" borderId="12" xfId="64" applyNumberFormat="1" applyFont="1" applyFill="1" applyBorder="1" applyAlignment="1">
      <alignment horizontal="center" vertical="center"/>
    </xf>
    <xf numFmtId="1" fontId="37" fillId="0" borderId="0" xfId="47" applyNumberFormat="1" applyFont="1"/>
    <xf numFmtId="9" fontId="43" fillId="34" borderId="12" xfId="0" applyNumberFormat="1" applyFont="1" applyFill="1" applyBorder="1" applyAlignment="1">
      <alignment horizontal="center" vertical="center"/>
    </xf>
    <xf numFmtId="0" fontId="42" fillId="27" borderId="25" xfId="47" applyFont="1" applyFill="1" applyBorder="1" applyAlignment="1">
      <alignment horizontal="center" vertical="center" wrapText="1"/>
    </xf>
    <xf numFmtId="1" fontId="42" fillId="34" borderId="69" xfId="0" applyNumberFormat="1" applyFont="1" applyFill="1" applyBorder="1" applyAlignment="1">
      <alignment horizontal="center" vertical="center" wrapText="1"/>
    </xf>
    <xf numFmtId="1" fontId="42" fillId="34" borderId="70" xfId="0" applyNumberFormat="1" applyFont="1" applyFill="1" applyBorder="1" applyAlignment="1">
      <alignment horizontal="center" vertical="center" wrapText="1"/>
    </xf>
    <xf numFmtId="1" fontId="42" fillId="34" borderId="47" xfId="0" applyNumberFormat="1" applyFont="1" applyFill="1" applyBorder="1" applyAlignment="1">
      <alignment horizontal="center" vertical="center" wrapText="1"/>
    </xf>
    <xf numFmtId="1" fontId="42" fillId="34" borderId="55" xfId="0" applyNumberFormat="1" applyFont="1" applyFill="1" applyBorder="1" applyAlignment="1">
      <alignment horizontal="center" vertical="center" wrapText="1"/>
    </xf>
    <xf numFmtId="9" fontId="40" fillId="0" borderId="0" xfId="47" applyNumberFormat="1" applyFont="1" applyAlignment="1">
      <alignment horizontal="center"/>
    </xf>
    <xf numFmtId="0" fontId="40" fillId="0" borderId="0" xfId="47" applyFont="1" applyAlignment="1">
      <alignment horizontal="right" vertical="center"/>
    </xf>
    <xf numFmtId="0" fontId="52" fillId="0" borderId="0" xfId="47" applyFont="1" applyAlignment="1">
      <alignment horizontal="center" vertical="center"/>
    </xf>
    <xf numFmtId="0" fontId="40" fillId="0" borderId="0" xfId="47" applyFont="1" applyAlignment="1">
      <alignment horizontal="center" vertical="center"/>
    </xf>
    <xf numFmtId="172" fontId="37" fillId="0" borderId="0" xfId="47" applyNumberFormat="1" applyFont="1"/>
    <xf numFmtId="1" fontId="43" fillId="29" borderId="47" xfId="51" applyNumberFormat="1" applyFont="1" applyFill="1" applyBorder="1" applyAlignment="1">
      <alignment horizontal="center"/>
    </xf>
    <xf numFmtId="0" fontId="51" fillId="29" borderId="48" xfId="47" applyFont="1" applyFill="1" applyBorder="1" applyAlignment="1">
      <alignment readingOrder="2"/>
    </xf>
    <xf numFmtId="0" fontId="40" fillId="29" borderId="47" xfId="47" applyFont="1" applyFill="1" applyBorder="1" applyAlignment="1">
      <alignment readingOrder="2"/>
    </xf>
    <xf numFmtId="0" fontId="40" fillId="29" borderId="55" xfId="47" applyFont="1" applyFill="1" applyBorder="1" applyAlignment="1">
      <alignment horizontal="center"/>
    </xf>
    <xf numFmtId="1" fontId="39" fillId="29" borderId="53" xfId="0" applyNumberFormat="1" applyFont="1" applyFill="1" applyBorder="1" applyAlignment="1">
      <alignment horizontal="center" vertical="center"/>
    </xf>
    <xf numFmtId="169" fontId="39" fillId="29" borderId="53" xfId="0" applyNumberFormat="1" applyFont="1" applyFill="1" applyBorder="1" applyAlignment="1">
      <alignment horizontal="center" vertical="center"/>
    </xf>
    <xf numFmtId="0" fontId="42" fillId="27" borderId="78" xfId="47" applyFont="1" applyFill="1" applyBorder="1" applyAlignment="1">
      <alignment horizontal="center" vertical="center" wrapText="1"/>
    </xf>
    <xf numFmtId="10" fontId="45" fillId="30" borderId="10" xfId="39" applyNumberFormat="1" applyFont="1" applyFill="1" applyBorder="1" applyAlignment="1" applyProtection="1">
      <alignment horizontal="center"/>
    </xf>
    <xf numFmtId="9" fontId="42" fillId="27" borderId="62" xfId="39" applyFont="1" applyFill="1" applyBorder="1" applyAlignment="1" applyProtection="1">
      <alignment horizontal="center" vertical="center" wrapText="1"/>
    </xf>
    <xf numFmtId="9" fontId="42" fillId="27" borderId="24" xfId="39" applyFont="1" applyFill="1" applyBorder="1" applyAlignment="1" applyProtection="1">
      <alignment horizontal="center" vertical="center" wrapText="1"/>
    </xf>
    <xf numFmtId="169" fontId="42" fillId="27" borderId="24" xfId="39" applyNumberFormat="1" applyFont="1" applyFill="1" applyBorder="1" applyAlignment="1" applyProtection="1">
      <alignment horizontal="center" vertical="center" wrapText="1"/>
    </xf>
    <xf numFmtId="1" fontId="40" fillId="29" borderId="47" xfId="47" applyNumberFormat="1" applyFont="1" applyFill="1" applyBorder="1" applyAlignment="1">
      <alignment readingOrder="2"/>
    </xf>
    <xf numFmtId="168" fontId="40" fillId="29" borderId="55" xfId="47" applyNumberFormat="1" applyFont="1" applyFill="1" applyBorder="1" applyAlignment="1">
      <alignment horizontal="center"/>
    </xf>
    <xf numFmtId="168" fontId="51" fillId="29" borderId="49" xfId="47" applyNumberFormat="1" applyFont="1" applyFill="1" applyBorder="1" applyAlignment="1">
      <alignment horizontal="center"/>
    </xf>
    <xf numFmtId="171" fontId="50" fillId="34" borderId="0" xfId="48" applyNumberFormat="1" applyFont="1" applyFill="1" applyAlignment="1">
      <alignment horizontal="right"/>
    </xf>
    <xf numFmtId="0" fontId="16" fillId="0" borderId="0" xfId="48"/>
    <xf numFmtId="169" fontId="54" fillId="0" borderId="10" xfId="65" applyNumberFormat="1" applyFont="1" applyFill="1" applyBorder="1" applyAlignment="1" applyProtection="1">
      <alignment horizontal="center" vertical="center" readingOrder="1"/>
      <protection locked="0"/>
    </xf>
    <xf numFmtId="1" fontId="42" fillId="34" borderId="62" xfId="48" applyNumberFormat="1" applyFont="1" applyFill="1" applyBorder="1" applyAlignment="1">
      <alignment horizontal="center" vertical="center" wrapText="1"/>
    </xf>
    <xf numFmtId="3" fontId="16" fillId="0" borderId="0" xfId="48" applyNumberFormat="1"/>
    <xf numFmtId="1" fontId="42" fillId="34" borderId="24" xfId="0" applyNumberFormat="1" applyFont="1" applyFill="1" applyBorder="1" applyAlignment="1">
      <alignment horizontal="center" vertical="center" wrapText="1"/>
    </xf>
    <xf numFmtId="168" fontId="16" fillId="0" borderId="0" xfId="48" applyNumberFormat="1"/>
    <xf numFmtId="1" fontId="43" fillId="29" borderId="47" xfId="0" applyNumberFormat="1" applyFont="1" applyFill="1" applyBorder="1" applyAlignment="1">
      <alignment horizontal="center" vertical="center" wrapText="1"/>
    </xf>
    <xf numFmtId="1" fontId="43" fillId="29" borderId="47" xfId="0" applyNumberFormat="1" applyFont="1" applyFill="1" applyBorder="1" applyAlignment="1">
      <alignment horizontal="center" vertical="center" wrapText="1" readingOrder="2"/>
    </xf>
    <xf numFmtId="1" fontId="43" fillId="29" borderId="71" xfId="0" applyNumberFormat="1" applyFont="1" applyFill="1" applyBorder="1" applyAlignment="1">
      <alignment horizontal="center" vertical="center" wrapText="1"/>
    </xf>
    <xf numFmtId="1" fontId="43" fillId="29" borderId="48" xfId="48" applyNumberFormat="1" applyFont="1" applyFill="1" applyBorder="1" applyAlignment="1">
      <alignment horizontal="center"/>
    </xf>
    <xf numFmtId="1" fontId="43" fillId="29" borderId="14" xfId="48" applyNumberFormat="1" applyFont="1" applyFill="1" applyBorder="1" applyAlignment="1">
      <alignment horizontal="right"/>
    </xf>
    <xf numFmtId="1" fontId="45" fillId="0" borderId="14" xfId="71" applyNumberFormat="1" applyFont="1" applyFill="1" applyBorder="1" applyAlignment="1" applyProtection="1">
      <alignment horizontal="center" vertical="center" readingOrder="1"/>
      <protection locked="0"/>
    </xf>
    <xf numFmtId="1" fontId="43" fillId="29" borderId="47" xfId="48" applyNumberFormat="1" applyFont="1" applyFill="1" applyBorder="1" applyAlignment="1">
      <alignment horizontal="center"/>
    </xf>
    <xf numFmtId="0" fontId="42" fillId="27" borderId="57" xfId="47" applyFont="1" applyFill="1" applyBorder="1" applyAlignment="1">
      <alignment horizontal="center" vertical="center" wrapText="1"/>
    </xf>
    <xf numFmtId="0" fontId="42" fillId="27" borderId="58" xfId="47" applyFont="1" applyFill="1" applyBorder="1" applyAlignment="1">
      <alignment horizontal="center" vertical="center" wrapText="1"/>
    </xf>
    <xf numFmtId="0" fontId="42" fillId="27" borderId="81" xfId="47" applyFont="1" applyFill="1" applyBorder="1" applyAlignment="1">
      <alignment horizontal="center" vertical="center" wrapText="1"/>
    </xf>
    <xf numFmtId="176" fontId="58" fillId="36" borderId="19" xfId="48" applyNumberFormat="1" applyFont="1" applyFill="1" applyBorder="1"/>
    <xf numFmtId="169" fontId="39" fillId="32" borderId="51" xfId="0" applyNumberFormat="1" applyFont="1" applyFill="1" applyBorder="1" applyAlignment="1">
      <alignment horizontal="center" vertical="center"/>
    </xf>
    <xf numFmtId="169" fontId="39" fillId="32" borderId="0" xfId="0" applyNumberFormat="1" applyFont="1" applyFill="1" applyAlignment="1">
      <alignment horizontal="center" vertical="center"/>
    </xf>
    <xf numFmtId="9" fontId="40" fillId="0" borderId="0" xfId="39" applyFont="1" applyFill="1" applyBorder="1" applyAlignment="1" applyProtection="1">
      <alignment horizontal="center"/>
    </xf>
    <xf numFmtId="1" fontId="44" fillId="24" borderId="35" xfId="47" applyNumberFormat="1" applyFont="1" applyFill="1" applyBorder="1" applyAlignment="1">
      <alignment horizontal="center" vertical="center"/>
    </xf>
    <xf numFmtId="0" fontId="40" fillId="0" borderId="38" xfId="47" applyFont="1" applyBorder="1" applyAlignment="1">
      <alignment horizontal="center" vertical="center"/>
    </xf>
    <xf numFmtId="0" fontId="40" fillId="0" borderId="40" xfId="47" applyFont="1" applyBorder="1" applyAlignment="1">
      <alignment horizontal="center" vertical="center"/>
    </xf>
    <xf numFmtId="9" fontId="45" fillId="35" borderId="10" xfId="39" applyFont="1" applyFill="1" applyBorder="1" applyAlignment="1" applyProtection="1">
      <alignment horizontal="center" vertical="center" readingOrder="1"/>
    </xf>
    <xf numFmtId="0" fontId="40" fillId="0" borderId="0" xfId="47" applyFont="1"/>
    <xf numFmtId="0" fontId="40" fillId="0" borderId="0" xfId="47" applyFont="1" applyAlignment="1">
      <alignment horizontal="center" vertical="center" wrapText="1"/>
    </xf>
    <xf numFmtId="0" fontId="40" fillId="0" borderId="0" xfId="47" applyFont="1" applyAlignment="1">
      <alignment horizontal="right" vertical="center" wrapText="1"/>
    </xf>
    <xf numFmtId="9" fontId="40" fillId="0" borderId="0" xfId="39" applyFont="1" applyFill="1" applyBorder="1" applyAlignment="1" applyProtection="1">
      <alignment horizontal="center" vertical="center"/>
    </xf>
    <xf numFmtId="0" fontId="40" fillId="0" borderId="0" xfId="47" applyFont="1" applyAlignment="1">
      <alignment horizontal="right" vertical="center" wrapText="1" readingOrder="2"/>
    </xf>
    <xf numFmtId="9" fontId="40" fillId="0" borderId="0" xfId="47" applyNumberFormat="1" applyFont="1" applyAlignment="1">
      <alignment horizontal="center" vertical="center" wrapText="1"/>
    </xf>
    <xf numFmtId="1" fontId="43" fillId="28" borderId="48" xfId="47" applyNumberFormat="1" applyFont="1" applyFill="1" applyBorder="1" applyAlignment="1">
      <alignment horizontal="center" vertical="center"/>
    </xf>
    <xf numFmtId="166" fontId="43" fillId="34" borderId="19" xfId="64" applyNumberFormat="1" applyFont="1" applyFill="1" applyBorder="1" applyAlignment="1">
      <alignment horizontal="center" vertical="center"/>
    </xf>
    <xf numFmtId="0" fontId="42" fillId="27" borderId="59" xfId="47" applyFont="1" applyFill="1" applyBorder="1" applyAlignment="1">
      <alignment horizontal="center" vertical="center" wrapText="1"/>
    </xf>
    <xf numFmtId="174" fontId="43" fillId="34" borderId="20" xfId="64" applyNumberFormat="1" applyFont="1" applyFill="1" applyBorder="1" applyAlignment="1">
      <alignment horizontal="center" vertical="center"/>
    </xf>
    <xf numFmtId="9" fontId="43" fillId="34" borderId="20" xfId="0" applyNumberFormat="1" applyFont="1" applyFill="1" applyBorder="1" applyAlignment="1">
      <alignment horizontal="center" vertical="center"/>
    </xf>
    <xf numFmtId="168" fontId="43" fillId="30" borderId="14" xfId="0" applyNumberFormat="1" applyFont="1" applyFill="1" applyBorder="1" applyAlignment="1">
      <alignment horizontal="center"/>
    </xf>
    <xf numFmtId="10" fontId="43" fillId="30" borderId="49" xfId="39" applyNumberFormat="1" applyFont="1" applyFill="1" applyBorder="1" applyAlignment="1" applyProtection="1">
      <alignment horizontal="center"/>
    </xf>
    <xf numFmtId="10" fontId="43" fillId="30" borderId="55" xfId="39" applyNumberFormat="1" applyFont="1" applyFill="1" applyBorder="1" applyAlignment="1" applyProtection="1">
      <alignment horizontal="center"/>
    </xf>
    <xf numFmtId="0" fontId="37" fillId="0" borderId="0" xfId="72" applyFont="1"/>
    <xf numFmtId="0" fontId="38" fillId="27" borderId="48" xfId="72" applyFont="1" applyFill="1" applyBorder="1" applyAlignment="1">
      <alignment horizontal="center" vertical="center" wrapText="1"/>
    </xf>
    <xf numFmtId="0" fontId="38" fillId="27" borderId="56" xfId="72" applyFont="1" applyFill="1" applyBorder="1" applyAlignment="1">
      <alignment horizontal="center" vertical="center" wrapText="1"/>
    </xf>
    <xf numFmtId="1" fontId="43" fillId="29" borderId="0" xfId="48" applyNumberFormat="1" applyFont="1" applyFill="1" applyAlignment="1">
      <alignment horizontal="center" vertical="center" wrapText="1"/>
    </xf>
    <xf numFmtId="1" fontId="42" fillId="34" borderId="57" xfId="48" applyNumberFormat="1" applyFont="1" applyFill="1" applyBorder="1" applyAlignment="1">
      <alignment horizontal="center" vertical="center" wrapText="1"/>
    </xf>
    <xf numFmtId="1" fontId="42" fillId="34" borderId="68" xfId="48" applyNumberFormat="1" applyFont="1" applyFill="1" applyBorder="1" applyAlignment="1">
      <alignment horizontal="center" vertical="center" wrapText="1"/>
    </xf>
    <xf numFmtId="9" fontId="43" fillId="29" borderId="14" xfId="49" applyFont="1" applyFill="1" applyBorder="1" applyAlignment="1" applyProtection="1">
      <alignment horizontal="center" vertical="center" wrapText="1"/>
    </xf>
    <xf numFmtId="1" fontId="43" fillId="29" borderId="62" xfId="48" applyNumberFormat="1" applyFont="1" applyFill="1" applyBorder="1" applyAlignment="1">
      <alignment horizontal="center" vertical="center" wrapText="1"/>
    </xf>
    <xf numFmtId="1" fontId="43" fillId="29" borderId="56" xfId="48" applyNumberFormat="1" applyFont="1" applyFill="1" applyBorder="1" applyAlignment="1">
      <alignment horizontal="center" vertical="center" wrapText="1"/>
    </xf>
    <xf numFmtId="9" fontId="43" fillId="29" borderId="41" xfId="49" applyFont="1" applyFill="1" applyBorder="1" applyAlignment="1" applyProtection="1">
      <alignment horizontal="center" vertical="center" wrapText="1"/>
    </xf>
    <xf numFmtId="1" fontId="56" fillId="24" borderId="62" xfId="48" applyNumberFormat="1" applyFont="1" applyFill="1" applyBorder="1" applyAlignment="1">
      <alignment horizontal="center" vertical="center"/>
    </xf>
    <xf numFmtId="1" fontId="56" fillId="24" borderId="24" xfId="48" applyNumberFormat="1" applyFont="1" applyFill="1" applyBorder="1" applyAlignment="1">
      <alignment horizontal="center" vertical="center"/>
    </xf>
    <xf numFmtId="1" fontId="56" fillId="24" borderId="53" xfId="48" applyNumberFormat="1" applyFont="1" applyFill="1" applyBorder="1" applyAlignment="1">
      <alignment horizontal="center" vertical="center"/>
    </xf>
    <xf numFmtId="9" fontId="42" fillId="29" borderId="48" xfId="73" applyNumberFormat="1" applyFont="1" applyFill="1" applyBorder="1" applyAlignment="1">
      <alignment horizontal="center" vertical="center" wrapText="1"/>
    </xf>
    <xf numFmtId="1" fontId="42" fillId="34" borderId="24" xfId="48" applyNumberFormat="1" applyFont="1" applyFill="1" applyBorder="1" applyAlignment="1">
      <alignment horizontal="center" vertical="center" wrapText="1"/>
    </xf>
    <xf numFmtId="1" fontId="42" fillId="34" borderId="25" xfId="48" applyNumberFormat="1" applyFont="1" applyFill="1" applyBorder="1" applyAlignment="1">
      <alignment horizontal="center" vertical="center" wrapText="1"/>
    </xf>
    <xf numFmtId="1" fontId="42" fillId="34" borderId="53" xfId="48" applyNumberFormat="1" applyFont="1" applyFill="1" applyBorder="1" applyAlignment="1">
      <alignment horizontal="center" vertical="center" wrapText="1"/>
    </xf>
    <xf numFmtId="1" fontId="43" fillId="29" borderId="71" xfId="48" applyNumberFormat="1" applyFont="1" applyFill="1" applyBorder="1" applyAlignment="1">
      <alignment horizontal="center" vertical="center" wrapText="1"/>
    </xf>
    <xf numFmtId="9" fontId="43" fillId="29" borderId="10" xfId="49" applyFont="1" applyFill="1" applyBorder="1" applyAlignment="1" applyProtection="1">
      <alignment horizontal="center" vertical="center" wrapText="1"/>
    </xf>
    <xf numFmtId="1" fontId="43" fillId="29" borderId="80" xfId="48" applyNumberFormat="1" applyFont="1" applyFill="1" applyBorder="1" applyAlignment="1">
      <alignment horizontal="center" vertical="center" wrapText="1"/>
    </xf>
    <xf numFmtId="1" fontId="43" fillId="29" borderId="69" xfId="48" applyNumberFormat="1" applyFont="1" applyFill="1" applyBorder="1" applyAlignment="1">
      <alignment horizontal="center" vertical="center" wrapText="1"/>
    </xf>
    <xf numFmtId="1" fontId="43" fillId="29" borderId="70" xfId="48" applyNumberFormat="1" applyFont="1" applyFill="1" applyBorder="1" applyAlignment="1">
      <alignment horizontal="center" vertical="center" wrapText="1"/>
    </xf>
    <xf numFmtId="1" fontId="43" fillId="29" borderId="51" xfId="48" applyNumberFormat="1" applyFont="1" applyFill="1" applyBorder="1" applyAlignment="1">
      <alignment horizontal="center" vertical="center" wrapText="1"/>
    </xf>
    <xf numFmtId="0" fontId="41" fillId="31" borderId="0" xfId="48" applyFont="1" applyFill="1" applyAlignment="1">
      <alignment horizontal="center"/>
    </xf>
    <xf numFmtId="0" fontId="42" fillId="27" borderId="14" xfId="72" applyFont="1" applyFill="1" applyBorder="1" applyAlignment="1">
      <alignment horizontal="center" vertical="center" wrapText="1"/>
    </xf>
    <xf numFmtId="0" fontId="42" fillId="27" borderId="0" xfId="72" applyFont="1" applyFill="1" applyAlignment="1">
      <alignment horizontal="center" vertical="center" wrapText="1"/>
    </xf>
    <xf numFmtId="0" fontId="37" fillId="0" borderId="0" xfId="48" applyFont="1" applyAlignment="1">
      <alignment wrapText="1"/>
    </xf>
    <xf numFmtId="1" fontId="43" fillId="29" borderId="71" xfId="48" applyNumberFormat="1" applyFont="1" applyFill="1" applyBorder="1" applyAlignment="1">
      <alignment horizontal="center"/>
    </xf>
    <xf numFmtId="1" fontId="43" fillId="29" borderId="10" xfId="48" applyNumberFormat="1" applyFont="1" applyFill="1" applyBorder="1" applyAlignment="1">
      <alignment horizontal="right"/>
    </xf>
    <xf numFmtId="0" fontId="45" fillId="0" borderId="10" xfId="71" applyNumberFormat="1" applyFont="1" applyFill="1" applyBorder="1" applyAlignment="1" applyProtection="1">
      <alignment horizontal="center" vertical="center" readingOrder="1"/>
      <protection locked="0"/>
    </xf>
    <xf numFmtId="10" fontId="43" fillId="30" borderId="10" xfId="49" applyNumberFormat="1" applyFont="1" applyFill="1" applyBorder="1" applyAlignment="1" applyProtection="1">
      <alignment horizontal="center"/>
    </xf>
    <xf numFmtId="165" fontId="43" fillId="30" borderId="72" xfId="71" applyNumberFormat="1" applyFont="1" applyFill="1" applyBorder="1" applyAlignment="1" applyProtection="1">
      <alignment horizontal="center"/>
    </xf>
    <xf numFmtId="166" fontId="43" fillId="30" borderId="0" xfId="64" applyNumberFormat="1" applyFont="1" applyFill="1" applyBorder="1" applyAlignment="1" applyProtection="1">
      <alignment horizontal="center"/>
    </xf>
    <xf numFmtId="172" fontId="43" fillId="34" borderId="19" xfId="71" applyNumberFormat="1" applyFont="1" applyFill="1" applyBorder="1" applyAlignment="1">
      <alignment horizontal="center" vertical="center"/>
    </xf>
    <xf numFmtId="0" fontId="43" fillId="34" borderId="19" xfId="64" applyNumberFormat="1" applyFont="1" applyFill="1" applyBorder="1" applyAlignment="1">
      <alignment horizontal="center" vertical="center"/>
    </xf>
    <xf numFmtId="165" fontId="43" fillId="34" borderId="19" xfId="64" applyNumberFormat="1" applyFont="1" applyFill="1" applyBorder="1" applyAlignment="1">
      <alignment horizontal="center" vertical="center"/>
    </xf>
    <xf numFmtId="175" fontId="43" fillId="34" borderId="19" xfId="64" applyNumberFormat="1" applyFont="1" applyFill="1" applyBorder="1" applyAlignment="1">
      <alignment horizontal="center" vertical="center"/>
    </xf>
    <xf numFmtId="9" fontId="43" fillId="34" borderId="19" xfId="49" applyFont="1" applyFill="1" applyBorder="1" applyAlignment="1">
      <alignment horizontal="center" vertical="center"/>
    </xf>
    <xf numFmtId="165" fontId="43" fillId="34" borderId="70" xfId="71" applyNumberFormat="1" applyFont="1" applyFill="1" applyBorder="1" applyAlignment="1">
      <alignment horizontal="center" vertical="center"/>
    </xf>
    <xf numFmtId="0" fontId="40" fillId="0" borderId="0" xfId="48" applyFont="1" applyAlignment="1">
      <alignment horizontal="center" wrapText="1"/>
    </xf>
    <xf numFmtId="10" fontId="45" fillId="29" borderId="10" xfId="49" applyNumberFormat="1" applyFont="1" applyFill="1" applyBorder="1" applyAlignment="1" applyProtection="1">
      <alignment horizontal="center"/>
    </xf>
    <xf numFmtId="0" fontId="45" fillId="29" borderId="10" xfId="49" applyNumberFormat="1" applyFont="1" applyFill="1" applyBorder="1" applyAlignment="1" applyProtection="1">
      <alignment horizontal="center"/>
    </xf>
    <xf numFmtId="9" fontId="43" fillId="34" borderId="19" xfId="49" applyFont="1" applyFill="1" applyBorder="1" applyAlignment="1" applyProtection="1">
      <alignment horizontal="center" vertical="center"/>
    </xf>
    <xf numFmtId="0" fontId="43" fillId="34" borderId="19" xfId="49" applyNumberFormat="1" applyFont="1" applyFill="1" applyBorder="1" applyAlignment="1" applyProtection="1">
      <alignment horizontal="center" vertical="center"/>
    </xf>
    <xf numFmtId="175" fontId="43" fillId="34" borderId="70" xfId="64" applyNumberFormat="1" applyFont="1" applyFill="1" applyBorder="1" applyAlignment="1">
      <alignment horizontal="center" vertical="center"/>
    </xf>
    <xf numFmtId="9" fontId="43" fillId="29" borderId="49" xfId="49" applyFont="1" applyFill="1" applyBorder="1" applyAlignment="1" applyProtection="1">
      <alignment horizontal="center" vertical="center" wrapText="1"/>
    </xf>
    <xf numFmtId="9" fontId="43" fillId="29" borderId="51" xfId="49" applyFont="1" applyFill="1" applyBorder="1" applyAlignment="1" applyProtection="1">
      <alignment horizontal="center" vertical="center" wrapText="1"/>
    </xf>
    <xf numFmtId="0" fontId="43" fillId="30" borderId="10" xfId="71" applyNumberFormat="1" applyFont="1" applyFill="1" applyBorder="1" applyAlignment="1" applyProtection="1">
      <alignment horizontal="center"/>
    </xf>
    <xf numFmtId="0" fontId="43" fillId="29" borderId="10" xfId="49" applyNumberFormat="1" applyFont="1" applyFill="1" applyBorder="1" applyAlignment="1" applyProtection="1">
      <alignment horizontal="center"/>
    </xf>
    <xf numFmtId="10" fontId="43" fillId="29" borderId="10" xfId="49" applyNumberFormat="1" applyFont="1" applyFill="1" applyBorder="1" applyAlignment="1" applyProtection="1">
      <alignment horizontal="center"/>
    </xf>
    <xf numFmtId="0" fontId="51" fillId="29" borderId="10" xfId="70" applyNumberFormat="1" applyFont="1" applyFill="1" applyBorder="1" applyAlignment="1" applyProtection="1">
      <alignment horizontal="center"/>
    </xf>
    <xf numFmtId="10" fontId="51" fillId="29" borderId="10" xfId="70" applyNumberFormat="1" applyFont="1" applyFill="1" applyBorder="1" applyAlignment="1" applyProtection="1">
      <alignment horizontal="center"/>
    </xf>
    <xf numFmtId="165" fontId="43" fillId="30" borderId="55" xfId="71" applyNumberFormat="1" applyFont="1" applyFill="1" applyBorder="1" applyAlignment="1" applyProtection="1">
      <alignment horizontal="center"/>
    </xf>
    <xf numFmtId="10" fontId="43" fillId="30" borderId="41" xfId="49" applyNumberFormat="1" applyFont="1" applyFill="1" applyBorder="1" applyAlignment="1" applyProtection="1">
      <alignment horizontal="center"/>
    </xf>
    <xf numFmtId="165" fontId="43" fillId="30" borderId="51" xfId="71" applyNumberFormat="1" applyFont="1" applyFill="1" applyBorder="1" applyAlignment="1" applyProtection="1">
      <alignment horizontal="center"/>
    </xf>
    <xf numFmtId="9" fontId="43" fillId="34" borderId="87" xfId="49" applyFont="1" applyFill="1" applyBorder="1" applyAlignment="1" applyProtection="1">
      <alignment horizontal="center" vertical="center"/>
    </xf>
    <xf numFmtId="9" fontId="43" fillId="34" borderId="19" xfId="70" applyFont="1" applyFill="1" applyBorder="1" applyAlignment="1" applyProtection="1">
      <alignment horizontal="center" vertical="center"/>
    </xf>
    <xf numFmtId="1" fontId="43" fillId="29" borderId="18" xfId="48" applyNumberFormat="1" applyFont="1" applyFill="1" applyBorder="1" applyAlignment="1">
      <alignment horizontal="center"/>
    </xf>
    <xf numFmtId="1" fontId="43" fillId="28" borderId="48" xfId="72" applyNumberFormat="1" applyFont="1" applyFill="1" applyBorder="1" applyAlignment="1">
      <alignment horizontal="center" vertical="center"/>
    </xf>
    <xf numFmtId="1" fontId="43" fillId="28" borderId="14" xfId="72" applyNumberFormat="1" applyFont="1" applyFill="1" applyBorder="1" applyAlignment="1">
      <alignment horizontal="center" vertical="center"/>
    </xf>
    <xf numFmtId="1" fontId="43" fillId="28" borderId="49" xfId="72" applyNumberFormat="1" applyFont="1" applyFill="1" applyBorder="1" applyAlignment="1">
      <alignment horizontal="center" vertical="center"/>
    </xf>
    <xf numFmtId="0" fontId="53" fillId="0" borderId="48" xfId="48" applyFont="1" applyBorder="1" applyAlignment="1">
      <alignment horizontal="center" vertical="center"/>
    </xf>
    <xf numFmtId="9" fontId="53" fillId="0" borderId="26" xfId="49" applyFont="1" applyBorder="1" applyAlignment="1" applyProtection="1">
      <alignment horizontal="center" vertical="center"/>
    </xf>
    <xf numFmtId="0" fontId="53" fillId="0" borderId="56" xfId="48" applyFont="1" applyBorder="1" applyAlignment="1">
      <alignment horizontal="center" vertical="center"/>
    </xf>
    <xf numFmtId="9" fontId="53" fillId="0" borderId="45" xfId="49" applyFont="1" applyBorder="1" applyAlignment="1" applyProtection="1">
      <alignment horizontal="center" vertical="center"/>
    </xf>
    <xf numFmtId="0" fontId="42" fillId="27" borderId="14" xfId="74" applyFont="1" applyFill="1" applyBorder="1" applyAlignment="1">
      <alignment horizontal="center" vertical="center" wrapText="1"/>
    </xf>
    <xf numFmtId="0" fontId="42" fillId="27" borderId="49" xfId="74" applyFont="1" applyFill="1" applyBorder="1" applyAlignment="1">
      <alignment horizontal="center" vertical="center" wrapText="1"/>
    </xf>
    <xf numFmtId="0" fontId="42" fillId="27" borderId="51" xfId="74" applyFont="1" applyFill="1" applyBorder="1" applyAlignment="1">
      <alignment horizontal="center" vertical="center" wrapText="1"/>
    </xf>
    <xf numFmtId="0" fontId="37" fillId="0" borderId="0" xfId="48" applyFont="1" applyAlignment="1">
      <alignment horizontal="center" wrapText="1"/>
    </xf>
    <xf numFmtId="10" fontId="45" fillId="29" borderId="10" xfId="70" applyNumberFormat="1" applyFont="1" applyFill="1" applyBorder="1" applyAlignment="1" applyProtection="1">
      <alignment horizontal="center"/>
    </xf>
    <xf numFmtId="165" fontId="37" fillId="0" borderId="0" xfId="48" applyNumberFormat="1" applyFont="1"/>
    <xf numFmtId="10" fontId="37" fillId="0" borderId="0" xfId="49" applyNumberFormat="1" applyFont="1"/>
    <xf numFmtId="0" fontId="42" fillId="0" borderId="0" xfId="73" applyFont="1"/>
    <xf numFmtId="9" fontId="42" fillId="29" borderId="82" xfId="73" applyNumberFormat="1" applyFont="1" applyFill="1" applyBorder="1" applyAlignment="1">
      <alignment horizontal="center" vertical="center" wrapText="1"/>
    </xf>
    <xf numFmtId="9" fontId="42" fillId="29" borderId="62" xfId="73" applyNumberFormat="1" applyFont="1" applyFill="1" applyBorder="1" applyAlignment="1">
      <alignment horizontal="center" vertical="center" wrapText="1"/>
    </xf>
    <xf numFmtId="9" fontId="42" fillId="29" borderId="68" xfId="73" applyNumberFormat="1" applyFont="1" applyFill="1" applyBorder="1" applyAlignment="1">
      <alignment horizontal="center" vertical="center" wrapText="1"/>
    </xf>
    <xf numFmtId="9" fontId="42" fillId="29" borderId="71" xfId="73" applyNumberFormat="1" applyFont="1" applyFill="1" applyBorder="1" applyAlignment="1">
      <alignment horizontal="center" vertical="center" wrapText="1"/>
    </xf>
    <xf numFmtId="0" fontId="42" fillId="27" borderId="14" xfId="73" applyFont="1" applyFill="1" applyBorder="1" applyAlignment="1">
      <alignment horizontal="center" vertical="center" wrapText="1"/>
    </xf>
    <xf numFmtId="0" fontId="42" fillId="27" borderId="42" xfId="73" applyFont="1" applyFill="1" applyBorder="1" applyAlignment="1">
      <alignment horizontal="center" vertical="center" wrapText="1"/>
    </xf>
    <xf numFmtId="0" fontId="42" fillId="27" borderId="41" xfId="73" applyFont="1" applyFill="1" applyBorder="1" applyAlignment="1">
      <alignment horizontal="center" vertical="center" wrapText="1"/>
    </xf>
    <xf numFmtId="0" fontId="45" fillId="29" borderId="10" xfId="70" applyNumberFormat="1" applyFont="1" applyFill="1" applyBorder="1" applyAlignment="1" applyProtection="1">
      <alignment horizontal="center"/>
    </xf>
    <xf numFmtId="169" fontId="43" fillId="30" borderId="10" xfId="48" applyNumberFormat="1" applyFont="1" applyFill="1" applyBorder="1" applyAlignment="1">
      <alignment horizontal="center"/>
    </xf>
    <xf numFmtId="169" fontId="45" fillId="33" borderId="10" xfId="49" applyNumberFormat="1" applyFont="1" applyFill="1" applyBorder="1" applyAlignment="1" applyProtection="1">
      <alignment horizontal="center"/>
    </xf>
    <xf numFmtId="169" fontId="39" fillId="28" borderId="13" xfId="49" applyNumberFormat="1" applyFont="1" applyFill="1" applyBorder="1" applyAlignment="1">
      <alignment horizontal="center" vertical="center"/>
    </xf>
    <xf numFmtId="0" fontId="37" fillId="32" borderId="0" xfId="48" applyFont="1" applyFill="1"/>
    <xf numFmtId="0" fontId="47" fillId="0" borderId="0" xfId="78" applyFont="1"/>
    <xf numFmtId="0" fontId="41" fillId="31" borderId="14" xfId="78" applyFont="1" applyFill="1" applyBorder="1" applyAlignment="1">
      <alignment horizontal="center" vertical="center" wrapText="1"/>
    </xf>
    <xf numFmtId="0" fontId="42" fillId="0" borderId="0" xfId="78" applyFont="1"/>
    <xf numFmtId="0" fontId="42" fillId="32" borderId="41" xfId="78" applyFont="1" applyFill="1" applyBorder="1" applyAlignment="1">
      <alignment horizontal="center" vertical="center" wrapText="1"/>
    </xf>
    <xf numFmtId="0" fontId="43" fillId="29" borderId="10" xfId="79" applyNumberFormat="1" applyFont="1" applyFill="1" applyBorder="1" applyAlignment="1" applyProtection="1">
      <alignment horizontal="center"/>
    </xf>
    <xf numFmtId="169" fontId="43" fillId="29" borderId="10" xfId="79" applyNumberFormat="1" applyFont="1" applyFill="1" applyBorder="1" applyAlignment="1" applyProtection="1">
      <alignment horizontal="center"/>
    </xf>
    <xf numFmtId="169" fontId="45" fillId="29" borderId="10" xfId="49" applyNumberFormat="1" applyFont="1" applyFill="1" applyBorder="1" applyAlignment="1" applyProtection="1">
      <alignment horizontal="center"/>
    </xf>
    <xf numFmtId="1" fontId="43" fillId="29" borderId="18" xfId="48" applyNumberFormat="1" applyFont="1" applyFill="1" applyBorder="1" applyAlignment="1">
      <alignment horizontal="center" vertical="center"/>
    </xf>
    <xf numFmtId="1" fontId="43" fillId="29" borderId="10" xfId="48" applyNumberFormat="1" applyFont="1" applyFill="1" applyBorder="1" applyAlignment="1">
      <alignment horizontal="right" vertical="center"/>
    </xf>
    <xf numFmtId="0" fontId="45" fillId="0" borderId="89" xfId="71" applyNumberFormat="1" applyFont="1" applyFill="1" applyBorder="1" applyAlignment="1" applyProtection="1">
      <alignment horizontal="center" vertical="center" wrapText="1" readingOrder="1"/>
      <protection locked="0"/>
    </xf>
    <xf numFmtId="0" fontId="45" fillId="0" borderId="89" xfId="71" applyNumberFormat="1" applyFont="1" applyFill="1" applyBorder="1" applyAlignment="1" applyProtection="1">
      <alignment horizontal="center" vertical="center" readingOrder="1"/>
      <protection locked="0"/>
    </xf>
    <xf numFmtId="169" fontId="45" fillId="0" borderId="89" xfId="71" applyNumberFormat="1" applyFont="1" applyFill="1" applyBorder="1" applyAlignment="1" applyProtection="1">
      <alignment horizontal="center" vertical="center" readingOrder="1"/>
      <protection locked="0"/>
    </xf>
    <xf numFmtId="169" fontId="43" fillId="29" borderId="10" xfId="49" applyNumberFormat="1" applyFont="1" applyFill="1" applyBorder="1" applyAlignment="1" applyProtection="1">
      <alignment horizontal="center" vertical="center"/>
    </xf>
    <xf numFmtId="169" fontId="43" fillId="30" borderId="10" xfId="49" applyNumberFormat="1" applyFont="1" applyFill="1" applyBorder="1" applyAlignment="1" applyProtection="1">
      <alignment horizontal="center" vertical="center"/>
    </xf>
    <xf numFmtId="169" fontId="39" fillId="28" borderId="28" xfId="49" applyNumberFormat="1" applyFont="1" applyFill="1" applyBorder="1" applyAlignment="1">
      <alignment horizontal="center" vertical="center"/>
    </xf>
    <xf numFmtId="0" fontId="42" fillId="27" borderId="59" xfId="75" applyFont="1" applyFill="1" applyBorder="1" applyAlignment="1">
      <alignment horizontal="center" vertical="center" wrapText="1"/>
    </xf>
    <xf numFmtId="0" fontId="42" fillId="27" borderId="25" xfId="72" applyFont="1" applyFill="1" applyBorder="1" applyAlignment="1">
      <alignment horizontal="center" vertical="center" wrapText="1"/>
    </xf>
    <xf numFmtId="0" fontId="42" fillId="27" borderId="78" xfId="75" applyFont="1" applyFill="1" applyBorder="1" applyAlignment="1">
      <alignment horizontal="center" vertical="center" wrapText="1"/>
    </xf>
    <xf numFmtId="0" fontId="45" fillId="0" borderId="14" xfId="71" applyNumberFormat="1" applyFont="1" applyFill="1" applyBorder="1" applyAlignment="1" applyProtection="1">
      <alignment horizontal="center" vertical="center" readingOrder="1"/>
      <protection locked="0"/>
    </xf>
    <xf numFmtId="175" fontId="43" fillId="29" borderId="14" xfId="64" applyNumberFormat="1" applyFont="1" applyFill="1" applyBorder="1" applyAlignment="1" applyProtection="1">
      <alignment horizontal="center" vertical="center"/>
    </xf>
    <xf numFmtId="165" fontId="45" fillId="0" borderId="14" xfId="71" applyNumberFormat="1" applyFont="1" applyFill="1" applyBorder="1" applyAlignment="1" applyProtection="1">
      <alignment horizontal="center" vertical="center" readingOrder="1"/>
      <protection locked="0"/>
    </xf>
    <xf numFmtId="165" fontId="43" fillId="30" borderId="14" xfId="71" applyNumberFormat="1" applyFont="1" applyFill="1" applyBorder="1" applyAlignment="1" applyProtection="1">
      <alignment horizontal="center"/>
    </xf>
    <xf numFmtId="165" fontId="43" fillId="30" borderId="49" xfId="71" applyNumberFormat="1" applyFont="1" applyFill="1" applyBorder="1" applyAlignment="1" applyProtection="1">
      <alignment horizontal="center"/>
    </xf>
    <xf numFmtId="1" fontId="43" fillId="29" borderId="56" xfId="48" applyNumberFormat="1" applyFont="1" applyFill="1" applyBorder="1" applyAlignment="1">
      <alignment horizontal="center"/>
    </xf>
    <xf numFmtId="1" fontId="43" fillId="29" borderId="41" xfId="48" applyNumberFormat="1" applyFont="1" applyFill="1" applyBorder="1" applyAlignment="1">
      <alignment horizontal="right"/>
    </xf>
    <xf numFmtId="165" fontId="45" fillId="0" borderId="41" xfId="71" applyNumberFormat="1" applyFont="1" applyFill="1" applyBorder="1" applyAlignment="1" applyProtection="1">
      <alignment horizontal="center" vertical="center" readingOrder="1"/>
      <protection locked="0"/>
    </xf>
    <xf numFmtId="9" fontId="43" fillId="30" borderId="14" xfId="39" applyFont="1" applyFill="1" applyBorder="1" applyAlignment="1" applyProtection="1">
      <alignment horizontal="center"/>
    </xf>
    <xf numFmtId="0" fontId="37" fillId="0" borderId="48" xfId="48" applyFont="1" applyBorder="1"/>
    <xf numFmtId="1" fontId="43" fillId="29" borderId="14" xfId="48" applyNumberFormat="1" applyFont="1" applyFill="1" applyBorder="1" applyAlignment="1">
      <alignment horizontal="center"/>
    </xf>
    <xf numFmtId="0" fontId="37" fillId="0" borderId="47" xfId="48" applyFont="1" applyBorder="1"/>
    <xf numFmtId="0" fontId="37" fillId="0" borderId="56" xfId="48" applyFont="1" applyBorder="1"/>
    <xf numFmtId="171" fontId="50" fillId="34" borderId="19" xfId="48" applyNumberFormat="1" applyFont="1" applyFill="1" applyBorder="1" applyAlignment="1">
      <alignment horizontal="right"/>
    </xf>
    <xf numFmtId="10" fontId="43" fillId="29" borderId="14" xfId="70" applyNumberFormat="1" applyFont="1" applyFill="1" applyBorder="1" applyAlignment="1" applyProtection="1">
      <alignment horizontal="right"/>
    </xf>
    <xf numFmtId="175" fontId="43" fillId="29" borderId="14" xfId="48" applyNumberFormat="1" applyFont="1" applyFill="1" applyBorder="1" applyAlignment="1">
      <alignment horizontal="right"/>
    </xf>
    <xf numFmtId="170" fontId="45" fillId="29" borderId="14" xfId="49" applyNumberFormat="1" applyFont="1" applyFill="1" applyBorder="1" applyAlignment="1" applyProtection="1">
      <alignment horizontal="center"/>
    </xf>
    <xf numFmtId="175" fontId="45" fillId="29" borderId="14" xfId="48" applyNumberFormat="1" applyFont="1" applyFill="1" applyBorder="1" applyAlignment="1">
      <alignment horizontal="right"/>
    </xf>
    <xf numFmtId="0" fontId="45" fillId="29" borderId="14" xfId="48" applyFont="1" applyFill="1" applyBorder="1" applyAlignment="1">
      <alignment horizontal="center"/>
    </xf>
    <xf numFmtId="10" fontId="45" fillId="29" borderId="14" xfId="70" applyNumberFormat="1" applyFont="1" applyFill="1" applyBorder="1" applyAlignment="1" applyProtection="1">
      <alignment horizontal="center"/>
    </xf>
    <xf numFmtId="165" fontId="45" fillId="30" borderId="14" xfId="71" applyNumberFormat="1" applyFont="1" applyFill="1" applyBorder="1" applyAlignment="1" applyProtection="1">
      <alignment horizontal="center"/>
    </xf>
    <xf numFmtId="10" fontId="43" fillId="30" borderId="14" xfId="49" applyNumberFormat="1" applyFont="1" applyFill="1" applyBorder="1" applyAlignment="1" applyProtection="1">
      <alignment horizontal="center"/>
    </xf>
    <xf numFmtId="10" fontId="43" fillId="29" borderId="41" xfId="70" applyNumberFormat="1" applyFont="1" applyFill="1" applyBorder="1" applyAlignment="1" applyProtection="1">
      <alignment horizontal="right"/>
    </xf>
    <xf numFmtId="165" fontId="45" fillId="0" borderId="41" xfId="71" applyNumberFormat="1" applyFont="1" applyFill="1" applyBorder="1" applyAlignment="1" applyProtection="1">
      <alignment vertical="center" readingOrder="1"/>
      <protection locked="0"/>
    </xf>
    <xf numFmtId="175" fontId="43" fillId="29" borderId="41" xfId="48" applyNumberFormat="1" applyFont="1" applyFill="1" applyBorder="1" applyAlignment="1">
      <alignment horizontal="right"/>
    </xf>
    <xf numFmtId="170" fontId="45" fillId="29" borderId="41" xfId="49" applyNumberFormat="1" applyFont="1" applyFill="1" applyBorder="1" applyAlignment="1" applyProtection="1">
      <alignment horizontal="center"/>
    </xf>
    <xf numFmtId="175" fontId="45" fillId="29" borderId="41" xfId="48" applyNumberFormat="1" applyFont="1" applyFill="1" applyBorder="1" applyAlignment="1">
      <alignment horizontal="right"/>
    </xf>
    <xf numFmtId="0" fontId="45" fillId="29" borderId="41" xfId="48" applyFont="1" applyFill="1" applyBorder="1" applyAlignment="1">
      <alignment horizontal="center"/>
    </xf>
    <xf numFmtId="10" fontId="45" fillId="29" borderId="41" xfId="70" applyNumberFormat="1" applyFont="1" applyFill="1" applyBorder="1" applyAlignment="1" applyProtection="1">
      <alignment horizontal="center"/>
    </xf>
    <xf numFmtId="165" fontId="45" fillId="30" borderId="41" xfId="71" applyNumberFormat="1" applyFont="1" applyFill="1" applyBorder="1" applyAlignment="1" applyProtection="1">
      <alignment horizontal="center"/>
    </xf>
    <xf numFmtId="0" fontId="38" fillId="27" borderId="52" xfId="47" applyFont="1" applyFill="1" applyBorder="1" applyAlignment="1">
      <alignment horizontal="center" vertical="center" wrapText="1"/>
    </xf>
    <xf numFmtId="4" fontId="54" fillId="33" borderId="14" xfId="0" applyNumberFormat="1" applyFont="1" applyFill="1" applyBorder="1" applyAlignment="1">
      <alignment horizontal="center"/>
    </xf>
    <xf numFmtId="0" fontId="43" fillId="30" borderId="69" xfId="47" applyFont="1" applyFill="1" applyBorder="1" applyAlignment="1">
      <alignment horizontal="center" vertical="center" wrapText="1"/>
    </xf>
    <xf numFmtId="9" fontId="43" fillId="30" borderId="70" xfId="39" applyFont="1" applyFill="1" applyBorder="1" applyAlignment="1" applyProtection="1">
      <alignment horizontal="center" vertical="center" wrapText="1"/>
    </xf>
    <xf numFmtId="1" fontId="43" fillId="29" borderId="48" xfId="0" applyNumberFormat="1" applyFont="1" applyFill="1" applyBorder="1" applyAlignment="1">
      <alignment horizontal="center" vertical="center"/>
    </xf>
    <xf numFmtId="9" fontId="45" fillId="35" borderId="49" xfId="39" applyFont="1" applyFill="1" applyBorder="1" applyAlignment="1" applyProtection="1">
      <alignment horizontal="center" vertical="center" readingOrder="1"/>
    </xf>
    <xf numFmtId="1" fontId="43" fillId="29" borderId="47" xfId="0" applyNumberFormat="1" applyFont="1" applyFill="1" applyBorder="1" applyAlignment="1">
      <alignment horizontal="center" vertical="center"/>
    </xf>
    <xf numFmtId="9" fontId="45" fillId="35" borderId="55" xfId="39" applyFont="1" applyFill="1" applyBorder="1" applyAlignment="1" applyProtection="1">
      <alignment horizontal="center" vertical="center" readingOrder="1"/>
    </xf>
    <xf numFmtId="1" fontId="43" fillId="29" borderId="56" xfId="0" applyNumberFormat="1" applyFont="1" applyFill="1" applyBorder="1" applyAlignment="1">
      <alignment horizontal="center" vertical="center"/>
    </xf>
    <xf numFmtId="9" fontId="45" fillId="35" borderId="51" xfId="39" applyFont="1" applyFill="1" applyBorder="1" applyAlignment="1" applyProtection="1">
      <alignment horizontal="center" vertical="center" readingOrder="1"/>
    </xf>
    <xf numFmtId="49" fontId="37" fillId="0" borderId="0" xfId="47" applyNumberFormat="1" applyFont="1"/>
    <xf numFmtId="0" fontId="37" fillId="0" borderId="0" xfId="47" applyFont="1" applyAlignment="1">
      <alignment horizontal="center" wrapText="1"/>
    </xf>
    <xf numFmtId="0" fontId="37" fillId="0" borderId="41" xfId="47" applyFont="1" applyBorder="1" applyAlignment="1">
      <alignment horizontal="center"/>
    </xf>
    <xf numFmtId="0" fontId="45" fillId="35" borderId="72" xfId="52" applyNumberFormat="1" applyFont="1" applyFill="1" applyBorder="1" applyAlignment="1" applyProtection="1">
      <alignment horizontal="center" vertical="center"/>
    </xf>
    <xf numFmtId="1" fontId="45" fillId="35" borderId="49" xfId="71" applyNumberFormat="1" applyFont="1" applyFill="1" applyBorder="1" applyAlignment="1" applyProtection="1">
      <alignment horizontal="center" vertical="center" readingOrder="1"/>
    </xf>
    <xf numFmtId="1" fontId="45" fillId="35" borderId="53" xfId="71" applyNumberFormat="1" applyFont="1" applyFill="1" applyBorder="1" applyAlignment="1" applyProtection="1">
      <alignment horizontal="center" vertical="center" readingOrder="1"/>
    </xf>
    <xf numFmtId="1" fontId="45" fillId="35" borderId="70" xfId="71" applyNumberFormat="1" applyFont="1" applyFill="1" applyBorder="1" applyAlignment="1" applyProtection="1">
      <alignment horizontal="center" vertical="center" readingOrder="1"/>
    </xf>
    <xf numFmtId="0" fontId="40" fillId="0" borderId="0" xfId="72" applyFont="1"/>
    <xf numFmtId="9" fontId="45" fillId="35" borderId="10" xfId="49" applyFont="1" applyFill="1" applyBorder="1" applyAlignment="1" applyProtection="1">
      <alignment horizontal="center" vertical="center" readingOrder="1"/>
    </xf>
    <xf numFmtId="168" fontId="45" fillId="35" borderId="10" xfId="71" applyNumberFormat="1" applyFont="1" applyFill="1" applyBorder="1" applyAlignment="1" applyProtection="1">
      <alignment horizontal="center" vertical="center" readingOrder="1"/>
    </xf>
    <xf numFmtId="1" fontId="39" fillId="35" borderId="49" xfId="0" applyNumberFormat="1" applyFont="1" applyFill="1" applyBorder="1" applyAlignment="1" applyProtection="1">
      <alignment horizontal="center" vertical="center"/>
      <protection locked="0"/>
    </xf>
    <xf numFmtId="4" fontId="43" fillId="30" borderId="10" xfId="0" applyNumberFormat="1" applyFont="1" applyFill="1" applyBorder="1" applyAlignment="1">
      <alignment horizontal="center"/>
    </xf>
    <xf numFmtId="1" fontId="43" fillId="29" borderId="0" xfId="0" applyNumberFormat="1" applyFont="1" applyFill="1" applyAlignment="1">
      <alignment horizontal="center" vertical="center"/>
    </xf>
    <xf numFmtId="1" fontId="43" fillId="29" borderId="62" xfId="0" applyNumberFormat="1" applyFont="1" applyFill="1" applyBorder="1" applyAlignment="1">
      <alignment horizontal="center" vertical="center"/>
    </xf>
    <xf numFmtId="167" fontId="43" fillId="30" borderId="55" xfId="65" applyFont="1" applyFill="1" applyBorder="1" applyAlignment="1" applyProtection="1">
      <alignment horizontal="center"/>
    </xf>
    <xf numFmtId="1" fontId="43" fillId="29" borderId="71" xfId="51" applyNumberFormat="1" applyFont="1" applyFill="1" applyBorder="1" applyAlignment="1">
      <alignment horizontal="center"/>
    </xf>
    <xf numFmtId="4" fontId="45" fillId="0" borderId="10" xfId="52" applyNumberFormat="1" applyFont="1" applyFill="1" applyBorder="1" applyAlignment="1" applyProtection="1">
      <alignment horizontal="center" vertical="center" readingOrder="1"/>
      <protection locked="0"/>
    </xf>
    <xf numFmtId="0" fontId="45" fillId="35" borderId="10" xfId="52" applyNumberFormat="1" applyFont="1" applyFill="1" applyBorder="1" applyAlignment="1" applyProtection="1">
      <alignment horizontal="center" vertical="center"/>
    </xf>
    <xf numFmtId="0" fontId="51" fillId="0" borderId="10" xfId="51" applyFont="1" applyBorder="1" applyAlignment="1">
      <alignment horizontal="center"/>
    </xf>
    <xf numFmtId="167" fontId="43" fillId="30" borderId="72" xfId="65" applyFont="1" applyFill="1" applyBorder="1" applyAlignment="1" applyProtection="1">
      <alignment horizontal="center"/>
    </xf>
    <xf numFmtId="0" fontId="42" fillId="27" borderId="62" xfId="47" applyFont="1" applyFill="1" applyBorder="1" applyAlignment="1">
      <alignment horizontal="center" vertical="center" wrapText="1"/>
    </xf>
    <xf numFmtId="0" fontId="59" fillId="0" borderId="10" xfId="0" applyFont="1" applyBorder="1" applyAlignment="1" applyProtection="1">
      <alignment horizontal="center"/>
      <protection locked="0"/>
    </xf>
    <xf numFmtId="0" fontId="16" fillId="0" borderId="0" xfId="49" applyNumberFormat="1" applyProtection="1">
      <protection locked="0"/>
    </xf>
    <xf numFmtId="171" fontId="50" fillId="34" borderId="0" xfId="48" applyNumberFormat="1" applyFont="1" applyFill="1" applyAlignment="1" applyProtection="1">
      <alignment horizontal="right"/>
      <protection locked="0"/>
    </xf>
    <xf numFmtId="169" fontId="54" fillId="0" borderId="10" xfId="64" applyNumberFormat="1" applyFont="1" applyFill="1" applyBorder="1" applyAlignment="1" applyProtection="1">
      <alignment horizontal="center" vertical="center" readingOrder="1"/>
      <protection locked="0"/>
    </xf>
    <xf numFmtId="0" fontId="37" fillId="0" borderId="59" xfId="48" applyFont="1" applyBorder="1"/>
    <xf numFmtId="0" fontId="37" fillId="0" borderId="50" xfId="48" applyFont="1" applyBorder="1"/>
    <xf numFmtId="0" fontId="37" fillId="32" borderId="0" xfId="47" applyFont="1" applyFill="1"/>
    <xf numFmtId="4" fontId="54" fillId="32" borderId="10" xfId="0" applyNumberFormat="1" applyFont="1" applyFill="1" applyBorder="1" applyAlignment="1">
      <alignment horizontal="center"/>
    </xf>
    <xf numFmtId="0" fontId="37" fillId="0" borderId="47" xfId="47" applyFont="1" applyBorder="1" applyAlignment="1">
      <alignment horizontal="center"/>
    </xf>
    <xf numFmtId="0" fontId="37" fillId="0" borderId="56" xfId="47" applyFont="1" applyBorder="1" applyAlignment="1">
      <alignment horizontal="center"/>
    </xf>
    <xf numFmtId="167" fontId="43" fillId="29" borderId="10" xfId="65" applyFont="1" applyFill="1" applyBorder="1" applyAlignment="1" applyProtection="1">
      <alignment horizontal="right"/>
    </xf>
    <xf numFmtId="1" fontId="45" fillId="29" borderId="10" xfId="48" applyNumberFormat="1" applyFont="1" applyFill="1" applyBorder="1" applyAlignment="1">
      <alignment horizontal="right"/>
    </xf>
    <xf numFmtId="177" fontId="45" fillId="29" borderId="10" xfId="65" applyNumberFormat="1" applyFont="1" applyFill="1" applyBorder="1" applyAlignment="1" applyProtection="1">
      <alignment horizontal="center"/>
    </xf>
    <xf numFmtId="10" fontId="45" fillId="30" borderId="10" xfId="49" applyNumberFormat="1" applyFont="1" applyFill="1" applyBorder="1" applyAlignment="1" applyProtection="1">
      <alignment horizontal="center"/>
    </xf>
    <xf numFmtId="169" fontId="45" fillId="30" borderId="10" xfId="48" applyNumberFormat="1" applyFont="1" applyFill="1" applyBorder="1" applyAlignment="1">
      <alignment horizontal="center"/>
    </xf>
    <xf numFmtId="165" fontId="45" fillId="30" borderId="72" xfId="71" applyNumberFormat="1" applyFont="1" applyFill="1" applyBorder="1" applyAlignment="1" applyProtection="1">
      <alignment horizontal="center"/>
    </xf>
    <xf numFmtId="165" fontId="45" fillId="30" borderId="55" xfId="71" applyNumberFormat="1" applyFont="1" applyFill="1" applyBorder="1" applyAlignment="1" applyProtection="1">
      <alignment horizontal="center"/>
    </xf>
    <xf numFmtId="165" fontId="43" fillId="30" borderId="10" xfId="71" applyNumberFormat="1" applyFont="1" applyFill="1" applyBorder="1" applyAlignment="1" applyProtection="1">
      <alignment horizontal="center"/>
    </xf>
    <xf numFmtId="170" fontId="45" fillId="30" borderId="10" xfId="39" applyNumberFormat="1" applyFont="1" applyFill="1" applyBorder="1" applyAlignment="1" applyProtection="1">
      <alignment horizontal="center"/>
    </xf>
    <xf numFmtId="0" fontId="37" fillId="0" borderId="62" xfId="48" applyFont="1" applyBorder="1"/>
    <xf numFmtId="0" fontId="41" fillId="31" borderId="24" xfId="48" applyFont="1" applyFill="1" applyBorder="1" applyAlignment="1">
      <alignment horizontal="center"/>
    </xf>
    <xf numFmtId="9" fontId="39" fillId="28" borderId="24" xfId="39" applyFont="1" applyFill="1" applyBorder="1" applyAlignment="1">
      <alignment horizontal="center" vertical="center"/>
    </xf>
    <xf numFmtId="1" fontId="43" fillId="29" borderId="48" xfId="48" applyNumberFormat="1" applyFont="1" applyFill="1" applyBorder="1" applyAlignment="1">
      <alignment horizontal="center" vertical="center" wrapText="1"/>
    </xf>
    <xf numFmtId="178" fontId="50" fillId="34" borderId="24" xfId="48" applyNumberFormat="1" applyFont="1" applyFill="1" applyBorder="1" applyAlignment="1">
      <alignment horizontal="right" vertical="center"/>
    </xf>
    <xf numFmtId="179" fontId="43" fillId="34" borderId="24" xfId="39" applyNumberFormat="1" applyFont="1" applyFill="1" applyBorder="1" applyAlignment="1">
      <alignment horizontal="center" vertical="center"/>
    </xf>
    <xf numFmtId="1" fontId="45" fillId="32" borderId="10" xfId="52" applyNumberFormat="1" applyFont="1" applyFill="1" applyBorder="1" applyAlignment="1" applyProtection="1">
      <alignment horizontal="center" vertical="center" readingOrder="1"/>
      <protection locked="0"/>
    </xf>
    <xf numFmtId="169" fontId="42" fillId="27" borderId="53" xfId="39" applyNumberFormat="1" applyFont="1" applyFill="1" applyBorder="1" applyAlignment="1" applyProtection="1">
      <alignment horizontal="center" vertical="center" wrapText="1"/>
    </xf>
    <xf numFmtId="4" fontId="43" fillId="30" borderId="72" xfId="64" applyNumberFormat="1" applyFont="1" applyFill="1" applyBorder="1" applyAlignment="1" applyProtection="1">
      <alignment horizontal="center"/>
    </xf>
    <xf numFmtId="169" fontId="43" fillId="30" borderId="80" xfId="64" applyNumberFormat="1" applyFont="1" applyFill="1" applyBorder="1" applyAlignment="1" applyProtection="1">
      <alignment horizontal="center"/>
    </xf>
    <xf numFmtId="3" fontId="43" fillId="30" borderId="10" xfId="64" applyNumberFormat="1" applyFont="1" applyFill="1" applyBorder="1" applyAlignment="1" applyProtection="1">
      <alignment horizontal="center"/>
    </xf>
    <xf numFmtId="169" fontId="43" fillId="30" borderId="10" xfId="64" applyNumberFormat="1" applyFont="1" applyFill="1" applyBorder="1" applyAlignment="1" applyProtection="1">
      <alignment horizontal="center"/>
    </xf>
    <xf numFmtId="10" fontId="43" fillId="30" borderId="89" xfId="39" applyNumberFormat="1" applyFont="1" applyFill="1" applyBorder="1" applyAlignment="1" applyProtection="1">
      <alignment horizontal="center"/>
    </xf>
    <xf numFmtId="169" fontId="43" fillId="30" borderId="72" xfId="64" applyNumberFormat="1" applyFont="1" applyFill="1" applyBorder="1" applyAlignment="1" applyProtection="1">
      <alignment horizontal="center"/>
    </xf>
    <xf numFmtId="169" fontId="43" fillId="30" borderId="96" xfId="64" applyNumberFormat="1" applyFont="1" applyFill="1" applyBorder="1" applyAlignment="1" applyProtection="1">
      <alignment horizontal="center"/>
    </xf>
    <xf numFmtId="169" fontId="43" fillId="30" borderId="55" xfId="64" applyNumberFormat="1" applyFont="1" applyFill="1" applyBorder="1" applyAlignment="1" applyProtection="1">
      <alignment horizontal="center"/>
    </xf>
    <xf numFmtId="169" fontId="43" fillId="30" borderId="101" xfId="64" applyNumberFormat="1" applyFont="1" applyFill="1" applyBorder="1" applyAlignment="1" applyProtection="1">
      <alignment horizontal="center"/>
    </xf>
    <xf numFmtId="10" fontId="43" fillId="30" borderId="102" xfId="39" applyNumberFormat="1" applyFont="1" applyFill="1" applyBorder="1" applyAlignment="1" applyProtection="1">
      <alignment horizontal="center"/>
    </xf>
    <xf numFmtId="169" fontId="43" fillId="30" borderId="92" xfId="64" applyNumberFormat="1" applyFont="1" applyFill="1" applyBorder="1" applyAlignment="1" applyProtection="1">
      <alignment horizontal="center"/>
    </xf>
    <xf numFmtId="3" fontId="45" fillId="35" borderId="53" xfId="71" applyNumberFormat="1" applyFont="1" applyFill="1" applyBorder="1" applyAlignment="1" applyProtection="1">
      <alignment horizontal="center" vertical="center" readingOrder="1"/>
    </xf>
    <xf numFmtId="3" fontId="43" fillId="29" borderId="62" xfId="0" applyNumberFormat="1" applyFont="1" applyFill="1" applyBorder="1" applyAlignment="1">
      <alignment horizontal="center" vertical="center"/>
    </xf>
    <xf numFmtId="4" fontId="43" fillId="30" borderId="80" xfId="64" applyNumberFormat="1" applyFont="1" applyFill="1" applyBorder="1" applyAlignment="1" applyProtection="1">
      <alignment horizontal="center"/>
    </xf>
    <xf numFmtId="1" fontId="45" fillId="32" borderId="10" xfId="71" applyNumberFormat="1" applyFont="1" applyFill="1" applyBorder="1" applyAlignment="1" applyProtection="1">
      <alignment horizontal="center" vertical="center" readingOrder="1"/>
      <protection locked="0"/>
    </xf>
    <xf numFmtId="1" fontId="43" fillId="29" borderId="60" xfId="48" applyNumberFormat="1" applyFont="1" applyFill="1" applyBorder="1" applyAlignment="1">
      <alignment horizontal="center" vertical="center"/>
    </xf>
    <xf numFmtId="1" fontId="43" fillId="29" borderId="60" xfId="48" applyNumberFormat="1" applyFont="1" applyFill="1" applyBorder="1" applyAlignment="1">
      <alignment horizontal="right" vertical="center"/>
    </xf>
    <xf numFmtId="1" fontId="43" fillId="29" borderId="14" xfId="48" applyNumberFormat="1" applyFont="1" applyFill="1" applyBorder="1" applyAlignment="1">
      <alignment horizontal="right" vertical="center"/>
    </xf>
    <xf numFmtId="174" fontId="43" fillId="29" borderId="14" xfId="64" applyNumberFormat="1" applyFont="1" applyFill="1" applyBorder="1" applyAlignment="1" applyProtection="1">
      <alignment horizontal="center" vertical="center"/>
    </xf>
    <xf numFmtId="9" fontId="43" fillId="29" borderId="14" xfId="48" applyNumberFormat="1" applyFont="1" applyFill="1" applyBorder="1" applyAlignment="1">
      <alignment horizontal="center" vertical="center"/>
    </xf>
    <xf numFmtId="3" fontId="43" fillId="29" borderId="14" xfId="48" applyNumberFormat="1" applyFont="1" applyFill="1" applyBorder="1" applyAlignment="1">
      <alignment horizontal="center" vertical="center"/>
    </xf>
    <xf numFmtId="1" fontId="43" fillId="29" borderId="84" xfId="48" applyNumberFormat="1" applyFont="1" applyFill="1" applyBorder="1" applyAlignment="1">
      <alignment horizontal="center" vertical="center"/>
    </xf>
    <xf numFmtId="1" fontId="43" fillId="29" borderId="84" xfId="48" applyNumberFormat="1" applyFont="1" applyFill="1" applyBorder="1" applyAlignment="1">
      <alignment horizontal="right" vertical="center"/>
    </xf>
    <xf numFmtId="0" fontId="46" fillId="31" borderId="54" xfId="48" applyFont="1" applyFill="1" applyBorder="1"/>
    <xf numFmtId="0" fontId="46" fillId="31" borderId="90" xfId="48" applyFont="1" applyFill="1" applyBorder="1"/>
    <xf numFmtId="169" fontId="39" fillId="28" borderId="91" xfId="49" applyNumberFormat="1" applyFont="1" applyFill="1" applyBorder="1" applyAlignment="1" applyProtection="1">
      <alignment horizontal="center" vertical="center"/>
    </xf>
    <xf numFmtId="169" fontId="39" fillId="28" borderId="28" xfId="49" applyNumberFormat="1" applyFont="1" applyFill="1" applyBorder="1" applyAlignment="1" applyProtection="1">
      <alignment horizontal="center" vertical="center"/>
    </xf>
    <xf numFmtId="169" fontId="39" fillId="28" borderId="13" xfId="49" applyNumberFormat="1" applyFont="1" applyFill="1" applyBorder="1" applyAlignment="1" applyProtection="1">
      <alignment horizontal="center" vertical="center"/>
    </xf>
    <xf numFmtId="2" fontId="43" fillId="30" borderId="14" xfId="48" applyNumberFormat="1" applyFont="1" applyFill="1" applyBorder="1" applyAlignment="1">
      <alignment horizontal="center"/>
    </xf>
    <xf numFmtId="22" fontId="0" fillId="0" borderId="0" xfId="0" applyNumberFormat="1"/>
    <xf numFmtId="0" fontId="67" fillId="27" borderId="41" xfId="75" applyFont="1" applyFill="1" applyBorder="1" applyAlignment="1">
      <alignment horizontal="center" vertical="center" wrapText="1"/>
    </xf>
    <xf numFmtId="0" fontId="42" fillId="32" borderId="14" xfId="72" applyFont="1" applyFill="1" applyBorder="1" applyAlignment="1">
      <alignment horizontal="center" vertical="center" wrapText="1"/>
    </xf>
    <xf numFmtId="0" fontId="42" fillId="32" borderId="41" xfId="72" applyFont="1" applyFill="1" applyBorder="1" applyAlignment="1">
      <alignment horizontal="center" vertical="center" wrapText="1"/>
    </xf>
    <xf numFmtId="0" fontId="41" fillId="31" borderId="0" xfId="0" applyFont="1" applyFill="1" applyAlignment="1">
      <alignment horizontal="center"/>
    </xf>
    <xf numFmtId="0" fontId="42" fillId="27" borderId="24" xfId="47" applyFont="1" applyFill="1" applyBorder="1" applyAlignment="1">
      <alignment horizontal="centerContinuous" vertical="center" wrapText="1"/>
    </xf>
    <xf numFmtId="0" fontId="70" fillId="27" borderId="48" xfId="84" applyFont="1" applyFill="1" applyBorder="1" applyAlignment="1">
      <alignment horizontal="center" vertical="center" wrapText="1"/>
    </xf>
    <xf numFmtId="1" fontId="71" fillId="30" borderId="49" xfId="48" applyNumberFormat="1" applyFont="1" applyFill="1" applyBorder="1" applyAlignment="1">
      <alignment horizontal="center" vertical="center"/>
    </xf>
    <xf numFmtId="0" fontId="72" fillId="0" borderId="0" xfId="78" applyFont="1" applyAlignment="1">
      <alignment horizontal="center" vertical="center"/>
    </xf>
    <xf numFmtId="0" fontId="72" fillId="0" borderId="0" xfId="78" applyFont="1"/>
    <xf numFmtId="0" fontId="70" fillId="27" borderId="56" xfId="84" applyFont="1" applyFill="1" applyBorder="1" applyAlignment="1">
      <alignment horizontal="center" vertical="center" wrapText="1"/>
    </xf>
    <xf numFmtId="169" fontId="71" fillId="30" borderId="51" xfId="48" applyNumberFormat="1" applyFont="1" applyFill="1" applyBorder="1" applyAlignment="1">
      <alignment horizontal="center" vertical="center"/>
    </xf>
    <xf numFmtId="0" fontId="72" fillId="0" borderId="100" xfId="78" applyFont="1" applyBorder="1" applyAlignment="1">
      <alignment horizontal="center" vertical="center"/>
    </xf>
    <xf numFmtId="0" fontId="67" fillId="27" borderId="14" xfId="85" applyFont="1" applyFill="1" applyBorder="1" applyAlignment="1">
      <alignment horizontal="center" vertical="center" wrapText="1"/>
    </xf>
    <xf numFmtId="0" fontId="67" fillId="27" borderId="19" xfId="85" applyFont="1" applyFill="1" applyBorder="1" applyAlignment="1">
      <alignment horizontal="center" vertical="center" wrapText="1"/>
    </xf>
    <xf numFmtId="3" fontId="76" fillId="0" borderId="10" xfId="71" applyNumberFormat="1" applyFont="1" applyFill="1" applyBorder="1" applyAlignment="1" applyProtection="1">
      <alignment horizontal="center" vertical="center" readingOrder="1"/>
      <protection locked="0"/>
    </xf>
    <xf numFmtId="3" fontId="79" fillId="28" borderId="24" xfId="48" applyNumberFormat="1" applyFont="1" applyFill="1" applyBorder="1" applyAlignment="1">
      <alignment horizontal="center" vertical="center"/>
    </xf>
    <xf numFmtId="0" fontId="80" fillId="0" borderId="0" xfId="78" applyFont="1"/>
    <xf numFmtId="0" fontId="62" fillId="0" borderId="0" xfId="48" applyFont="1"/>
    <xf numFmtId="0" fontId="80" fillId="0" borderId="10" xfId="78" applyFont="1" applyBorder="1"/>
    <xf numFmtId="1" fontId="71" fillId="29" borderId="47" xfId="48" applyNumberFormat="1" applyFont="1" applyFill="1" applyBorder="1" applyAlignment="1">
      <alignment horizontal="center"/>
    </xf>
    <xf numFmtId="165" fontId="45" fillId="0" borderId="106" xfId="71" applyNumberFormat="1" applyFont="1" applyFill="1" applyBorder="1" applyAlignment="1" applyProtection="1">
      <alignment horizontal="center" vertical="center" readingOrder="1"/>
      <protection locked="0"/>
    </xf>
    <xf numFmtId="3" fontId="72" fillId="0" borderId="0" xfId="131" applyNumberFormat="1" applyFont="1"/>
    <xf numFmtId="3" fontId="72" fillId="0" borderId="52" xfId="131" applyNumberFormat="1" applyFont="1" applyBorder="1"/>
    <xf numFmtId="3" fontId="72" fillId="0" borderId="44" xfId="131" applyNumberFormat="1" applyFont="1" applyBorder="1"/>
    <xf numFmtId="3" fontId="72" fillId="0" borderId="43" xfId="131" applyNumberFormat="1" applyFont="1" applyBorder="1"/>
    <xf numFmtId="3" fontId="70" fillId="27" borderId="48" xfId="231" applyNumberFormat="1" applyFont="1" applyFill="1" applyBorder="1" applyAlignment="1">
      <alignment horizontal="center" vertical="center" wrapText="1"/>
    </xf>
    <xf numFmtId="1" fontId="71" fillId="30" borderId="49" xfId="137" applyNumberFormat="1" applyFont="1" applyFill="1" applyBorder="1" applyAlignment="1">
      <alignment horizontal="center" vertical="center"/>
    </xf>
    <xf numFmtId="3" fontId="72" fillId="0" borderId="0" xfId="232" applyNumberFormat="1" applyFont="1"/>
    <xf numFmtId="9" fontId="72" fillId="0" borderId="0" xfId="232" applyNumberFormat="1" applyFont="1"/>
    <xf numFmtId="3" fontId="72" fillId="0" borderId="0" xfId="131" applyNumberFormat="1" applyFont="1" applyAlignment="1">
      <alignment horizontal="center" wrapText="1"/>
    </xf>
    <xf numFmtId="3" fontId="72" fillId="0" borderId="0" xfId="131" applyNumberFormat="1" applyFont="1" applyAlignment="1">
      <alignment horizontal="center"/>
    </xf>
    <xf numFmtId="3" fontId="70" fillId="27" borderId="56" xfId="231" applyNumberFormat="1" applyFont="1" applyFill="1" applyBorder="1" applyAlignment="1">
      <alignment horizontal="center" vertical="center" wrapText="1"/>
    </xf>
    <xf numFmtId="169" fontId="71" fillId="30" borderId="51" xfId="137" applyNumberFormat="1" applyFont="1" applyFill="1" applyBorder="1" applyAlignment="1">
      <alignment horizontal="center" vertical="center"/>
    </xf>
    <xf numFmtId="0" fontId="72" fillId="0" borderId="0" xfId="233" applyFont="1"/>
    <xf numFmtId="0" fontId="9" fillId="0" borderId="0" xfId="233"/>
    <xf numFmtId="3" fontId="83" fillId="0" borderId="48" xfId="131" applyNumberFormat="1" applyFont="1" applyBorder="1" applyAlignment="1">
      <alignment horizontal="center" wrapText="1"/>
    </xf>
    <xf numFmtId="3" fontId="67" fillId="0" borderId="14" xfId="131" applyNumberFormat="1" applyFont="1" applyBorder="1" applyAlignment="1">
      <alignment horizontal="center"/>
    </xf>
    <xf numFmtId="3" fontId="67" fillId="0" borderId="49" xfId="131" applyNumberFormat="1" applyFont="1" applyBorder="1" applyAlignment="1">
      <alignment horizontal="center"/>
    </xf>
    <xf numFmtId="180" fontId="9" fillId="0" borderId="0" xfId="232"/>
    <xf numFmtId="0" fontId="9" fillId="0" borderId="0" xfId="234"/>
    <xf numFmtId="173" fontId="72" fillId="0" borderId="0" xfId="131" applyNumberFormat="1" applyFont="1"/>
    <xf numFmtId="3" fontId="72" fillId="0" borderId="0" xfId="131" applyNumberFormat="1" applyFont="1" applyAlignment="1">
      <alignment horizontal="center" vertical="center"/>
    </xf>
    <xf numFmtId="3" fontId="72" fillId="0" borderId="59" xfId="131" applyNumberFormat="1" applyFont="1" applyBorder="1"/>
    <xf numFmtId="3" fontId="67" fillId="27" borderId="42" xfId="231" applyNumberFormat="1" applyFont="1" applyFill="1" applyBorder="1" applyAlignment="1">
      <alignment horizontal="center" vertical="center" wrapText="1"/>
    </xf>
    <xf numFmtId="3" fontId="67" fillId="27" borderId="58" xfId="231" applyNumberFormat="1" applyFont="1" applyFill="1" applyBorder="1" applyAlignment="1">
      <alignment horizontal="center" vertical="center" wrapText="1"/>
    </xf>
    <xf numFmtId="3" fontId="67" fillId="27" borderId="49" xfId="231" applyNumberFormat="1" applyFont="1" applyFill="1" applyBorder="1" applyAlignment="1">
      <alignment horizontal="center" vertical="center" wrapText="1"/>
    </xf>
    <xf numFmtId="3" fontId="67" fillId="27" borderId="0" xfId="231" applyNumberFormat="1" applyFont="1" applyFill="1" applyAlignment="1">
      <alignment horizontal="center" vertical="center" wrapText="1"/>
    </xf>
    <xf numFmtId="0" fontId="72" fillId="0" borderId="0" xfId="233" applyFont="1" applyAlignment="1">
      <alignment horizontal="center" vertical="center" wrapText="1"/>
    </xf>
    <xf numFmtId="3" fontId="72" fillId="0" borderId="0" xfId="232" applyNumberFormat="1" applyFont="1" applyAlignment="1">
      <alignment wrapText="1"/>
    </xf>
    <xf numFmtId="0" fontId="72" fillId="0" borderId="0" xfId="233" applyFont="1" applyAlignment="1">
      <alignment wrapText="1"/>
    </xf>
    <xf numFmtId="3" fontId="72" fillId="0" borderId="50" xfId="131" applyNumberFormat="1" applyFont="1" applyBorder="1"/>
    <xf numFmtId="3" fontId="84" fillId="27" borderId="41" xfId="231" applyNumberFormat="1" applyFont="1" applyFill="1" applyBorder="1" applyAlignment="1">
      <alignment horizontal="center" vertical="center" wrapText="1"/>
    </xf>
    <xf numFmtId="3" fontId="67" fillId="27" borderId="51" xfId="231" applyNumberFormat="1" applyFont="1" applyFill="1" applyBorder="1" applyAlignment="1">
      <alignment horizontal="center" vertical="center" wrapText="1"/>
    </xf>
    <xf numFmtId="3" fontId="76" fillId="29" borderId="89" xfId="235" applyNumberFormat="1" applyFont="1" applyFill="1" applyBorder="1" applyAlignment="1" applyProtection="1">
      <alignment horizontal="center" vertical="center" readingOrder="2"/>
    </xf>
    <xf numFmtId="3" fontId="76" fillId="35" borderId="89" xfId="235" applyNumberFormat="1" applyFont="1" applyFill="1" applyBorder="1" applyAlignment="1" applyProtection="1">
      <alignment horizontal="right" vertical="center" readingOrder="2"/>
      <protection locked="0"/>
    </xf>
    <xf numFmtId="1" fontId="76" fillId="29" borderId="89" xfId="235" applyNumberFormat="1" applyFont="1" applyFill="1" applyBorder="1" applyAlignment="1" applyProtection="1">
      <alignment horizontal="center" vertical="center" readingOrder="2"/>
      <protection locked="0"/>
    </xf>
    <xf numFmtId="3" fontId="76" fillId="29" borderId="89" xfId="235" applyNumberFormat="1" applyFont="1" applyFill="1" applyBorder="1" applyAlignment="1" applyProtection="1">
      <alignment horizontal="center" vertical="center" readingOrder="2"/>
      <protection locked="0"/>
    </xf>
    <xf numFmtId="3" fontId="45" fillId="29" borderId="89" xfId="235" applyNumberFormat="1" applyFont="1" applyFill="1" applyBorder="1" applyAlignment="1" applyProtection="1">
      <alignment horizontal="center" vertical="center" readingOrder="2"/>
    </xf>
    <xf numFmtId="3" fontId="76" fillId="29" borderId="89" xfId="235" applyNumberFormat="1" applyFont="1" applyFill="1" applyBorder="1" applyAlignment="1" applyProtection="1">
      <alignment horizontal="right" vertical="center" readingOrder="2"/>
      <protection locked="0"/>
    </xf>
    <xf numFmtId="173" fontId="45" fillId="0" borderId="10" xfId="52" applyNumberFormat="1" applyFont="1" applyFill="1" applyBorder="1" applyAlignment="1" applyProtection="1">
      <alignment horizontal="center" vertical="center"/>
    </xf>
    <xf numFmtId="0" fontId="45" fillId="0" borderId="0" xfId="48" applyFont="1" applyAlignment="1">
      <alignment wrapText="1"/>
    </xf>
    <xf numFmtId="169" fontId="39" fillId="28" borderId="28" xfId="49" applyNumberFormat="1" applyFont="1" applyFill="1" applyBorder="1" applyAlignment="1" applyProtection="1">
      <alignment horizontal="center" vertical="center" wrapText="1"/>
    </xf>
    <xf numFmtId="169" fontId="39" fillId="28" borderId="29" xfId="49" applyNumberFormat="1" applyFont="1" applyFill="1" applyBorder="1" applyAlignment="1" applyProtection="1">
      <alignment horizontal="center" vertical="center" wrapText="1"/>
    </xf>
    <xf numFmtId="0" fontId="88" fillId="0" borderId="0" xfId="48" applyFont="1"/>
    <xf numFmtId="1" fontId="43" fillId="29" borderId="14" xfId="48" applyNumberFormat="1" applyFont="1" applyFill="1" applyBorder="1" applyAlignment="1">
      <alignment horizontal="right" vertical="center" wrapText="1"/>
    </xf>
    <xf numFmtId="3" fontId="67" fillId="27" borderId="14" xfId="1212" applyNumberFormat="1" applyFont="1" applyFill="1" applyBorder="1" applyAlignment="1">
      <alignment horizontal="center" vertical="center" wrapText="1"/>
    </xf>
    <xf numFmtId="3" fontId="67" fillId="27" borderId="41" xfId="1212" applyNumberFormat="1" applyFont="1" applyFill="1" applyBorder="1" applyAlignment="1">
      <alignment horizontal="center" vertical="center" wrapText="1"/>
    </xf>
    <xf numFmtId="3" fontId="76" fillId="29" borderId="10" xfId="64" applyNumberFormat="1" applyFont="1" applyFill="1" applyBorder="1" applyAlignment="1" applyProtection="1">
      <alignment horizontal="center" vertical="center"/>
      <protection locked="0"/>
    </xf>
    <xf numFmtId="175" fontId="40" fillId="0" borderId="0" xfId="48" applyNumberFormat="1" applyFont="1"/>
    <xf numFmtId="1" fontId="43" fillId="29" borderId="119" xfId="0" applyNumberFormat="1" applyFont="1" applyFill="1" applyBorder="1" applyAlignment="1">
      <alignment horizontal="center" vertical="center"/>
    </xf>
    <xf numFmtId="1" fontId="55" fillId="29" borderId="119" xfId="0" applyNumberFormat="1" applyFont="1" applyFill="1" applyBorder="1" applyAlignment="1">
      <alignment horizontal="center" vertical="center" readingOrder="2"/>
    </xf>
    <xf numFmtId="9" fontId="43" fillId="29" borderId="119" xfId="39" applyFont="1" applyFill="1" applyBorder="1" applyAlignment="1" applyProtection="1">
      <alignment horizontal="center" vertical="center"/>
    </xf>
    <xf numFmtId="1" fontId="55" fillId="29" borderId="119" xfId="0" applyNumberFormat="1" applyFont="1" applyFill="1" applyBorder="1" applyAlignment="1">
      <alignment horizontal="center" vertical="center" wrapText="1" readingOrder="2"/>
    </xf>
    <xf numFmtId="1" fontId="43" fillId="29" borderId="119" xfId="0" applyNumberFormat="1" applyFont="1" applyFill="1" applyBorder="1" applyAlignment="1">
      <alignment horizontal="center" vertical="center" wrapText="1"/>
    </xf>
    <xf numFmtId="9" fontId="43" fillId="29" borderId="119" xfId="39" applyFont="1" applyFill="1" applyBorder="1" applyAlignment="1" applyProtection="1">
      <alignment horizontal="center" vertical="center" wrapText="1"/>
    </xf>
    <xf numFmtId="168" fontId="43" fillId="29" borderId="119" xfId="0" applyNumberFormat="1" applyFont="1" applyFill="1" applyBorder="1" applyAlignment="1">
      <alignment horizontal="center" vertical="center" wrapText="1"/>
    </xf>
    <xf numFmtId="0" fontId="37" fillId="0" borderId="119" xfId="47" applyFont="1" applyBorder="1" applyAlignment="1">
      <alignment horizontal="center"/>
    </xf>
    <xf numFmtId="49" fontId="37" fillId="0" borderId="119" xfId="47" applyNumberFormat="1" applyFont="1" applyBorder="1" applyAlignment="1">
      <alignment horizontal="center"/>
    </xf>
    <xf numFmtId="0" fontId="37" fillId="0" borderId="119" xfId="47" applyFont="1" applyBorder="1" applyAlignment="1">
      <alignment horizontal="center" vertical="center"/>
    </xf>
    <xf numFmtId="1" fontId="45" fillId="0" borderId="119" xfId="52" applyNumberFormat="1" applyFont="1" applyFill="1" applyBorder="1" applyAlignment="1" applyProtection="1">
      <alignment horizontal="center" vertical="center" readingOrder="1"/>
      <protection locked="0"/>
    </xf>
    <xf numFmtId="1" fontId="45" fillId="32" borderId="119" xfId="52" applyNumberFormat="1" applyFont="1" applyFill="1" applyBorder="1" applyAlignment="1" applyProtection="1">
      <alignment horizontal="center" vertical="center" readingOrder="1"/>
      <protection locked="0"/>
    </xf>
    <xf numFmtId="4" fontId="45" fillId="0" borderId="119" xfId="52" applyNumberFormat="1" applyFont="1" applyFill="1" applyBorder="1" applyAlignment="1" applyProtection="1">
      <alignment horizontal="center" vertical="center" readingOrder="1"/>
      <protection locked="0"/>
    </xf>
    <xf numFmtId="1" fontId="43" fillId="29" borderId="119" xfId="0" applyNumberFormat="1" applyFont="1" applyFill="1" applyBorder="1" applyAlignment="1">
      <alignment horizontal="right"/>
    </xf>
    <xf numFmtId="1" fontId="45" fillId="0" borderId="119" xfId="71" applyNumberFormat="1" applyFont="1" applyFill="1" applyBorder="1" applyAlignment="1" applyProtection="1">
      <alignment horizontal="center" vertical="center" readingOrder="1"/>
      <protection locked="0"/>
    </xf>
    <xf numFmtId="4" fontId="54" fillId="33" borderId="119" xfId="0" applyNumberFormat="1" applyFont="1" applyFill="1" applyBorder="1" applyAlignment="1">
      <alignment horizontal="center"/>
    </xf>
    <xf numFmtId="168" fontId="43" fillId="30" borderId="119" xfId="0" applyNumberFormat="1" applyFont="1" applyFill="1" applyBorder="1" applyAlignment="1">
      <alignment horizontal="center"/>
    </xf>
    <xf numFmtId="1" fontId="54" fillId="33" borderId="119" xfId="0" applyNumberFormat="1" applyFont="1" applyFill="1" applyBorder="1" applyAlignment="1">
      <alignment horizontal="center"/>
    </xf>
    <xf numFmtId="4" fontId="43" fillId="33" borderId="119" xfId="0" applyNumberFormat="1" applyFont="1" applyFill="1" applyBorder="1" applyAlignment="1">
      <alignment horizontal="center"/>
    </xf>
    <xf numFmtId="10" fontId="43" fillId="30" borderId="119" xfId="39" applyNumberFormat="1" applyFont="1" applyFill="1" applyBorder="1" applyAlignment="1" applyProtection="1">
      <alignment horizontal="center"/>
    </xf>
    <xf numFmtId="1" fontId="43" fillId="29" borderId="119" xfId="48" applyNumberFormat="1" applyFont="1" applyFill="1" applyBorder="1" applyAlignment="1">
      <alignment horizontal="right"/>
    </xf>
    <xf numFmtId="2" fontId="43" fillId="30" borderId="119" xfId="48" applyNumberFormat="1" applyFont="1" applyFill="1" applyBorder="1" applyAlignment="1">
      <alignment horizontal="center"/>
    </xf>
    <xf numFmtId="168" fontId="43" fillId="30" borderId="119" xfId="48" applyNumberFormat="1" applyFont="1" applyFill="1" applyBorder="1" applyAlignment="1">
      <alignment horizontal="center"/>
    </xf>
    <xf numFmtId="0" fontId="59" fillId="37" borderId="119" xfId="0" applyFont="1" applyFill="1" applyBorder="1" applyAlignment="1" applyProtection="1">
      <alignment horizontal="center"/>
      <protection locked="0"/>
    </xf>
    <xf numFmtId="3" fontId="43" fillId="30" borderId="119" xfId="0" applyNumberFormat="1" applyFont="1" applyFill="1" applyBorder="1" applyAlignment="1">
      <alignment horizontal="center"/>
    </xf>
    <xf numFmtId="1" fontId="53" fillId="29" borderId="119" xfId="0" applyNumberFormat="1" applyFont="1" applyFill="1" applyBorder="1" applyAlignment="1">
      <alignment horizontal="right"/>
    </xf>
    <xf numFmtId="3" fontId="43" fillId="30" borderId="119" xfId="64" applyNumberFormat="1" applyFont="1" applyFill="1" applyBorder="1" applyAlignment="1" applyProtection="1">
      <alignment horizontal="center"/>
    </xf>
    <xf numFmtId="169" fontId="43" fillId="30" borderId="119" xfId="64" applyNumberFormat="1" applyFont="1" applyFill="1" applyBorder="1" applyAlignment="1" applyProtection="1">
      <alignment horizontal="center"/>
    </xf>
    <xf numFmtId="3" fontId="43" fillId="30" borderId="118" xfId="64" applyNumberFormat="1" applyFont="1" applyFill="1" applyBorder="1" applyAlignment="1" applyProtection="1">
      <alignment horizontal="center"/>
    </xf>
    <xf numFmtId="169" fontId="43" fillId="30" borderId="118" xfId="64" applyNumberFormat="1" applyFont="1" applyFill="1" applyBorder="1" applyAlignment="1" applyProtection="1">
      <alignment horizontal="center"/>
    </xf>
    <xf numFmtId="1" fontId="43" fillId="29" borderId="119" xfId="48" applyNumberFormat="1" applyFont="1" applyFill="1" applyBorder="1" applyAlignment="1">
      <alignment horizontal="center" vertical="center" wrapText="1"/>
    </xf>
    <xf numFmtId="1" fontId="43" fillId="29" borderId="119" xfId="68" applyNumberFormat="1" applyFont="1" applyFill="1" applyBorder="1" applyAlignment="1">
      <alignment horizontal="center" vertical="center" wrapText="1"/>
    </xf>
    <xf numFmtId="0" fontId="42" fillId="27" borderId="118" xfId="74" applyFont="1" applyFill="1" applyBorder="1" applyAlignment="1">
      <alignment horizontal="center" vertical="center" wrapText="1"/>
    </xf>
    <xf numFmtId="0" fontId="42" fillId="27" borderId="118" xfId="72" applyFont="1" applyFill="1" applyBorder="1" applyAlignment="1">
      <alignment horizontal="center" vertical="center" wrapText="1"/>
    </xf>
    <xf numFmtId="0" fontId="45" fillId="0" borderId="119" xfId="71" applyNumberFormat="1" applyFont="1" applyFill="1" applyBorder="1" applyAlignment="1" applyProtection="1">
      <alignment horizontal="center" vertical="center" readingOrder="1"/>
      <protection locked="0"/>
    </xf>
    <xf numFmtId="1" fontId="43" fillId="29" borderId="119" xfId="48" applyNumberFormat="1" applyFont="1" applyFill="1" applyBorder="1" applyAlignment="1">
      <alignment horizontal="center"/>
    </xf>
    <xf numFmtId="165" fontId="43" fillId="29" borderId="119" xfId="64" applyNumberFormat="1" applyFont="1" applyFill="1" applyBorder="1" applyAlignment="1" applyProtection="1">
      <alignment horizontal="right"/>
    </xf>
    <xf numFmtId="175" fontId="43" fillId="29" borderId="119" xfId="64" applyNumberFormat="1" applyFont="1" applyFill="1" applyBorder="1" applyAlignment="1" applyProtection="1">
      <alignment horizontal="center" vertical="center"/>
    </xf>
    <xf numFmtId="165" fontId="45" fillId="0" borderId="119" xfId="71" applyNumberFormat="1" applyFont="1" applyFill="1" applyBorder="1" applyAlignment="1" applyProtection="1">
      <alignment horizontal="center" vertical="center" readingOrder="1"/>
      <protection locked="0"/>
    </xf>
    <xf numFmtId="165" fontId="43" fillId="30" borderId="119" xfId="71" applyNumberFormat="1" applyFont="1" applyFill="1" applyBorder="1" applyAlignment="1" applyProtection="1">
      <alignment horizontal="center"/>
    </xf>
    <xf numFmtId="9" fontId="43" fillId="30" borderId="119" xfId="39" applyFont="1" applyFill="1" applyBorder="1" applyAlignment="1" applyProtection="1">
      <alignment horizontal="center"/>
    </xf>
    <xf numFmtId="0" fontId="67" fillId="27" borderId="119" xfId="75" applyFont="1" applyFill="1" applyBorder="1" applyAlignment="1">
      <alignment horizontal="center" vertical="center" wrapText="1"/>
    </xf>
    <xf numFmtId="3" fontId="68" fillId="35" borderId="119" xfId="48" applyNumberFormat="1" applyFont="1" applyFill="1" applyBorder="1" applyAlignment="1" applyProtection="1">
      <alignment horizontal="center"/>
      <protection locked="0"/>
    </xf>
    <xf numFmtId="0" fontId="43" fillId="29" borderId="119" xfId="49" applyNumberFormat="1" applyFont="1" applyFill="1" applyBorder="1" applyAlignment="1" applyProtection="1">
      <alignment horizontal="center"/>
    </xf>
    <xf numFmtId="10" fontId="43" fillId="29" borderId="119" xfId="49" applyNumberFormat="1" applyFont="1" applyFill="1" applyBorder="1" applyAlignment="1" applyProtection="1">
      <alignment horizontal="center"/>
    </xf>
    <xf numFmtId="0" fontId="51" fillId="29" borderId="119" xfId="70" applyNumberFormat="1" applyFont="1" applyFill="1" applyBorder="1" applyAlignment="1" applyProtection="1">
      <alignment horizontal="center"/>
    </xf>
    <xf numFmtId="10" fontId="51" fillId="29" borderId="119" xfId="70" applyNumberFormat="1" applyFont="1" applyFill="1" applyBorder="1" applyAlignment="1" applyProtection="1">
      <alignment horizontal="center"/>
    </xf>
    <xf numFmtId="10" fontId="43" fillId="30" borderId="119" xfId="49" applyNumberFormat="1" applyFont="1" applyFill="1" applyBorder="1" applyAlignment="1" applyProtection="1">
      <alignment horizontal="center"/>
    </xf>
    <xf numFmtId="9" fontId="43" fillId="29" borderId="119" xfId="49" applyFont="1" applyFill="1" applyBorder="1" applyAlignment="1" applyProtection="1">
      <alignment horizontal="center" vertical="center"/>
    </xf>
    <xf numFmtId="164" fontId="45" fillId="0" borderId="119" xfId="71" applyNumberFormat="1" applyFont="1" applyFill="1" applyBorder="1" applyAlignment="1" applyProtection="1">
      <alignment horizontal="center" vertical="center" readingOrder="1"/>
      <protection locked="0"/>
    </xf>
    <xf numFmtId="10" fontId="43" fillId="29" borderId="119" xfId="70" applyNumberFormat="1" applyFont="1" applyFill="1" applyBorder="1" applyAlignment="1" applyProtection="1">
      <alignment horizontal="right"/>
    </xf>
    <xf numFmtId="175" fontId="43" fillId="29" borderId="119" xfId="48" applyNumberFormat="1" applyFont="1" applyFill="1" applyBorder="1" applyAlignment="1">
      <alignment horizontal="right"/>
    </xf>
    <xf numFmtId="170" fontId="45" fillId="29" borderId="119" xfId="49" applyNumberFormat="1" applyFont="1" applyFill="1" applyBorder="1" applyAlignment="1" applyProtection="1">
      <alignment horizontal="center"/>
    </xf>
    <xf numFmtId="175" fontId="45" fillId="29" borderId="119" xfId="48" applyNumberFormat="1" applyFont="1" applyFill="1" applyBorder="1" applyAlignment="1">
      <alignment horizontal="right"/>
    </xf>
    <xf numFmtId="0" fontId="45" fillId="29" borderId="119" xfId="48" applyFont="1" applyFill="1" applyBorder="1" applyAlignment="1">
      <alignment horizontal="center"/>
    </xf>
    <xf numFmtId="10" fontId="45" fillId="29" borderId="119" xfId="70" applyNumberFormat="1" applyFont="1" applyFill="1" applyBorder="1" applyAlignment="1" applyProtection="1">
      <alignment horizontal="center"/>
    </xf>
    <xf numFmtId="165" fontId="45" fillId="30" borderId="119" xfId="71" applyNumberFormat="1" applyFont="1" applyFill="1" applyBorder="1" applyAlignment="1" applyProtection="1">
      <alignment horizontal="center"/>
    </xf>
    <xf numFmtId="3" fontId="0" fillId="0" borderId="119" xfId="0" applyNumberFormat="1" applyBorder="1" applyProtection="1">
      <protection locked="0"/>
    </xf>
    <xf numFmtId="165" fontId="45" fillId="0" borderId="119" xfId="71" applyNumberFormat="1" applyFont="1" applyFill="1" applyBorder="1" applyAlignment="1" applyProtection="1">
      <alignment vertical="center" readingOrder="1"/>
      <protection locked="0"/>
    </xf>
    <xf numFmtId="177" fontId="45" fillId="29" borderId="119" xfId="65" applyNumberFormat="1" applyFont="1" applyFill="1" applyBorder="1" applyAlignment="1" applyProtection="1">
      <alignment horizontal="center"/>
    </xf>
    <xf numFmtId="10" fontId="45" fillId="30" borderId="119" xfId="49" applyNumberFormat="1" applyFont="1" applyFill="1" applyBorder="1" applyAlignment="1" applyProtection="1">
      <alignment horizontal="center"/>
    </xf>
    <xf numFmtId="0" fontId="73" fillId="0" borderId="118" xfId="78" applyFont="1" applyBorder="1" applyAlignment="1">
      <alignment horizontal="center" vertical="center" wrapText="1"/>
    </xf>
    <xf numFmtId="0" fontId="74" fillId="0" borderId="119" xfId="78" applyFont="1" applyBorder="1" applyAlignment="1">
      <alignment horizontal="center" vertical="center"/>
    </xf>
    <xf numFmtId="2" fontId="74" fillId="0" borderId="119" xfId="78" applyNumberFormat="1" applyFont="1" applyBorder="1" applyAlignment="1">
      <alignment horizontal="center"/>
    </xf>
    <xf numFmtId="169" fontId="76" fillId="33" borderId="119" xfId="49" applyNumberFormat="1" applyFont="1" applyFill="1" applyBorder="1" applyAlignment="1" applyProtection="1">
      <alignment horizontal="center"/>
    </xf>
    <xf numFmtId="169" fontId="71" fillId="30" borderId="119" xfId="49" applyNumberFormat="1" applyFont="1" applyFill="1" applyBorder="1" applyAlignment="1" applyProtection="1">
      <alignment horizontal="center"/>
    </xf>
    <xf numFmtId="169" fontId="76" fillId="29" borderId="119" xfId="49" applyNumberFormat="1" applyFont="1" applyFill="1" applyBorder="1" applyAlignment="1" applyProtection="1">
      <alignment horizontal="center"/>
    </xf>
    <xf numFmtId="0" fontId="77" fillId="0" borderId="119" xfId="78" applyFont="1" applyBorder="1" applyAlignment="1">
      <alignment horizontal="center" vertical="center"/>
    </xf>
    <xf numFmtId="1" fontId="43" fillId="29" borderId="119" xfId="48" applyNumberFormat="1" applyFont="1" applyFill="1" applyBorder="1" applyAlignment="1">
      <alignment horizontal="right" vertical="center"/>
    </xf>
    <xf numFmtId="1" fontId="43" fillId="29" borderId="119" xfId="48" applyNumberFormat="1" applyFont="1" applyFill="1" applyBorder="1" applyAlignment="1">
      <alignment horizontal="right" vertical="center" wrapText="1"/>
    </xf>
    <xf numFmtId="174" fontId="43" fillId="29" borderId="119" xfId="64" applyNumberFormat="1" applyFont="1" applyFill="1" applyBorder="1" applyAlignment="1" applyProtection="1">
      <alignment horizontal="center" vertical="center"/>
    </xf>
    <xf numFmtId="9" fontId="43" fillId="29" borderId="119" xfId="48" applyNumberFormat="1" applyFont="1" applyFill="1" applyBorder="1" applyAlignment="1">
      <alignment horizontal="center" vertical="center"/>
    </xf>
    <xf numFmtId="3" fontId="43" fillId="29" borderId="119" xfId="48" applyNumberFormat="1" applyFont="1" applyFill="1" applyBorder="1" applyAlignment="1">
      <alignment horizontal="center" vertical="center"/>
    </xf>
    <xf numFmtId="1" fontId="42" fillId="34" borderId="57" xfId="0" applyNumberFormat="1" applyFont="1" applyFill="1" applyBorder="1" applyAlignment="1">
      <alignment horizontal="center" vertical="center" wrapText="1"/>
    </xf>
    <xf numFmtId="1" fontId="42" fillId="34" borderId="58" xfId="0" applyNumberFormat="1" applyFont="1" applyFill="1" applyBorder="1" applyAlignment="1">
      <alignment horizontal="center" vertical="center" wrapText="1"/>
    </xf>
    <xf numFmtId="0" fontId="42" fillId="27" borderId="52" xfId="47" applyFont="1" applyFill="1" applyBorder="1" applyAlignment="1">
      <alignment horizontal="center" vertical="center" wrapText="1"/>
    </xf>
    <xf numFmtId="3" fontId="67" fillId="27" borderId="52" xfId="231" applyNumberFormat="1" applyFont="1" applyFill="1" applyBorder="1" applyAlignment="1">
      <alignment horizontal="center" vertical="center" wrapText="1"/>
    </xf>
    <xf numFmtId="3" fontId="67" fillId="27" borderId="44" xfId="231" applyNumberFormat="1" applyFont="1" applyFill="1" applyBorder="1" applyAlignment="1">
      <alignment horizontal="center" vertical="center" wrapText="1"/>
    </xf>
    <xf numFmtId="3" fontId="67" fillId="27" borderId="43" xfId="231" applyNumberFormat="1" applyFont="1" applyFill="1" applyBorder="1" applyAlignment="1">
      <alignment horizontal="center" vertical="center" wrapText="1"/>
    </xf>
    <xf numFmtId="3" fontId="72" fillId="0" borderId="0" xfId="131" applyNumberFormat="1" applyFont="1" applyAlignment="1">
      <alignment horizontal="center" readingOrder="2"/>
    </xf>
    <xf numFmtId="3" fontId="72" fillId="0" borderId="41" xfId="131" applyNumberFormat="1" applyFont="1" applyBorder="1" applyAlignment="1">
      <alignment horizontal="center" readingOrder="2"/>
    </xf>
    <xf numFmtId="3" fontId="72" fillId="0" borderId="0" xfId="131" applyNumberFormat="1" applyFont="1" applyAlignment="1">
      <alignment readingOrder="1"/>
    </xf>
    <xf numFmtId="3" fontId="72" fillId="0" borderId="56" xfId="131" applyNumberFormat="1" applyFont="1" applyBorder="1" applyAlignment="1">
      <alignment readingOrder="1"/>
    </xf>
    <xf numFmtId="3" fontId="72" fillId="0" borderId="41" xfId="131" applyNumberFormat="1" applyFont="1" applyBorder="1" applyAlignment="1">
      <alignment horizontal="center" readingOrder="1"/>
    </xf>
    <xf numFmtId="3" fontId="72" fillId="0" borderId="51" xfId="131" applyNumberFormat="1" applyFont="1" applyBorder="1" applyAlignment="1">
      <alignment horizontal="center" readingOrder="1"/>
    </xf>
    <xf numFmtId="0" fontId="72" fillId="0" borderId="0" xfId="233" applyFont="1" applyAlignment="1">
      <alignment readingOrder="1"/>
    </xf>
    <xf numFmtId="0" fontId="9" fillId="0" borderId="0" xfId="233" applyAlignment="1">
      <alignment readingOrder="1"/>
    </xf>
    <xf numFmtId="3" fontId="72" fillId="0" borderId="0" xfId="232" applyNumberFormat="1" applyFont="1" applyAlignment="1">
      <alignment readingOrder="1"/>
    </xf>
    <xf numFmtId="176" fontId="72" fillId="0" borderId="0" xfId="232" applyNumberFormat="1" applyFont="1" applyAlignment="1">
      <alignment readingOrder="1"/>
    </xf>
    <xf numFmtId="173" fontId="72" fillId="0" borderId="0" xfId="131" applyNumberFormat="1" applyFont="1" applyAlignment="1">
      <alignment horizontal="center" readingOrder="2"/>
    </xf>
    <xf numFmtId="0" fontId="72" fillId="0" borderId="0" xfId="233" applyFont="1" applyAlignment="1">
      <alignment horizontal="center" readingOrder="2"/>
    </xf>
    <xf numFmtId="0" fontId="9" fillId="0" borderId="0" xfId="233" applyAlignment="1">
      <alignment horizontal="center" readingOrder="2"/>
    </xf>
    <xf numFmtId="0" fontId="37" fillId="0" borderId="0" xfId="47" applyFont="1" applyAlignment="1">
      <alignment horizontal="center" readingOrder="2"/>
    </xf>
    <xf numFmtId="2" fontId="45" fillId="35" borderId="10" xfId="235" applyNumberFormat="1" applyFont="1" applyFill="1" applyBorder="1" applyAlignment="1" applyProtection="1">
      <alignment horizontal="center" vertical="center" readingOrder="1"/>
    </xf>
    <xf numFmtId="2" fontId="45" fillId="35" borderId="53" xfId="235" applyNumberFormat="1" applyFont="1" applyFill="1" applyBorder="1" applyAlignment="1" applyProtection="1">
      <alignment horizontal="center" vertical="center" readingOrder="1"/>
    </xf>
    <xf numFmtId="168" fontId="45" fillId="35" borderId="10" xfId="235" applyNumberFormat="1" applyFont="1" applyFill="1" applyBorder="1" applyAlignment="1" applyProtection="1">
      <alignment horizontal="center" vertical="center" readingOrder="1"/>
    </xf>
    <xf numFmtId="1" fontId="45" fillId="35" borderId="10" xfId="235" applyNumberFormat="1" applyFont="1" applyFill="1" applyBorder="1" applyAlignment="1" applyProtection="1">
      <alignment horizontal="center" vertical="center" readingOrder="1"/>
    </xf>
    <xf numFmtId="168" fontId="45" fillId="35" borderId="72" xfId="235" applyNumberFormat="1" applyFont="1" applyFill="1" applyBorder="1" applyAlignment="1" applyProtection="1">
      <alignment horizontal="center" vertical="center" readingOrder="1"/>
    </xf>
    <xf numFmtId="168" fontId="45" fillId="35" borderId="55" xfId="235" applyNumberFormat="1" applyFont="1" applyFill="1" applyBorder="1" applyAlignment="1" applyProtection="1">
      <alignment horizontal="center" vertical="center" readingOrder="1"/>
    </xf>
    <xf numFmtId="168" fontId="54" fillId="35" borderId="10" xfId="235" applyNumberFormat="1" applyFont="1" applyFill="1" applyBorder="1" applyAlignment="1" applyProtection="1">
      <alignment horizontal="center" vertical="center" readingOrder="1"/>
    </xf>
    <xf numFmtId="1" fontId="42" fillId="27" borderId="24" xfId="47" applyNumberFormat="1" applyFont="1" applyFill="1" applyBorder="1" applyAlignment="1">
      <alignment horizontal="center" vertical="center" wrapText="1"/>
    </xf>
    <xf numFmtId="1" fontId="37" fillId="0" borderId="119" xfId="47" applyNumberFormat="1" applyFont="1" applyBorder="1"/>
    <xf numFmtId="10" fontId="37" fillId="0" borderId="0" xfId="47" applyNumberFormat="1" applyFont="1"/>
    <xf numFmtId="10" fontId="43" fillId="30" borderId="10" xfId="0" applyNumberFormat="1" applyFont="1" applyFill="1" applyBorder="1" applyAlignment="1">
      <alignment horizontal="center"/>
    </xf>
    <xf numFmtId="0" fontId="55" fillId="29" borderId="71" xfId="0" applyFont="1" applyFill="1" applyBorder="1" applyAlignment="1">
      <alignment horizontal="center" vertical="center" wrapText="1" readingOrder="2"/>
    </xf>
    <xf numFmtId="0" fontId="55" fillId="29" borderId="47" xfId="0" applyFont="1" applyFill="1" applyBorder="1" applyAlignment="1">
      <alignment horizontal="center" vertical="center" wrapText="1" readingOrder="2"/>
    </xf>
    <xf numFmtId="0" fontId="55" fillId="29" borderId="56" xfId="0" applyFont="1" applyFill="1" applyBorder="1" applyAlignment="1">
      <alignment horizontal="center" vertical="center" wrapText="1" readingOrder="2"/>
    </xf>
    <xf numFmtId="0" fontId="54" fillId="35" borderId="119" xfId="235" applyNumberFormat="1" applyFont="1" applyFill="1" applyBorder="1" applyAlignment="1" applyProtection="1">
      <alignment horizontal="center" vertical="center" readingOrder="1"/>
    </xf>
    <xf numFmtId="0" fontId="54" fillId="35" borderId="80" xfId="235" applyNumberFormat="1" applyFont="1" applyFill="1" applyBorder="1" applyAlignment="1" applyProtection="1">
      <alignment horizontal="center" vertical="center" readingOrder="1"/>
    </xf>
    <xf numFmtId="9" fontId="39" fillId="28" borderId="24" xfId="48" applyNumberFormat="1" applyFont="1" applyFill="1" applyBorder="1" applyAlignment="1">
      <alignment horizontal="center" vertical="center"/>
    </xf>
    <xf numFmtId="10" fontId="43" fillId="29" borderId="10" xfId="39" applyNumberFormat="1" applyFont="1" applyFill="1" applyBorder="1" applyAlignment="1" applyProtection="1">
      <alignment horizontal="center"/>
    </xf>
    <xf numFmtId="10" fontId="43" fillId="34" borderId="24" xfId="39" applyNumberFormat="1" applyFont="1" applyFill="1" applyBorder="1" applyAlignment="1">
      <alignment horizontal="center" vertical="center"/>
    </xf>
    <xf numFmtId="181" fontId="43" fillId="29" borderId="119" xfId="64" applyNumberFormat="1" applyFont="1" applyFill="1" applyBorder="1" applyAlignment="1" applyProtection="1">
      <alignment horizontal="right"/>
    </xf>
    <xf numFmtId="0" fontId="37" fillId="0" borderId="96" xfId="47" applyFont="1" applyBorder="1" applyAlignment="1">
      <alignment horizontal="center"/>
    </xf>
    <xf numFmtId="0" fontId="16" fillId="0" borderId="0" xfId="0" applyFont="1"/>
    <xf numFmtId="9" fontId="89" fillId="0" borderId="119" xfId="49" applyFont="1" applyBorder="1" applyAlignment="1">
      <alignment horizontal="center" wrapText="1"/>
    </xf>
    <xf numFmtId="0" fontId="45" fillId="35" borderId="10" xfId="235" applyNumberFormat="1" applyFont="1" applyFill="1" applyBorder="1" applyAlignment="1" applyProtection="1">
      <alignment horizontal="center" vertical="center" readingOrder="1"/>
    </xf>
    <xf numFmtId="0" fontId="54" fillId="35" borderId="26" xfId="235" applyNumberFormat="1" applyFont="1" applyFill="1" applyBorder="1" applyAlignment="1" applyProtection="1">
      <alignment horizontal="center" vertical="center" readingOrder="1"/>
    </xf>
    <xf numFmtId="0" fontId="54" fillId="35" borderId="49" xfId="235" applyNumberFormat="1" applyFont="1" applyFill="1" applyBorder="1" applyAlignment="1" applyProtection="1">
      <alignment horizontal="center" vertical="center" readingOrder="1"/>
    </xf>
    <xf numFmtId="0" fontId="54" fillId="35" borderId="55" xfId="235" applyNumberFormat="1" applyFont="1" applyFill="1" applyBorder="1" applyAlignment="1" applyProtection="1">
      <alignment horizontal="center" vertical="center" readingOrder="1"/>
    </xf>
    <xf numFmtId="0" fontId="54" fillId="35" borderId="96" xfId="235" applyNumberFormat="1" applyFont="1" applyFill="1" applyBorder="1" applyAlignment="1" applyProtection="1">
      <alignment horizontal="center" vertical="center" readingOrder="1"/>
    </xf>
    <xf numFmtId="0" fontId="54" fillId="35" borderId="72" xfId="235" applyNumberFormat="1" applyFont="1" applyFill="1" applyBorder="1" applyAlignment="1" applyProtection="1">
      <alignment horizontal="center" vertical="center" readingOrder="1"/>
    </xf>
    <xf numFmtId="0" fontId="54" fillId="35" borderId="51" xfId="235" applyNumberFormat="1" applyFont="1" applyFill="1" applyBorder="1" applyAlignment="1" applyProtection="1">
      <alignment horizontal="center" vertical="center" readingOrder="1"/>
    </xf>
    <xf numFmtId="9" fontId="0" fillId="0" borderId="119" xfId="0" applyNumberFormat="1" applyBorder="1"/>
    <xf numFmtId="0" fontId="0" fillId="0" borderId="0" xfId="0" applyAlignment="1">
      <alignment horizontal="right"/>
    </xf>
    <xf numFmtId="1" fontId="71" fillId="28" borderId="62" xfId="1210" applyNumberFormat="1" applyFont="1" applyFill="1" applyBorder="1" applyAlignment="1">
      <alignment horizontal="center" vertical="center"/>
    </xf>
    <xf numFmtId="1" fontId="71" fillId="28" borderId="53" xfId="1210" applyNumberFormat="1" applyFont="1" applyFill="1" applyBorder="1" applyAlignment="1">
      <alignment horizontal="center" vertical="center"/>
    </xf>
    <xf numFmtId="0" fontId="72" fillId="29" borderId="71" xfId="0" applyFont="1" applyFill="1" applyBorder="1" applyAlignment="1">
      <alignment horizontal="center" vertical="center" wrapText="1"/>
    </xf>
    <xf numFmtId="14" fontId="72" fillId="30" borderId="10" xfId="0" applyNumberFormat="1" applyFont="1" applyFill="1" applyBorder="1" applyAlignment="1">
      <alignment horizontal="center"/>
    </xf>
    <xf numFmtId="14" fontId="72" fillId="30" borderId="72" xfId="0" applyNumberFormat="1" applyFont="1" applyFill="1" applyBorder="1" applyAlignment="1">
      <alignment horizontal="center"/>
    </xf>
    <xf numFmtId="0" fontId="72" fillId="29" borderId="47" xfId="0" applyFont="1" applyFill="1" applyBorder="1" applyAlignment="1">
      <alignment horizontal="center" vertical="center" wrapText="1"/>
    </xf>
    <xf numFmtId="14" fontId="72" fillId="30" borderId="119" xfId="0" applyNumberFormat="1" applyFont="1" applyFill="1" applyBorder="1" applyAlignment="1">
      <alignment horizontal="center"/>
    </xf>
    <xf numFmtId="14" fontId="72" fillId="30" borderId="55" xfId="0" applyNumberFormat="1" applyFont="1" applyFill="1" applyBorder="1" applyAlignment="1">
      <alignment horizontal="center"/>
    </xf>
    <xf numFmtId="0" fontId="72" fillId="29" borderId="56" xfId="0" applyFont="1" applyFill="1" applyBorder="1" applyAlignment="1">
      <alignment horizontal="center" vertical="center" wrapText="1"/>
    </xf>
    <xf numFmtId="14" fontId="72" fillId="30" borderId="41" xfId="0" applyNumberFormat="1" applyFont="1" applyFill="1" applyBorder="1" applyAlignment="1">
      <alignment horizontal="center"/>
    </xf>
    <xf numFmtId="14" fontId="72" fillId="30" borderId="51" xfId="0" applyNumberFormat="1" applyFont="1" applyFill="1" applyBorder="1" applyAlignment="1">
      <alignment horizontal="center"/>
    </xf>
    <xf numFmtId="0" fontId="72" fillId="29" borderId="69" xfId="0" applyFont="1" applyFill="1" applyBorder="1" applyAlignment="1">
      <alignment horizontal="center" vertical="center" wrapText="1"/>
    </xf>
    <xf numFmtId="14" fontId="72" fillId="30" borderId="19" xfId="0" applyNumberFormat="1" applyFont="1" applyFill="1" applyBorder="1" applyAlignment="1">
      <alignment horizontal="center"/>
    </xf>
    <xf numFmtId="14" fontId="72" fillId="30" borderId="70" xfId="0" applyNumberFormat="1" applyFont="1" applyFill="1" applyBorder="1" applyAlignment="1">
      <alignment horizontal="center"/>
    </xf>
    <xf numFmtId="0" fontId="42" fillId="27" borderId="70" xfId="47" applyFont="1" applyFill="1" applyBorder="1" applyAlignment="1">
      <alignment horizontal="center" vertical="center" wrapText="1"/>
    </xf>
    <xf numFmtId="0" fontId="42" fillId="27" borderId="68" xfId="47" applyFont="1" applyFill="1" applyBorder="1" applyAlignment="1">
      <alignment horizontal="center" vertical="center" wrapText="1"/>
    </xf>
    <xf numFmtId="1" fontId="43" fillId="29" borderId="47" xfId="48" applyNumberFormat="1" applyFont="1" applyFill="1" applyBorder="1" applyAlignment="1">
      <alignment horizontal="center" vertical="center" wrapText="1"/>
    </xf>
    <xf numFmtId="0" fontId="37" fillId="0" borderId="121" xfId="47" applyFont="1" applyBorder="1" applyAlignment="1">
      <alignment horizontal="center"/>
    </xf>
    <xf numFmtId="0" fontId="37" fillId="0" borderId="122" xfId="47" applyFont="1" applyBorder="1" applyAlignment="1">
      <alignment horizontal="center"/>
    </xf>
    <xf numFmtId="0" fontId="37" fillId="0" borderId="122" xfId="47" applyFont="1" applyBorder="1" applyAlignment="1">
      <alignment horizontal="center" vertical="center"/>
    </xf>
    <xf numFmtId="0" fontId="45" fillId="35" borderId="82" xfId="52" applyNumberFormat="1" applyFont="1" applyFill="1" applyBorder="1" applyAlignment="1" applyProtection="1">
      <alignment horizontal="center" vertical="center"/>
    </xf>
    <xf numFmtId="0" fontId="45" fillId="35" borderId="123" xfId="52" applyNumberFormat="1" applyFont="1" applyFill="1" applyBorder="1" applyAlignment="1" applyProtection="1">
      <alignment horizontal="center" vertical="center"/>
    </xf>
    <xf numFmtId="4" fontId="45" fillId="35" borderId="79" xfId="65" applyNumberFormat="1" applyFont="1" applyFill="1" applyBorder="1" applyAlignment="1" applyProtection="1">
      <alignment horizontal="center" vertical="center"/>
    </xf>
    <xf numFmtId="0" fontId="37" fillId="0" borderId="45" xfId="47" applyFont="1" applyBorder="1" applyAlignment="1">
      <alignment horizontal="center"/>
    </xf>
    <xf numFmtId="2" fontId="43" fillId="34" borderId="12" xfId="0" applyNumberFormat="1" applyFont="1" applyFill="1" applyBorder="1" applyAlignment="1">
      <alignment horizontal="center" vertical="center"/>
    </xf>
    <xf numFmtId="0" fontId="70" fillId="27" borderId="119" xfId="78" applyFont="1" applyFill="1" applyBorder="1"/>
    <xf numFmtId="17" fontId="70" fillId="40" borderId="119" xfId="78" applyNumberFormat="1" applyFont="1" applyFill="1" applyBorder="1" applyAlignment="1">
      <alignment horizontal="center" vertical="center"/>
    </xf>
    <xf numFmtId="0" fontId="70" fillId="0" borderId="0" xfId="78" applyFont="1"/>
    <xf numFmtId="0" fontId="70" fillId="41" borderId="119" xfId="78" applyFont="1" applyFill="1" applyBorder="1"/>
    <xf numFmtId="0" fontId="70" fillId="41" borderId="119" xfId="78" applyFont="1" applyFill="1" applyBorder="1" applyAlignment="1">
      <alignment horizontal="center"/>
    </xf>
    <xf numFmtId="0" fontId="70" fillId="34" borderId="119" xfId="78" applyFont="1" applyFill="1" applyBorder="1" applyAlignment="1">
      <alignment horizontal="center"/>
    </xf>
    <xf numFmtId="0" fontId="72" fillId="35" borderId="119" xfId="78" applyFont="1" applyFill="1" applyBorder="1" applyAlignment="1">
      <alignment horizontal="center" vertical="center"/>
    </xf>
    <xf numFmtId="0" fontId="72" fillId="0" borderId="119" xfId="78" applyFont="1" applyBorder="1" applyAlignment="1">
      <alignment horizontal="center" vertical="center"/>
    </xf>
    <xf numFmtId="0" fontId="72" fillId="40" borderId="119" xfId="78" applyFont="1" applyFill="1" applyBorder="1" applyAlignment="1">
      <alignment horizontal="center" vertical="center"/>
    </xf>
    <xf numFmtId="0" fontId="72" fillId="38" borderId="119" xfId="78" applyFont="1" applyFill="1" applyBorder="1" applyAlignment="1">
      <alignment horizontal="center" vertical="center"/>
    </xf>
    <xf numFmtId="0" fontId="72" fillId="0" borderId="54" xfId="78" applyFont="1" applyBorder="1" applyAlignment="1">
      <alignment horizontal="center"/>
    </xf>
    <xf numFmtId="0" fontId="72" fillId="0" borderId="54" xfId="78" applyFont="1" applyBorder="1" applyAlignment="1">
      <alignment horizontal="right"/>
    </xf>
    <xf numFmtId="0" fontId="97" fillId="0" borderId="0" xfId="78" applyFont="1" applyAlignment="1">
      <alignment horizontal="center" vertical="center" wrapText="1"/>
    </xf>
    <xf numFmtId="0" fontId="67" fillId="0" borderId="119" xfId="78" applyFont="1" applyBorder="1" applyAlignment="1">
      <alignment horizontal="center"/>
    </xf>
    <xf numFmtId="0" fontId="72" fillId="0" borderId="119" xfId="78" applyFont="1" applyBorder="1" applyAlignment="1">
      <alignment horizontal="center"/>
    </xf>
    <xf numFmtId="14" fontId="72" fillId="0" borderId="119" xfId="78" applyNumberFormat="1" applyFont="1" applyBorder="1" applyAlignment="1">
      <alignment horizontal="center"/>
    </xf>
    <xf numFmtId="14" fontId="72" fillId="0" borderId="0" xfId="78" applyNumberFormat="1" applyFont="1"/>
    <xf numFmtId="0" fontId="72" fillId="32" borderId="0" xfId="78" applyFont="1" applyFill="1"/>
    <xf numFmtId="176" fontId="45" fillId="0" borderId="10" xfId="52" applyNumberFormat="1" applyFont="1" applyFill="1" applyBorder="1" applyAlignment="1" applyProtection="1">
      <alignment horizontal="center" vertical="center" readingOrder="1"/>
      <protection locked="0"/>
    </xf>
    <xf numFmtId="165" fontId="43" fillId="29" borderId="14" xfId="64" applyNumberFormat="1" applyFont="1" applyFill="1" applyBorder="1" applyAlignment="1" applyProtection="1">
      <alignment horizontal="center"/>
    </xf>
    <xf numFmtId="165" fontId="43" fillId="29" borderId="119" xfId="64" applyNumberFormat="1" applyFont="1" applyFill="1" applyBorder="1" applyAlignment="1" applyProtection="1">
      <alignment horizontal="center"/>
    </xf>
    <xf numFmtId="3" fontId="76" fillId="0" borderId="10" xfId="64" applyNumberFormat="1" applyFont="1" applyFill="1" applyBorder="1" applyAlignment="1" applyProtection="1">
      <alignment horizontal="center" vertical="center"/>
      <protection locked="0"/>
    </xf>
    <xf numFmtId="165" fontId="43" fillId="30" borderId="49" xfId="71" applyNumberFormat="1" applyFont="1" applyFill="1" applyBorder="1" applyAlignment="1" applyProtection="1">
      <alignment horizontal="center" vertical="center"/>
    </xf>
    <xf numFmtId="169" fontId="76" fillId="0" borderId="10" xfId="71" applyNumberFormat="1" applyFont="1" applyFill="1" applyBorder="1" applyAlignment="1" applyProtection="1">
      <alignment horizontal="center" vertical="center" readingOrder="1"/>
      <protection locked="0"/>
    </xf>
    <xf numFmtId="169" fontId="79" fillId="28" borderId="24" xfId="48" applyNumberFormat="1" applyFont="1" applyFill="1" applyBorder="1" applyAlignment="1">
      <alignment horizontal="center" vertical="center"/>
    </xf>
    <xf numFmtId="169" fontId="42" fillId="42" borderId="24" xfId="78" applyNumberFormat="1" applyFont="1" applyFill="1" applyBorder="1" applyAlignment="1">
      <alignment horizontal="left"/>
    </xf>
    <xf numFmtId="169" fontId="45" fillId="29" borderId="10" xfId="49" applyNumberFormat="1" applyFont="1" applyFill="1" applyBorder="1" applyAlignment="1" applyProtection="1">
      <alignment vertical="center"/>
    </xf>
    <xf numFmtId="9" fontId="42" fillId="42" borderId="53" xfId="78" applyNumberFormat="1" applyFont="1" applyFill="1" applyBorder="1" applyAlignment="1">
      <alignment horizontal="center"/>
    </xf>
    <xf numFmtId="169" fontId="42" fillId="42" borderId="24" xfId="78" applyNumberFormat="1" applyFont="1" applyFill="1" applyBorder="1" applyAlignment="1">
      <alignment horizontal="center"/>
    </xf>
    <xf numFmtId="169" fontId="39" fillId="28" borderId="24" xfId="48" applyNumberFormat="1" applyFont="1" applyFill="1" applyBorder="1" applyAlignment="1">
      <alignment horizontal="center" vertical="center"/>
    </xf>
    <xf numFmtId="169" fontId="39" fillId="28" borderId="70" xfId="49" applyNumberFormat="1" applyFont="1" applyFill="1" applyBorder="1" applyAlignment="1">
      <alignment horizontal="center" vertical="center"/>
    </xf>
    <xf numFmtId="1" fontId="43" fillId="29" borderId="48" xfId="48" applyNumberFormat="1" applyFont="1" applyFill="1" applyBorder="1" applyAlignment="1">
      <alignment horizontal="center" vertical="center"/>
    </xf>
    <xf numFmtId="1" fontId="43" fillId="29" borderId="14" xfId="48" applyNumberFormat="1" applyFont="1" applyFill="1" applyBorder="1" applyAlignment="1">
      <alignment horizontal="center" vertical="center"/>
    </xf>
    <xf numFmtId="1" fontId="43" fillId="29" borderId="47" xfId="48" applyNumberFormat="1" applyFont="1" applyFill="1" applyBorder="1" applyAlignment="1">
      <alignment horizontal="center" vertical="center"/>
    </xf>
    <xf numFmtId="1" fontId="43" fillId="29" borderId="119" xfId="48" applyNumberFormat="1" applyFont="1" applyFill="1" applyBorder="1" applyAlignment="1">
      <alignment horizontal="center" vertical="center"/>
    </xf>
    <xf numFmtId="0" fontId="42" fillId="27" borderId="73" xfId="47" applyFont="1" applyFill="1" applyBorder="1" applyAlignment="1">
      <alignment horizontal="center" vertical="center" wrapText="1"/>
    </xf>
    <xf numFmtId="1" fontId="45" fillId="0" borderId="10" xfId="71" applyNumberFormat="1" applyFont="1" applyFill="1" applyBorder="1" applyAlignment="1" applyProtection="1">
      <alignment horizontal="center" vertical="center" readingOrder="1"/>
      <protection locked="0"/>
    </xf>
    <xf numFmtId="170" fontId="58" fillId="36" borderId="19" xfId="48" applyNumberFormat="1" applyFont="1" applyFill="1" applyBorder="1"/>
    <xf numFmtId="1" fontId="71" fillId="29" borderId="119" xfId="48" applyNumberFormat="1" applyFont="1" applyFill="1" applyBorder="1" applyAlignment="1">
      <alignment horizontal="center"/>
    </xf>
    <xf numFmtId="168" fontId="55" fillId="29" borderId="71" xfId="0" applyNumberFormat="1" applyFont="1" applyFill="1" applyBorder="1" applyAlignment="1">
      <alignment horizontal="center" vertical="center" wrapText="1" readingOrder="2"/>
    </xf>
    <xf numFmtId="168" fontId="55" fillId="29" borderId="47" xfId="0" applyNumberFormat="1" applyFont="1" applyFill="1" applyBorder="1" applyAlignment="1">
      <alignment horizontal="center" vertical="center" wrapText="1" readingOrder="2"/>
    </xf>
    <xf numFmtId="168" fontId="55" fillId="29" borderId="56" xfId="0" applyNumberFormat="1" applyFont="1" applyFill="1" applyBorder="1" applyAlignment="1">
      <alignment horizontal="center" vertical="center" wrapText="1" readingOrder="2"/>
    </xf>
    <xf numFmtId="168" fontId="55" fillId="29" borderId="48" xfId="0" applyNumberFormat="1" applyFont="1" applyFill="1" applyBorder="1" applyAlignment="1">
      <alignment horizontal="center" vertical="center" wrapText="1" readingOrder="2"/>
    </xf>
    <xf numFmtId="10" fontId="48" fillId="31" borderId="86" xfId="0" applyNumberFormat="1" applyFont="1" applyFill="1" applyBorder="1"/>
    <xf numFmtId="1" fontId="37" fillId="33" borderId="10" xfId="47" applyNumberFormat="1" applyFont="1" applyFill="1" applyBorder="1"/>
    <xf numFmtId="4" fontId="54" fillId="33" borderId="10" xfId="0" applyNumberFormat="1" applyFont="1" applyFill="1" applyBorder="1" applyAlignment="1">
      <alignment horizontal="center"/>
    </xf>
    <xf numFmtId="1" fontId="55" fillId="29" borderId="71" xfId="0" applyNumberFormat="1" applyFont="1" applyFill="1" applyBorder="1" applyAlignment="1">
      <alignment horizontal="center" vertical="center" wrapText="1" readingOrder="2"/>
    </xf>
    <xf numFmtId="1" fontId="45" fillId="0" borderId="10" xfId="71" applyNumberFormat="1" applyFont="1" applyBorder="1" applyAlignment="1" applyProtection="1">
      <alignment horizontal="center" vertical="center" readingOrder="1"/>
      <protection locked="0"/>
    </xf>
    <xf numFmtId="0" fontId="41" fillId="31" borderId="88" xfId="0" applyFont="1" applyFill="1" applyBorder="1"/>
    <xf numFmtId="0" fontId="41" fillId="31" borderId="0" xfId="0" applyFont="1" applyFill="1"/>
    <xf numFmtId="0" fontId="63" fillId="0" borderId="0" xfId="47" applyFont="1" applyAlignment="1">
      <alignment vertical="center" wrapText="1"/>
    </xf>
    <xf numFmtId="0" fontId="63" fillId="0" borderId="103" xfId="47" applyFont="1" applyBorder="1" applyAlignment="1">
      <alignment vertical="center" wrapText="1"/>
    </xf>
    <xf numFmtId="172" fontId="45" fillId="0" borderId="119" xfId="65" applyNumberFormat="1" applyFont="1" applyFill="1" applyBorder="1" applyAlignment="1" applyProtection="1">
      <alignment horizontal="center" vertical="center" readingOrder="1"/>
      <protection locked="0"/>
    </xf>
    <xf numFmtId="1" fontId="43" fillId="34" borderId="12" xfId="0" applyNumberFormat="1" applyFont="1" applyFill="1" applyBorder="1" applyAlignment="1">
      <alignment horizontal="center" vertical="center"/>
    </xf>
    <xf numFmtId="4" fontId="43" fillId="34" borderId="12" xfId="0" applyNumberFormat="1" applyFont="1" applyFill="1" applyBorder="1" applyAlignment="1">
      <alignment horizontal="center" vertical="center"/>
    </xf>
    <xf numFmtId="4" fontId="48" fillId="31" borderId="86" xfId="0" applyNumberFormat="1" applyFont="1" applyFill="1" applyBorder="1"/>
    <xf numFmtId="169" fontId="43" fillId="34" borderId="43" xfId="64" applyNumberFormat="1" applyFont="1" applyFill="1" applyBorder="1" applyAlignment="1">
      <alignment horizontal="center" vertical="center"/>
    </xf>
    <xf numFmtId="3" fontId="43" fillId="34" borderId="19" xfId="49" applyNumberFormat="1" applyFont="1" applyFill="1" applyBorder="1" applyAlignment="1" applyProtection="1">
      <alignment horizontal="center" vertical="center"/>
    </xf>
    <xf numFmtId="10" fontId="43" fillId="34" borderId="19" xfId="49" applyNumberFormat="1" applyFont="1" applyFill="1" applyBorder="1" applyAlignment="1" applyProtection="1">
      <alignment horizontal="center" vertical="center"/>
    </xf>
    <xf numFmtId="10" fontId="43" fillId="34" borderId="19" xfId="49" applyNumberFormat="1" applyFont="1" applyFill="1" applyBorder="1" applyAlignment="1">
      <alignment horizontal="center" vertical="center"/>
    </xf>
    <xf numFmtId="3" fontId="76" fillId="29" borderId="119" xfId="64" applyNumberFormat="1" applyFont="1" applyFill="1" applyBorder="1" applyAlignment="1" applyProtection="1">
      <alignment horizontal="center" vertical="center"/>
      <protection locked="0"/>
    </xf>
    <xf numFmtId="0" fontId="45" fillId="29" borderId="119" xfId="49" applyNumberFormat="1" applyFont="1" applyFill="1" applyBorder="1" applyAlignment="1" applyProtection="1">
      <alignment horizontal="center"/>
    </xf>
    <xf numFmtId="10" fontId="45" fillId="29" borderId="119" xfId="49" applyNumberFormat="1" applyFont="1" applyFill="1" applyBorder="1" applyAlignment="1" applyProtection="1">
      <alignment horizontal="center"/>
    </xf>
    <xf numFmtId="1" fontId="53" fillId="30" borderId="0" xfId="48" applyNumberFormat="1" applyFont="1" applyFill="1" applyAlignment="1">
      <alignment horizontal="center" vertical="center"/>
    </xf>
    <xf numFmtId="169" fontId="53" fillId="30" borderId="0" xfId="48" applyNumberFormat="1" applyFont="1" applyFill="1" applyAlignment="1">
      <alignment horizontal="center" vertical="center"/>
    </xf>
    <xf numFmtId="0" fontId="99" fillId="0" borderId="0" xfId="0" applyFont="1"/>
    <xf numFmtId="0" fontId="53" fillId="0" borderId="0" xfId="48" applyFont="1"/>
    <xf numFmtId="169" fontId="101" fillId="28" borderId="28" xfId="49" applyNumberFormat="1" applyFont="1" applyFill="1" applyBorder="1" applyAlignment="1">
      <alignment horizontal="center" vertical="center"/>
    </xf>
    <xf numFmtId="1" fontId="71" fillId="29" borderId="10" xfId="137" applyNumberFormat="1" applyFont="1" applyFill="1" applyBorder="1" applyAlignment="1">
      <alignment horizontal="center" vertical="center" wrapText="1" readingOrder="2"/>
    </xf>
    <xf numFmtId="1" fontId="102" fillId="29" borderId="10" xfId="137" applyNumberFormat="1" applyFont="1" applyFill="1" applyBorder="1" applyAlignment="1">
      <alignment horizontal="center" vertical="center" wrapText="1" readingOrder="2"/>
    </xf>
    <xf numFmtId="169" fontId="71" fillId="29" borderId="10" xfId="49" applyNumberFormat="1" applyFont="1" applyFill="1" applyBorder="1" applyAlignment="1" applyProtection="1">
      <alignment horizontal="center" vertical="center"/>
    </xf>
    <xf numFmtId="172" fontId="71" fillId="29" borderId="10" xfId="65" applyNumberFormat="1" applyFont="1" applyFill="1" applyBorder="1" applyAlignment="1" applyProtection="1">
      <alignment horizontal="center" vertical="center" wrapText="1"/>
    </xf>
    <xf numFmtId="169" fontId="71" fillId="30" borderId="10" xfId="49" applyNumberFormat="1" applyFont="1" applyFill="1" applyBorder="1" applyAlignment="1" applyProtection="1">
      <alignment horizontal="center" vertical="center"/>
    </xf>
    <xf numFmtId="170" fontId="71" fillId="30" borderId="10" xfId="39" applyNumberFormat="1" applyFont="1" applyFill="1" applyBorder="1" applyAlignment="1" applyProtection="1">
      <alignment horizontal="center" vertical="center"/>
    </xf>
    <xf numFmtId="0" fontId="62" fillId="35" borderId="119" xfId="44" applyFont="1" applyFill="1" applyBorder="1" applyAlignment="1" applyProtection="1">
      <alignment horizontal="center"/>
      <protection locked="0"/>
    </xf>
    <xf numFmtId="0" fontId="100" fillId="35" borderId="119" xfId="44" applyFont="1" applyFill="1" applyBorder="1" applyAlignment="1" applyProtection="1">
      <alignment horizontal="center"/>
      <protection locked="0"/>
    </xf>
    <xf numFmtId="0" fontId="45" fillId="35" borderId="89" xfId="71" applyNumberFormat="1" applyFont="1" applyFill="1" applyBorder="1" applyAlignment="1" applyProtection="1">
      <alignment horizontal="center" vertical="center" wrapText="1" readingOrder="1"/>
      <protection locked="0"/>
    </xf>
    <xf numFmtId="49" fontId="66" fillId="35" borderId="104" xfId="48" applyNumberFormat="1" applyFont="1" applyFill="1" applyBorder="1" applyAlignment="1" applyProtection="1">
      <alignment horizontal="center"/>
      <protection locked="0"/>
    </xf>
    <xf numFmtId="0" fontId="62" fillId="35" borderId="10" xfId="44" applyFont="1" applyFill="1" applyBorder="1" applyAlignment="1" applyProtection="1">
      <alignment horizontal="center"/>
      <protection locked="0"/>
    </xf>
    <xf numFmtId="0" fontId="100" fillId="35" borderId="10" xfId="44" applyFont="1" applyFill="1" applyBorder="1" applyAlignment="1" applyProtection="1">
      <alignment horizontal="center"/>
      <protection locked="0"/>
    </xf>
    <xf numFmtId="0" fontId="42" fillId="27" borderId="119" xfId="75" applyFont="1" applyFill="1" applyBorder="1" applyAlignment="1">
      <alignment horizontal="center" vertical="center" wrapText="1"/>
    </xf>
    <xf numFmtId="0" fontId="42" fillId="27" borderId="119" xfId="72" applyFont="1" applyFill="1" applyBorder="1" applyAlignment="1">
      <alignment horizontal="center" vertical="center" wrapText="1"/>
    </xf>
    <xf numFmtId="3" fontId="67" fillId="40" borderId="119" xfId="2633" applyNumberFormat="1" applyFont="1" applyFill="1" applyBorder="1" applyAlignment="1">
      <alignment horizontal="center" vertical="center" wrapText="1"/>
    </xf>
    <xf numFmtId="3" fontId="67" fillId="32" borderId="119" xfId="2633" applyNumberFormat="1" applyFont="1" applyFill="1" applyBorder="1" applyAlignment="1">
      <alignment horizontal="center" vertical="center" wrapText="1"/>
    </xf>
    <xf numFmtId="0" fontId="43" fillId="29" borderId="14" xfId="64" applyNumberFormat="1" applyFont="1" applyFill="1" applyBorder="1" applyAlignment="1" applyProtection="1">
      <alignment horizontal="center" vertical="center"/>
    </xf>
    <xf numFmtId="0" fontId="43" fillId="29" borderId="119" xfId="64" applyNumberFormat="1" applyFont="1" applyFill="1" applyBorder="1" applyAlignment="1" applyProtection="1">
      <alignment horizontal="center" vertical="center"/>
    </xf>
    <xf numFmtId="0" fontId="39" fillId="28" borderId="13" xfId="49" applyNumberFormat="1" applyFont="1" applyFill="1" applyBorder="1" applyAlignment="1" applyProtection="1">
      <alignment horizontal="center" vertical="center"/>
    </xf>
    <xf numFmtId="0" fontId="45" fillId="0" borderId="0" xfId="48" applyFont="1" applyAlignment="1">
      <alignment horizontal="right" vertical="center" wrapText="1"/>
    </xf>
    <xf numFmtId="0" fontId="67" fillId="40" borderId="14" xfId="75" applyFont="1" applyFill="1" applyBorder="1" applyAlignment="1">
      <alignment horizontal="center" vertical="center" wrapText="1"/>
    </xf>
    <xf numFmtId="0" fontId="67" fillId="40" borderId="41" xfId="75" applyFont="1" applyFill="1" applyBorder="1" applyAlignment="1">
      <alignment horizontal="center" vertical="center" wrapText="1"/>
    </xf>
    <xf numFmtId="0" fontId="47" fillId="0" borderId="0" xfId="68" applyFont="1"/>
    <xf numFmtId="0" fontId="42" fillId="0" borderId="0" xfId="68" applyFont="1"/>
    <xf numFmtId="0" fontId="42" fillId="27" borderId="14" xfId="68" applyFont="1" applyFill="1" applyBorder="1" applyAlignment="1">
      <alignment horizontal="center" vertical="center" wrapText="1"/>
    </xf>
    <xf numFmtId="0" fontId="42" fillId="27" borderId="41" xfId="68" applyFont="1" applyFill="1" applyBorder="1" applyAlignment="1">
      <alignment horizontal="center" vertical="center" wrapText="1"/>
    </xf>
    <xf numFmtId="1" fontId="43" fillId="29" borderId="10" xfId="48" applyNumberFormat="1" applyFont="1" applyFill="1" applyBorder="1" applyAlignment="1">
      <alignment horizontal="center"/>
    </xf>
    <xf numFmtId="1" fontId="43" fillId="30" borderId="10" xfId="71" applyNumberFormat="1" applyFont="1" applyFill="1" applyBorder="1" applyAlignment="1" applyProtection="1">
      <alignment horizontal="center"/>
    </xf>
    <xf numFmtId="175" fontId="43" fillId="34" borderId="70" xfId="64" applyNumberFormat="1" applyFont="1" applyFill="1" applyBorder="1" applyAlignment="1" applyProtection="1">
      <alignment horizontal="center" vertical="center"/>
    </xf>
    <xf numFmtId="169" fontId="42" fillId="42" borderId="24" xfId="78" applyNumberFormat="1" applyFont="1" applyFill="1" applyBorder="1"/>
    <xf numFmtId="10" fontId="43" fillId="29" borderId="14" xfId="39" applyNumberFormat="1" applyFont="1" applyFill="1" applyBorder="1" applyAlignment="1">
      <alignment horizontal="center" vertical="center"/>
    </xf>
    <xf numFmtId="10" fontId="43" fillId="29" borderId="119" xfId="39" applyNumberFormat="1" applyFont="1" applyFill="1" applyBorder="1" applyAlignment="1">
      <alignment horizontal="center" vertical="center"/>
    </xf>
    <xf numFmtId="0" fontId="72" fillId="0" borderId="96" xfId="78" applyFont="1" applyBorder="1" applyAlignment="1">
      <alignment horizontal="right"/>
    </xf>
    <xf numFmtId="0" fontId="72" fillId="0" borderId="125" xfId="78" applyFont="1" applyBorder="1" applyAlignment="1">
      <alignment horizontal="right"/>
    </xf>
    <xf numFmtId="0" fontId="72" fillId="0" borderId="106" xfId="78" applyFont="1" applyBorder="1" applyAlignment="1">
      <alignment horizontal="right"/>
    </xf>
    <xf numFmtId="0" fontId="97" fillId="0" borderId="54" xfId="78" applyFont="1" applyBorder="1" applyAlignment="1">
      <alignment horizontal="center" vertical="center" wrapText="1"/>
    </xf>
    <xf numFmtId="0" fontId="97" fillId="0" borderId="0" xfId="78" applyFont="1" applyAlignment="1">
      <alignment horizontal="center" vertical="center" wrapText="1"/>
    </xf>
    <xf numFmtId="0" fontId="70" fillId="27" borderId="60" xfId="1211" applyFont="1" applyFill="1" applyBorder="1" applyAlignment="1">
      <alignment horizontal="center" vertical="center" wrapText="1"/>
    </xf>
    <xf numFmtId="0" fontId="70" fillId="27" borderId="75" xfId="1211" applyFont="1" applyFill="1" applyBorder="1" applyAlignment="1">
      <alignment horizontal="center" vertical="center" wrapText="1"/>
    </xf>
    <xf numFmtId="0" fontId="70" fillId="27" borderId="61" xfId="1211" applyFont="1" applyFill="1" applyBorder="1" applyAlignment="1">
      <alignment horizontal="center" vertical="center" wrapText="1"/>
    </xf>
    <xf numFmtId="0" fontId="67" fillId="0" borderId="96" xfId="78" applyFont="1" applyBorder="1" applyAlignment="1">
      <alignment horizontal="center"/>
    </xf>
    <xf numFmtId="0" fontId="67" fillId="0" borderId="125" xfId="78" applyFont="1" applyBorder="1" applyAlignment="1">
      <alignment horizontal="center"/>
    </xf>
    <xf numFmtId="0" fontId="67" fillId="0" borderId="106" xfId="78" applyFont="1" applyBorder="1" applyAlignment="1">
      <alignment horizontal="center"/>
    </xf>
    <xf numFmtId="0" fontId="72" fillId="0" borderId="96" xfId="78" applyFont="1" applyBorder="1" applyAlignment="1">
      <alignment horizontal="center" wrapText="1"/>
    </xf>
    <xf numFmtId="0" fontId="72" fillId="0" borderId="125" xfId="78" applyFont="1" applyBorder="1" applyAlignment="1">
      <alignment horizontal="center" wrapText="1"/>
    </xf>
    <xf numFmtId="0" fontId="72" fillId="0" borderId="106" xfId="78" applyFont="1" applyBorder="1" applyAlignment="1">
      <alignment horizontal="center" wrapText="1"/>
    </xf>
    <xf numFmtId="0" fontId="90" fillId="27" borderId="52" xfId="1211" applyFont="1" applyFill="1" applyBorder="1" applyAlignment="1">
      <alignment horizontal="center" vertical="center" wrapText="1"/>
    </xf>
    <xf numFmtId="0" fontId="90" fillId="27" borderId="44" xfId="1211" applyFont="1" applyFill="1" applyBorder="1" applyAlignment="1">
      <alignment horizontal="center" vertical="center" wrapText="1"/>
    </xf>
    <xf numFmtId="0" fontId="90" fillId="27" borderId="43" xfId="1211" applyFont="1" applyFill="1" applyBorder="1" applyAlignment="1">
      <alignment horizontal="center" vertical="center" wrapText="1"/>
    </xf>
    <xf numFmtId="0" fontId="91" fillId="38" borderId="52" xfId="78" applyFont="1" applyFill="1" applyBorder="1" applyAlignment="1">
      <alignment horizontal="center" vertical="center"/>
    </xf>
    <xf numFmtId="0" fontId="91" fillId="38" borderId="44" xfId="78" applyFont="1" applyFill="1" applyBorder="1" applyAlignment="1">
      <alignment horizontal="center" vertical="center"/>
    </xf>
    <xf numFmtId="0" fontId="91" fillId="38" borderId="43" xfId="78" applyFont="1" applyFill="1" applyBorder="1" applyAlignment="1">
      <alignment horizontal="center" vertical="center"/>
    </xf>
    <xf numFmtId="0" fontId="96" fillId="27" borderId="93" xfId="78" applyFont="1" applyFill="1" applyBorder="1" applyAlignment="1">
      <alignment horizontal="center"/>
    </xf>
    <xf numFmtId="0" fontId="70" fillId="34" borderId="96" xfId="78" applyFont="1" applyFill="1" applyBorder="1" applyAlignment="1">
      <alignment horizontal="center"/>
    </xf>
    <xf numFmtId="0" fontId="70" fillId="34" borderId="125" xfId="78" applyFont="1" applyFill="1" applyBorder="1" applyAlignment="1">
      <alignment horizontal="center"/>
    </xf>
    <xf numFmtId="0" fontId="70" fillId="34" borderId="106" xfId="78" applyFont="1" applyFill="1" applyBorder="1" applyAlignment="1">
      <alignment horizontal="center"/>
    </xf>
    <xf numFmtId="0" fontId="72" fillId="0" borderId="96" xfId="78" applyFont="1" applyBorder="1" applyAlignment="1">
      <alignment horizontal="right" wrapText="1"/>
    </xf>
    <xf numFmtId="0" fontId="72" fillId="0" borderId="125" xfId="78" applyFont="1" applyBorder="1" applyAlignment="1">
      <alignment horizontal="right" wrapText="1"/>
    </xf>
    <xf numFmtId="0" fontId="72" fillId="0" borderId="106" xfId="78" applyFont="1" applyBorder="1" applyAlignment="1">
      <alignment horizontal="right" wrapText="1"/>
    </xf>
    <xf numFmtId="0" fontId="38" fillId="27" borderId="52" xfId="47" applyFont="1" applyFill="1" applyBorder="1" applyAlignment="1">
      <alignment horizontal="center" vertical="center" wrapText="1"/>
    </xf>
    <xf numFmtId="0" fontId="38" fillId="27" borderId="44" xfId="47" applyFont="1" applyFill="1" applyBorder="1" applyAlignment="1">
      <alignment horizontal="center" vertical="center" wrapText="1"/>
    </xf>
    <xf numFmtId="0" fontId="38" fillId="27" borderId="43" xfId="47" applyFont="1" applyFill="1" applyBorder="1" applyAlignment="1">
      <alignment horizontal="center" vertical="center" wrapText="1"/>
    </xf>
    <xf numFmtId="1" fontId="42" fillId="34" borderId="52" xfId="0" applyNumberFormat="1" applyFont="1" applyFill="1" applyBorder="1" applyAlignment="1">
      <alignment horizontal="center" vertical="center" wrapText="1"/>
    </xf>
    <xf numFmtId="1" fontId="42" fillId="34" borderId="44" xfId="0" applyNumberFormat="1" applyFont="1" applyFill="1" applyBorder="1" applyAlignment="1">
      <alignment horizontal="center" vertical="center" wrapText="1"/>
    </xf>
    <xf numFmtId="1" fontId="42" fillId="34" borderId="43" xfId="0" applyNumberFormat="1" applyFont="1" applyFill="1" applyBorder="1" applyAlignment="1">
      <alignment horizontal="center" vertical="center" wrapText="1"/>
    </xf>
    <xf numFmtId="0" fontId="38" fillId="27" borderId="59" xfId="47" applyFont="1" applyFill="1" applyBorder="1" applyAlignment="1">
      <alignment horizontal="center" vertical="center" wrapText="1"/>
    </xf>
    <xf numFmtId="0" fontId="38" fillId="27" borderId="74" xfId="47" applyFont="1" applyFill="1" applyBorder="1" applyAlignment="1">
      <alignment horizontal="center" vertical="center" wrapText="1"/>
    </xf>
    <xf numFmtId="0" fontId="38" fillId="27" borderId="65" xfId="47" applyFont="1" applyFill="1" applyBorder="1" applyAlignment="1">
      <alignment horizontal="center" vertical="center" wrapText="1"/>
    </xf>
    <xf numFmtId="1" fontId="42" fillId="34" borderId="58" xfId="0" applyNumberFormat="1" applyFont="1" applyFill="1" applyBorder="1" applyAlignment="1">
      <alignment horizontal="center" vertical="center" wrapText="1"/>
    </xf>
    <xf numFmtId="1" fontId="42" fillId="34" borderId="94" xfId="0" applyNumberFormat="1" applyFont="1" applyFill="1" applyBorder="1" applyAlignment="1">
      <alignment horizontal="center" vertical="center" wrapText="1"/>
    </xf>
    <xf numFmtId="0" fontId="43" fillId="25" borderId="32" xfId="47" applyFont="1" applyFill="1" applyBorder="1" applyAlignment="1">
      <alignment horizontal="center" vertical="center"/>
    </xf>
    <xf numFmtId="0" fontId="43" fillId="25" borderId="33" xfId="47" applyFont="1" applyFill="1" applyBorder="1" applyAlignment="1">
      <alignment horizontal="center" vertical="center"/>
    </xf>
    <xf numFmtId="0" fontId="43" fillId="25" borderId="31" xfId="47" applyFont="1" applyFill="1" applyBorder="1" applyAlignment="1">
      <alignment horizontal="center" vertical="center"/>
    </xf>
    <xf numFmtId="0" fontId="43" fillId="25" borderId="32" xfId="47" applyFont="1" applyFill="1" applyBorder="1" applyAlignment="1">
      <alignment horizontal="center"/>
    </xf>
    <xf numFmtId="0" fontId="43" fillId="25" borderId="33" xfId="47" applyFont="1" applyFill="1" applyBorder="1" applyAlignment="1">
      <alignment horizontal="center"/>
    </xf>
    <xf numFmtId="0" fontId="43" fillId="25" borderId="31" xfId="47" applyFont="1" applyFill="1" applyBorder="1" applyAlignment="1">
      <alignment horizontal="center"/>
    </xf>
    <xf numFmtId="0" fontId="40" fillId="0" borderId="36" xfId="47" applyFont="1" applyBorder="1" applyAlignment="1">
      <alignment horizontal="right" vertical="center"/>
    </xf>
    <xf numFmtId="0" fontId="40" fillId="0" borderId="37" xfId="47" applyFont="1" applyBorder="1" applyAlignment="1">
      <alignment horizontal="right" vertical="center"/>
    </xf>
    <xf numFmtId="0" fontId="37" fillId="0" borderId="37" xfId="47" applyFont="1" applyBorder="1"/>
    <xf numFmtId="0" fontId="40" fillId="0" borderId="39" xfId="47" applyFont="1" applyBorder="1" applyAlignment="1">
      <alignment horizontal="right" vertical="center" wrapText="1"/>
    </xf>
    <xf numFmtId="0" fontId="37" fillId="0" borderId="21" xfId="47" applyFont="1" applyBorder="1"/>
    <xf numFmtId="1" fontId="42" fillId="34" borderId="57" xfId="0" applyNumberFormat="1" applyFont="1" applyFill="1" applyBorder="1" applyAlignment="1">
      <alignment horizontal="center" vertical="center" wrapText="1"/>
    </xf>
    <xf numFmtId="1" fontId="42" fillId="34" borderId="112" xfId="0" applyNumberFormat="1" applyFont="1" applyFill="1" applyBorder="1" applyAlignment="1">
      <alignment horizontal="center" vertical="center" wrapText="1"/>
    </xf>
    <xf numFmtId="1" fontId="44" fillId="24" borderId="124" xfId="47" applyNumberFormat="1" applyFont="1" applyFill="1" applyBorder="1" applyAlignment="1">
      <alignment horizontal="center" vertical="center"/>
    </xf>
    <xf numFmtId="1" fontId="44" fillId="24" borderId="105" xfId="47" applyNumberFormat="1" applyFont="1" applyFill="1" applyBorder="1" applyAlignment="1">
      <alignment horizontal="center" vertical="center"/>
    </xf>
    <xf numFmtId="0" fontId="40" fillId="0" borderId="11" xfId="47" applyFont="1" applyBorder="1" applyAlignment="1">
      <alignment horizontal="center" vertical="center" wrapText="1"/>
    </xf>
    <xf numFmtId="0" fontId="40" fillId="0" borderId="22" xfId="47" applyFont="1" applyBorder="1" applyAlignment="1">
      <alignment horizontal="center" vertical="center" wrapText="1"/>
    </xf>
    <xf numFmtId="0" fontId="39" fillId="26" borderId="27" xfId="47" applyFont="1" applyFill="1" applyBorder="1" applyAlignment="1">
      <alignment horizontal="center" vertical="center"/>
    </xf>
    <xf numFmtId="0" fontId="39" fillId="26" borderId="28" xfId="47" applyFont="1" applyFill="1" applyBorder="1" applyAlignment="1">
      <alignment horizontal="center" vertical="center"/>
    </xf>
    <xf numFmtId="0" fontId="39" fillId="26" borderId="29" xfId="47" applyFont="1" applyFill="1" applyBorder="1" applyAlignment="1">
      <alignment horizontal="center" vertical="center"/>
    </xf>
    <xf numFmtId="1" fontId="44" fillId="24" borderId="23" xfId="47" applyNumberFormat="1" applyFont="1" applyFill="1" applyBorder="1" applyAlignment="1">
      <alignment horizontal="center" vertical="center"/>
    </xf>
    <xf numFmtId="1" fontId="44" fillId="24" borderId="24" xfId="47" applyNumberFormat="1" applyFont="1" applyFill="1" applyBorder="1" applyAlignment="1">
      <alignment horizontal="center" vertical="center"/>
    </xf>
    <xf numFmtId="0" fontId="40" fillId="0" borderId="18" xfId="47" applyFont="1" applyBorder="1" applyAlignment="1">
      <alignment horizontal="right" vertical="center" wrapText="1"/>
    </xf>
    <xf numFmtId="0" fontId="40" fillId="0" borderId="10" xfId="47" applyFont="1" applyBorder="1" applyAlignment="1">
      <alignment horizontal="right" vertical="center" wrapText="1"/>
    </xf>
    <xf numFmtId="0" fontId="40" fillId="0" borderId="16" xfId="47" applyFont="1" applyBorder="1"/>
    <xf numFmtId="0" fontId="40" fillId="0" borderId="17" xfId="47" applyFont="1" applyBorder="1"/>
    <xf numFmtId="0" fontId="70" fillId="27" borderId="59" xfId="1210" applyFont="1" applyFill="1" applyBorder="1" applyAlignment="1">
      <alignment horizontal="center" vertical="center" wrapText="1"/>
    </xf>
    <xf numFmtId="0" fontId="70" fillId="27" borderId="74" xfId="1210" applyFont="1" applyFill="1" applyBorder="1" applyAlignment="1">
      <alignment horizontal="center" vertical="center" wrapText="1"/>
    </xf>
    <xf numFmtId="0" fontId="70" fillId="27" borderId="65" xfId="1210" applyFont="1" applyFill="1" applyBorder="1" applyAlignment="1">
      <alignment horizontal="center" vertical="center" wrapText="1"/>
    </xf>
    <xf numFmtId="0" fontId="42" fillId="27" borderId="73" xfId="47" applyFont="1" applyFill="1" applyBorder="1" applyAlignment="1">
      <alignment horizontal="center" vertical="center" wrapText="1"/>
    </xf>
    <xf numFmtId="0" fontId="42" fillId="27" borderId="123" xfId="47" applyFont="1" applyFill="1" applyBorder="1" applyAlignment="1">
      <alignment horizontal="center" vertical="center" wrapText="1"/>
    </xf>
    <xf numFmtId="0" fontId="38" fillId="27" borderId="48" xfId="47" applyFont="1" applyFill="1" applyBorder="1" applyAlignment="1">
      <alignment horizontal="center" vertical="center" wrapText="1"/>
    </xf>
    <xf numFmtId="0" fontId="38" fillId="27" borderId="14" xfId="47" applyFont="1" applyFill="1" applyBorder="1" applyAlignment="1">
      <alignment horizontal="center" vertical="center" wrapText="1"/>
    </xf>
    <xf numFmtId="0" fontId="38" fillId="27" borderId="47" xfId="47" applyFont="1" applyFill="1" applyBorder="1" applyAlignment="1">
      <alignment horizontal="center" vertical="center" wrapText="1"/>
    </xf>
    <xf numFmtId="0" fontId="38" fillId="27" borderId="119" xfId="47" applyFont="1" applyFill="1" applyBorder="1" applyAlignment="1">
      <alignment horizontal="center" vertical="center" wrapText="1"/>
    </xf>
    <xf numFmtId="0" fontId="38" fillId="27" borderId="56" xfId="47" applyFont="1" applyFill="1" applyBorder="1" applyAlignment="1">
      <alignment horizontal="center" vertical="center" wrapText="1"/>
    </xf>
    <xf numFmtId="0" fontId="38" fillId="27" borderId="41" xfId="47" applyFont="1" applyFill="1" applyBorder="1" applyAlignment="1">
      <alignment horizontal="center" vertical="center" wrapText="1"/>
    </xf>
    <xf numFmtId="0" fontId="41" fillId="31" borderId="46" xfId="0" applyFont="1" applyFill="1" applyBorder="1" applyAlignment="1">
      <alignment horizontal="center"/>
    </xf>
    <xf numFmtId="0" fontId="41" fillId="31" borderId="0" xfId="0" applyFont="1" applyFill="1" applyAlignment="1">
      <alignment horizontal="center"/>
    </xf>
    <xf numFmtId="1" fontId="42" fillId="34" borderId="50" xfId="0" applyNumberFormat="1" applyFont="1" applyFill="1" applyBorder="1" applyAlignment="1">
      <alignment horizontal="center" vertical="center"/>
    </xf>
    <xf numFmtId="1" fontId="42" fillId="34" borderId="34" xfId="0" applyNumberFormat="1" applyFont="1" applyFill="1" applyBorder="1" applyAlignment="1">
      <alignment horizontal="center" vertical="center"/>
    </xf>
    <xf numFmtId="0" fontId="38" fillId="27" borderId="62" xfId="47" applyFont="1" applyFill="1" applyBorder="1" applyAlignment="1">
      <alignment horizontal="center" vertical="center" wrapText="1"/>
    </xf>
    <xf numFmtId="0" fontId="38" fillId="27" borderId="53" xfId="47" applyFont="1" applyFill="1" applyBorder="1" applyAlignment="1">
      <alignment horizontal="center" vertical="center" wrapText="1"/>
    </xf>
    <xf numFmtId="0" fontId="37" fillId="0" borderId="0" xfId="47" applyFont="1" applyAlignment="1">
      <alignment horizontal="center"/>
    </xf>
    <xf numFmtId="0" fontId="42" fillId="27" borderId="66" xfId="74" applyFont="1" applyFill="1" applyBorder="1" applyAlignment="1">
      <alignment horizontal="center" vertical="center" wrapText="1"/>
    </xf>
    <xf numFmtId="0" fontId="42" fillId="27" borderId="67" xfId="74" applyFont="1" applyFill="1" applyBorder="1" applyAlignment="1">
      <alignment horizontal="center" vertical="center" wrapText="1"/>
    </xf>
    <xf numFmtId="1" fontId="42" fillId="34" borderId="65" xfId="0" applyNumberFormat="1" applyFont="1" applyFill="1" applyBorder="1" applyAlignment="1">
      <alignment horizontal="center" vertical="center" wrapText="1"/>
    </xf>
    <xf numFmtId="1" fontId="42" fillId="34" borderId="63" xfId="0" applyNumberFormat="1" applyFont="1" applyFill="1" applyBorder="1" applyAlignment="1">
      <alignment horizontal="center" vertical="center" wrapText="1"/>
    </xf>
    <xf numFmtId="3" fontId="67" fillId="27" borderId="42" xfId="231" applyNumberFormat="1" applyFont="1" applyFill="1" applyBorder="1" applyAlignment="1">
      <alignment horizontal="center" vertical="center" wrapText="1"/>
    </xf>
    <xf numFmtId="180" fontId="67" fillId="27" borderId="19" xfId="231" applyFont="1" applyFill="1" applyBorder="1" applyAlignment="1">
      <alignment horizontal="center" vertical="center" wrapText="1"/>
    </xf>
    <xf numFmtId="3" fontId="67" fillId="27" borderId="19" xfId="231" applyNumberFormat="1" applyFont="1" applyFill="1" applyBorder="1" applyAlignment="1">
      <alignment horizontal="center" vertical="center" wrapText="1"/>
    </xf>
    <xf numFmtId="3" fontId="70" fillId="27" borderId="52" xfId="231" applyNumberFormat="1" applyFont="1" applyFill="1" applyBorder="1" applyAlignment="1">
      <alignment horizontal="center" vertical="center" wrapText="1"/>
    </xf>
    <xf numFmtId="180" fontId="70" fillId="27" borderId="44" xfId="231" applyFont="1" applyFill="1" applyBorder="1" applyAlignment="1">
      <alignment horizontal="center" vertical="center" wrapText="1"/>
    </xf>
    <xf numFmtId="3" fontId="67" fillId="27" borderId="57" xfId="231" applyNumberFormat="1" applyFont="1" applyFill="1" applyBorder="1" applyAlignment="1">
      <alignment horizontal="center" vertical="center" wrapText="1"/>
    </xf>
    <xf numFmtId="180" fontId="67" fillId="27" borderId="69" xfId="231" applyFont="1" applyFill="1" applyBorder="1" applyAlignment="1">
      <alignment horizontal="center" vertical="center" wrapText="1"/>
    </xf>
    <xf numFmtId="3" fontId="67" fillId="32" borderId="42" xfId="231" applyNumberFormat="1" applyFont="1" applyFill="1" applyBorder="1" applyAlignment="1">
      <alignment horizontal="center" vertical="center" wrapText="1"/>
    </xf>
    <xf numFmtId="180" fontId="67" fillId="32" borderId="19" xfId="231" applyFont="1" applyFill="1" applyBorder="1" applyAlignment="1">
      <alignment horizontal="center" vertical="center" wrapText="1"/>
    </xf>
    <xf numFmtId="3" fontId="67" fillId="27" borderId="81" xfId="231" applyNumberFormat="1" applyFont="1" applyFill="1" applyBorder="1" applyAlignment="1">
      <alignment horizontal="center" vertical="center" wrapText="1"/>
    </xf>
    <xf numFmtId="180" fontId="67" fillId="27" borderId="87" xfId="231" applyFont="1" applyFill="1" applyBorder="1" applyAlignment="1">
      <alignment horizontal="center" vertical="center" wrapText="1"/>
    </xf>
    <xf numFmtId="0" fontId="89" fillId="39" borderId="34" xfId="0" applyFont="1" applyFill="1" applyBorder="1" applyAlignment="1">
      <alignment horizontal="center"/>
    </xf>
    <xf numFmtId="0" fontId="89" fillId="39" borderId="63" xfId="0" applyFont="1" applyFill="1" applyBorder="1" applyAlignment="1">
      <alignment horizontal="center"/>
    </xf>
    <xf numFmtId="1" fontId="42" fillId="34" borderId="78" xfId="0" applyNumberFormat="1" applyFont="1" applyFill="1" applyBorder="1" applyAlignment="1">
      <alignment horizontal="center" vertical="center" wrapText="1"/>
    </xf>
    <xf numFmtId="1" fontId="42" fillId="34" borderId="95" xfId="0" applyNumberFormat="1" applyFont="1" applyFill="1" applyBorder="1" applyAlignment="1">
      <alignment horizontal="center" vertical="center" wrapText="1"/>
    </xf>
    <xf numFmtId="1" fontId="42" fillId="34" borderId="69" xfId="0" applyNumberFormat="1" applyFont="1" applyFill="1" applyBorder="1" applyAlignment="1">
      <alignment horizontal="center" vertical="center" wrapText="1"/>
    </xf>
    <xf numFmtId="0" fontId="89" fillId="39" borderId="52" xfId="0" applyFont="1" applyFill="1" applyBorder="1" applyAlignment="1">
      <alignment horizontal="center"/>
    </xf>
    <xf numFmtId="0" fontId="89" fillId="39" borderId="44" xfId="0" applyFont="1" applyFill="1" applyBorder="1" applyAlignment="1">
      <alignment horizontal="center"/>
    </xf>
    <xf numFmtId="0" fontId="89" fillId="39" borderId="43" xfId="0" applyFont="1" applyFill="1" applyBorder="1" applyAlignment="1">
      <alignment horizontal="center"/>
    </xf>
    <xf numFmtId="0" fontId="42" fillId="27" borderId="88" xfId="47" applyFont="1" applyFill="1" applyBorder="1" applyAlignment="1">
      <alignment horizontal="center" vertical="center" wrapText="1"/>
    </xf>
    <xf numFmtId="0" fontId="42" fillId="27" borderId="50" xfId="47" applyFont="1" applyFill="1" applyBorder="1" applyAlignment="1">
      <alignment horizontal="center" vertical="center" wrapText="1"/>
    </xf>
    <xf numFmtId="0" fontId="42" fillId="27" borderId="107" xfId="47" applyFont="1" applyFill="1" applyBorder="1" applyAlignment="1">
      <alignment horizontal="center" vertical="center" wrapText="1"/>
    </xf>
    <xf numFmtId="0" fontId="42" fillId="27" borderId="79" xfId="47" applyFont="1" applyFill="1" applyBorder="1" applyAlignment="1">
      <alignment horizontal="center" vertical="center" wrapText="1"/>
    </xf>
    <xf numFmtId="0" fontId="41" fillId="31" borderId="88" xfId="0" applyFont="1" applyFill="1" applyBorder="1" applyAlignment="1">
      <alignment horizontal="center"/>
    </xf>
    <xf numFmtId="0" fontId="42" fillId="27" borderId="48" xfId="47" applyFont="1" applyFill="1" applyBorder="1" applyAlignment="1">
      <alignment horizontal="center" vertical="center" wrapText="1"/>
    </xf>
    <xf numFmtId="0" fontId="42" fillId="27" borderId="49" xfId="47" applyFont="1" applyFill="1" applyBorder="1" applyAlignment="1">
      <alignment horizontal="center" vertical="center" wrapText="1"/>
    </xf>
    <xf numFmtId="173" fontId="45" fillId="35" borderId="47" xfId="52" applyNumberFormat="1" applyFont="1" applyFill="1" applyBorder="1" applyAlignment="1" applyProtection="1">
      <alignment horizontal="center" vertical="center"/>
      <protection locked="0"/>
    </xf>
    <xf numFmtId="173" fontId="45" fillId="35" borderId="55" xfId="52" applyNumberFormat="1" applyFont="1" applyFill="1" applyBorder="1" applyAlignment="1" applyProtection="1">
      <alignment horizontal="center" vertical="center"/>
      <protection locked="0"/>
    </xf>
    <xf numFmtId="173" fontId="45" fillId="35" borderId="56" xfId="52" applyNumberFormat="1" applyFont="1" applyFill="1" applyBorder="1" applyAlignment="1" applyProtection="1">
      <alignment horizontal="center" vertical="center"/>
      <protection locked="0"/>
    </xf>
    <xf numFmtId="173" fontId="45" fillId="35" borderId="51" xfId="52" applyNumberFormat="1" applyFont="1" applyFill="1" applyBorder="1" applyAlignment="1" applyProtection="1">
      <alignment horizontal="center" vertical="center"/>
      <protection locked="0"/>
    </xf>
    <xf numFmtId="0" fontId="42" fillId="27" borderId="119" xfId="47" applyFont="1" applyFill="1" applyBorder="1" applyAlignment="1">
      <alignment horizontal="center" vertical="center" wrapText="1"/>
    </xf>
    <xf numFmtId="173" fontId="45" fillId="35" borderId="47" xfId="52" applyNumberFormat="1" applyFont="1" applyFill="1" applyBorder="1" applyAlignment="1" applyProtection="1">
      <alignment horizontal="center" vertical="center"/>
    </xf>
    <xf numFmtId="173" fontId="45" fillId="35" borderId="55" xfId="52" applyNumberFormat="1" applyFont="1" applyFill="1" applyBorder="1" applyAlignment="1" applyProtection="1">
      <alignment horizontal="center" vertical="center"/>
    </xf>
    <xf numFmtId="173" fontId="45" fillId="35" borderId="56" xfId="52" applyNumberFormat="1" applyFont="1" applyFill="1" applyBorder="1" applyAlignment="1" applyProtection="1">
      <alignment horizontal="center" vertical="center"/>
    </xf>
    <xf numFmtId="173" fontId="45" fillId="35" borderId="51" xfId="52" applyNumberFormat="1" applyFont="1" applyFill="1" applyBorder="1" applyAlignment="1" applyProtection="1">
      <alignment horizontal="center" vertical="center"/>
    </xf>
    <xf numFmtId="0" fontId="48" fillId="31" borderId="85" xfId="0" applyFont="1" applyFill="1" applyBorder="1" applyAlignment="1">
      <alignment horizontal="center"/>
    </xf>
    <xf numFmtId="0" fontId="48" fillId="31" borderId="83" xfId="0" applyFont="1" applyFill="1" applyBorder="1" applyAlignment="1">
      <alignment horizontal="center"/>
    </xf>
    <xf numFmtId="0" fontId="48" fillId="31" borderId="86" xfId="0" applyFont="1" applyFill="1" applyBorder="1" applyAlignment="1">
      <alignment horizontal="center"/>
    </xf>
    <xf numFmtId="0" fontId="41" fillId="31" borderId="62" xfId="0" applyFont="1" applyFill="1" applyBorder="1" applyAlignment="1">
      <alignment horizontal="center"/>
    </xf>
    <xf numFmtId="0" fontId="41" fillId="31" borderId="53" xfId="0" applyFont="1" applyFill="1" applyBorder="1" applyAlignment="1">
      <alignment horizontal="center"/>
    </xf>
    <xf numFmtId="0" fontId="41" fillId="31" borderId="32" xfId="0" applyFont="1" applyFill="1" applyBorder="1" applyAlignment="1">
      <alignment horizontal="center"/>
    </xf>
    <xf numFmtId="0" fontId="41" fillId="31" borderId="33" xfId="0" applyFont="1" applyFill="1" applyBorder="1" applyAlignment="1">
      <alignment horizontal="center"/>
    </xf>
    <xf numFmtId="0" fontId="48" fillId="31" borderId="48" xfId="0" applyFont="1" applyFill="1" applyBorder="1" applyAlignment="1">
      <alignment horizontal="center"/>
    </xf>
    <xf numFmtId="0" fontId="48" fillId="31" borderId="49" xfId="0" applyFont="1" applyFill="1" applyBorder="1" applyAlignment="1">
      <alignment horizontal="center"/>
    </xf>
    <xf numFmtId="0" fontId="38" fillId="27" borderId="60" xfId="47" applyFont="1" applyFill="1" applyBorder="1" applyAlignment="1">
      <alignment horizontal="center" vertical="center" wrapText="1"/>
    </xf>
    <xf numFmtId="0" fontId="38" fillId="27" borderId="37" xfId="47" applyFont="1" applyFill="1" applyBorder="1" applyAlignment="1">
      <alignment horizontal="center" vertical="center" wrapText="1"/>
    </xf>
    <xf numFmtId="0" fontId="38" fillId="27" borderId="66" xfId="47" applyFont="1" applyFill="1" applyBorder="1" applyAlignment="1">
      <alignment horizontal="center" vertical="center" wrapText="1"/>
    </xf>
    <xf numFmtId="0" fontId="38" fillId="27" borderId="64" xfId="47" applyFont="1" applyFill="1" applyBorder="1" applyAlignment="1">
      <alignment horizontal="center" vertical="center" wrapText="1"/>
    </xf>
    <xf numFmtId="1" fontId="43" fillId="30" borderId="26" xfId="0" applyNumberFormat="1" applyFont="1" applyFill="1" applyBorder="1" applyAlignment="1">
      <alignment horizontal="center" vertical="center"/>
    </xf>
    <xf numFmtId="1" fontId="43" fillId="30" borderId="61" xfId="0" applyNumberFormat="1" applyFont="1" applyFill="1" applyBorder="1" applyAlignment="1">
      <alignment horizontal="center" vertical="center"/>
    </xf>
    <xf numFmtId="169" fontId="43" fillId="30" borderId="45" xfId="0" applyNumberFormat="1" applyFont="1" applyFill="1" applyBorder="1" applyAlignment="1">
      <alignment horizontal="center" vertical="center"/>
    </xf>
    <xf numFmtId="169" fontId="43" fillId="30" borderId="67" xfId="0" applyNumberFormat="1" applyFont="1" applyFill="1" applyBorder="1" applyAlignment="1">
      <alignment horizontal="center" vertical="center"/>
    </xf>
    <xf numFmtId="0" fontId="41" fillId="31" borderId="88" xfId="48" applyFont="1" applyFill="1" applyBorder="1" applyAlignment="1">
      <alignment horizontal="center"/>
    </xf>
    <xf numFmtId="0" fontId="41" fillId="31" borderId="0" xfId="48" applyFont="1" applyFill="1" applyAlignment="1">
      <alignment horizontal="center"/>
    </xf>
    <xf numFmtId="0" fontId="57" fillId="36" borderId="50" xfId="48" applyFont="1" applyFill="1" applyBorder="1" applyAlignment="1">
      <alignment horizontal="center"/>
    </xf>
    <xf numFmtId="0" fontId="57" fillId="36" borderId="34" xfId="48" applyFont="1" applyFill="1" applyBorder="1" applyAlignment="1">
      <alignment horizontal="center"/>
    </xf>
    <xf numFmtId="0" fontId="57" fillId="36" borderId="87" xfId="48" applyFont="1" applyFill="1" applyBorder="1" applyAlignment="1">
      <alignment horizontal="center"/>
    </xf>
    <xf numFmtId="0" fontId="42" fillId="27" borderId="52" xfId="47" applyFont="1" applyFill="1" applyBorder="1" applyAlignment="1">
      <alignment horizontal="center" vertical="center" wrapText="1"/>
    </xf>
    <xf numFmtId="0" fontId="42" fillId="27" borderId="44" xfId="47" applyFont="1" applyFill="1" applyBorder="1" applyAlignment="1">
      <alignment horizontal="center" vertical="center" wrapText="1"/>
    </xf>
    <xf numFmtId="0" fontId="42" fillId="27" borderId="43" xfId="47" applyFont="1" applyFill="1" applyBorder="1" applyAlignment="1">
      <alignment horizontal="center" vertical="center" wrapText="1"/>
    </xf>
    <xf numFmtId="0" fontId="42" fillId="27" borderId="34" xfId="47" applyFont="1" applyFill="1" applyBorder="1" applyAlignment="1">
      <alignment horizontal="center" vertical="center" wrapText="1"/>
    </xf>
    <xf numFmtId="0" fontId="42" fillId="27" borderId="63" xfId="47" applyFont="1" applyFill="1" applyBorder="1" applyAlignment="1">
      <alignment horizontal="center" vertical="center" wrapText="1"/>
    </xf>
    <xf numFmtId="0" fontId="48" fillId="31" borderId="27" xfId="0" applyFont="1" applyFill="1" applyBorder="1" applyAlignment="1">
      <alignment horizontal="center"/>
    </xf>
    <xf numFmtId="0" fontId="48" fillId="31" borderId="28" xfId="0" applyFont="1" applyFill="1" applyBorder="1" applyAlignment="1">
      <alignment horizontal="center"/>
    </xf>
    <xf numFmtId="0" fontId="48" fillId="31" borderId="30" xfId="0" applyFont="1" applyFill="1" applyBorder="1" applyAlignment="1">
      <alignment horizontal="center"/>
    </xf>
    <xf numFmtId="0" fontId="41" fillId="31" borderId="27" xfId="0" applyFont="1" applyFill="1" applyBorder="1" applyAlignment="1">
      <alignment horizontal="center"/>
    </xf>
    <xf numFmtId="0" fontId="41" fillId="31" borderId="28" xfId="0" applyFont="1" applyFill="1" applyBorder="1" applyAlignment="1">
      <alignment horizontal="center"/>
    </xf>
    <xf numFmtId="0" fontId="42" fillId="34" borderId="66" xfId="0" applyFont="1" applyFill="1" applyBorder="1" applyAlignment="1" applyProtection="1">
      <alignment horizontal="center" vertical="center" wrapText="1"/>
      <protection locked="0"/>
    </xf>
    <xf numFmtId="0" fontId="42" fillId="34" borderId="67" xfId="0" applyFont="1" applyFill="1" applyBorder="1" applyAlignment="1" applyProtection="1">
      <alignment horizontal="center" vertical="center" wrapText="1"/>
      <protection locked="0"/>
    </xf>
    <xf numFmtId="0" fontId="42" fillId="34" borderId="98" xfId="0" applyFont="1" applyFill="1" applyBorder="1" applyAlignment="1" applyProtection="1">
      <alignment horizontal="center" vertical="center" wrapText="1"/>
      <protection locked="0"/>
    </xf>
    <xf numFmtId="0" fontId="42" fillId="34" borderId="99" xfId="0" applyFont="1" applyFill="1" applyBorder="1" applyAlignment="1" applyProtection="1">
      <alignment horizontal="center" vertical="center" wrapText="1"/>
      <protection locked="0"/>
    </xf>
    <xf numFmtId="0" fontId="48" fillId="31" borderId="93" xfId="0" applyFont="1" applyFill="1" applyBorder="1" applyAlignment="1" applyProtection="1">
      <alignment horizontal="center"/>
      <protection locked="0"/>
    </xf>
    <xf numFmtId="0" fontId="48" fillId="31" borderId="97" xfId="0" applyFont="1" applyFill="1" applyBorder="1" applyAlignment="1" applyProtection="1">
      <alignment horizontal="center"/>
      <protection locked="0"/>
    </xf>
    <xf numFmtId="0" fontId="42" fillId="34" borderId="112" xfId="0" applyFont="1" applyFill="1" applyBorder="1" applyAlignment="1">
      <alignment horizontal="center" vertical="center" wrapText="1"/>
    </xf>
    <xf numFmtId="1" fontId="42" fillId="34" borderId="78" xfId="0" applyNumberFormat="1" applyFont="1" applyFill="1" applyBorder="1" applyAlignment="1" applyProtection="1">
      <alignment horizontal="center" vertical="center" wrapText="1"/>
      <protection locked="0"/>
    </xf>
    <xf numFmtId="0" fontId="42" fillId="34" borderId="95" xfId="0" applyFont="1" applyFill="1" applyBorder="1" applyAlignment="1" applyProtection="1">
      <alignment horizontal="center" vertical="center" wrapText="1"/>
      <protection locked="0"/>
    </xf>
    <xf numFmtId="0" fontId="42" fillId="34" borderId="94" xfId="0" applyFont="1" applyFill="1" applyBorder="1" applyAlignment="1">
      <alignment horizontal="center" vertical="center" wrapText="1"/>
    </xf>
    <xf numFmtId="0" fontId="48" fillId="31" borderId="39" xfId="0" applyFont="1" applyFill="1" applyBorder="1" applyAlignment="1">
      <alignment horizontal="center"/>
    </xf>
    <xf numFmtId="0" fontId="48" fillId="31" borderId="127" xfId="0" applyFont="1" applyFill="1" applyBorder="1" applyAlignment="1">
      <alignment horizontal="center"/>
    </xf>
    <xf numFmtId="0" fontId="48" fillId="31" borderId="21" xfId="0" applyFont="1" applyFill="1" applyBorder="1" applyAlignment="1">
      <alignment horizontal="center"/>
    </xf>
    <xf numFmtId="0" fontId="41" fillId="31" borderId="128" xfId="0" applyFont="1" applyFill="1" applyBorder="1" applyAlignment="1">
      <alignment horizontal="center"/>
    </xf>
    <xf numFmtId="0" fontId="41" fillId="31" borderId="34" xfId="0" applyFont="1" applyFill="1" applyBorder="1" applyAlignment="1">
      <alignment horizontal="center"/>
    </xf>
    <xf numFmtId="0" fontId="48" fillId="31" borderId="52" xfId="0" applyFont="1" applyFill="1" applyBorder="1" applyAlignment="1">
      <alignment horizontal="center"/>
    </xf>
    <xf numFmtId="0" fontId="48" fillId="31" borderId="44" xfId="0" applyFont="1" applyFill="1" applyBorder="1" applyAlignment="1">
      <alignment horizontal="center"/>
    </xf>
    <xf numFmtId="0" fontId="38" fillId="27" borderId="75" xfId="47" applyFont="1" applyFill="1" applyBorder="1" applyAlignment="1">
      <alignment horizontal="center" vertical="center" wrapText="1"/>
    </xf>
    <xf numFmtId="1" fontId="42" fillId="34" borderId="59" xfId="68" applyNumberFormat="1" applyFont="1" applyFill="1" applyBorder="1" applyAlignment="1">
      <alignment horizontal="center" vertical="center" wrapText="1"/>
    </xf>
    <xf numFmtId="1" fontId="42" fillId="34" borderId="65" xfId="68" applyNumberFormat="1" applyFont="1" applyFill="1" applyBorder="1" applyAlignment="1">
      <alignment horizontal="center" vertical="center" wrapText="1"/>
    </xf>
    <xf numFmtId="0" fontId="38" fillId="27" borderId="52" xfId="72" applyFont="1" applyFill="1" applyBorder="1" applyAlignment="1">
      <alignment horizontal="center" vertical="center" wrapText="1"/>
    </xf>
    <xf numFmtId="0" fontId="38" fillId="27" borderId="43" xfId="72" applyFont="1" applyFill="1" applyBorder="1" applyAlignment="1">
      <alignment horizontal="center" vertical="center" wrapText="1"/>
    </xf>
    <xf numFmtId="0" fontId="38" fillId="27" borderId="44" xfId="72" applyFont="1" applyFill="1" applyBorder="1" applyAlignment="1">
      <alignment horizontal="center" vertical="center" wrapText="1"/>
    </xf>
    <xf numFmtId="1" fontId="42" fillId="34" borderId="52" xfId="48" applyNumberFormat="1" applyFont="1" applyFill="1" applyBorder="1" applyAlignment="1">
      <alignment horizontal="center" vertical="center" wrapText="1"/>
    </xf>
    <xf numFmtId="1" fontId="42" fillId="34" borderId="44" xfId="48" applyNumberFormat="1" applyFont="1" applyFill="1" applyBorder="1" applyAlignment="1">
      <alignment horizontal="center" vertical="center" wrapText="1"/>
    </xf>
    <xf numFmtId="1" fontId="42" fillId="34" borderId="43" xfId="48" applyNumberFormat="1" applyFont="1" applyFill="1" applyBorder="1" applyAlignment="1">
      <alignment horizontal="center" vertical="center" wrapText="1"/>
    </xf>
    <xf numFmtId="0" fontId="38" fillId="27" borderId="50" xfId="72" applyFont="1" applyFill="1" applyBorder="1" applyAlignment="1">
      <alignment horizontal="center" vertical="center" wrapText="1"/>
    </xf>
    <xf numFmtId="0" fontId="38" fillId="27" borderId="34" xfId="72" applyFont="1" applyFill="1" applyBorder="1" applyAlignment="1">
      <alignment horizontal="center" vertical="center" wrapText="1"/>
    </xf>
    <xf numFmtId="0" fontId="42" fillId="27" borderId="14" xfId="72" applyFont="1" applyFill="1" applyBorder="1" applyAlignment="1">
      <alignment horizontal="center" vertical="center" wrapText="1"/>
    </xf>
    <xf numFmtId="0" fontId="42" fillId="27" borderId="118" xfId="72" applyFont="1" applyFill="1" applyBorder="1" applyAlignment="1">
      <alignment horizontal="center" vertical="center" wrapText="1"/>
    </xf>
    <xf numFmtId="0" fontId="42" fillId="27" borderId="49" xfId="72" applyFont="1" applyFill="1" applyBorder="1" applyAlignment="1">
      <alignment horizontal="center" vertical="center" wrapText="1"/>
    </xf>
    <xf numFmtId="0" fontId="42" fillId="27" borderId="92" xfId="72" applyFont="1" applyFill="1" applyBorder="1" applyAlignment="1">
      <alignment horizontal="center" vertical="center" wrapText="1"/>
    </xf>
    <xf numFmtId="0" fontId="48" fillId="31" borderId="69" xfId="48" applyFont="1" applyFill="1" applyBorder="1" applyAlignment="1">
      <alignment horizontal="center"/>
    </xf>
    <xf numFmtId="0" fontId="48" fillId="31" borderId="19" xfId="48" applyFont="1" applyFill="1" applyBorder="1" applyAlignment="1">
      <alignment horizontal="center"/>
    </xf>
    <xf numFmtId="1" fontId="42" fillId="34" borderId="59" xfId="48" applyNumberFormat="1" applyFont="1" applyFill="1" applyBorder="1" applyAlignment="1">
      <alignment horizontal="center" vertical="center" wrapText="1"/>
    </xf>
    <xf numFmtId="1" fontId="42" fillId="34" borderId="74" xfId="48" applyNumberFormat="1" applyFont="1" applyFill="1" applyBorder="1" applyAlignment="1">
      <alignment horizontal="center" vertical="center" wrapText="1"/>
    </xf>
    <xf numFmtId="1" fontId="42" fillId="34" borderId="65" xfId="48" applyNumberFormat="1" applyFont="1" applyFill="1" applyBorder="1" applyAlignment="1">
      <alignment horizontal="center" vertical="center" wrapText="1"/>
    </xf>
    <xf numFmtId="0" fontId="38" fillId="27" borderId="48" xfId="72" applyFont="1" applyFill="1" applyBorder="1" applyAlignment="1">
      <alignment horizontal="center" vertical="center" wrapText="1"/>
    </xf>
    <xf numFmtId="0" fontId="38" fillId="27" borderId="14" xfId="72" applyFont="1" applyFill="1" applyBorder="1" applyAlignment="1">
      <alignment horizontal="center" vertical="center" wrapText="1"/>
    </xf>
    <xf numFmtId="0" fontId="38" fillId="27" borderId="56" xfId="72" applyFont="1" applyFill="1" applyBorder="1" applyAlignment="1">
      <alignment horizontal="center" vertical="center" wrapText="1"/>
    </xf>
    <xf numFmtId="0" fontId="38" fillId="27" borderId="41" xfId="72" applyFont="1" applyFill="1" applyBorder="1" applyAlignment="1">
      <alignment horizontal="center" vertical="center" wrapText="1"/>
    </xf>
    <xf numFmtId="0" fontId="41" fillId="31" borderId="52" xfId="48" applyFont="1" applyFill="1" applyBorder="1" applyAlignment="1">
      <alignment horizontal="center"/>
    </xf>
    <xf numFmtId="0" fontId="41" fillId="31" borderId="44" xfId="48" applyFont="1" applyFill="1" applyBorder="1" applyAlignment="1">
      <alignment horizontal="center"/>
    </xf>
    <xf numFmtId="0" fontId="41" fillId="31" borderId="43" xfId="48" applyFont="1" applyFill="1" applyBorder="1" applyAlignment="1">
      <alignment horizontal="center"/>
    </xf>
    <xf numFmtId="0" fontId="42" fillId="27" borderId="14" xfId="74" applyFont="1" applyFill="1" applyBorder="1" applyAlignment="1">
      <alignment horizontal="center" vertical="center" wrapText="1"/>
    </xf>
    <xf numFmtId="0" fontId="42" fillId="27" borderId="118" xfId="74" applyFont="1" applyFill="1" applyBorder="1" applyAlignment="1">
      <alignment horizontal="center" vertical="center" wrapText="1"/>
    </xf>
    <xf numFmtId="0" fontId="69" fillId="0" borderId="88" xfId="48" applyFont="1" applyBorder="1" applyAlignment="1">
      <alignment horizontal="center" vertical="center" wrapText="1"/>
    </xf>
    <xf numFmtId="0" fontId="69" fillId="0" borderId="0" xfId="48" applyFont="1" applyAlignment="1">
      <alignment horizontal="center" vertical="center" wrapText="1"/>
    </xf>
    <xf numFmtId="0" fontId="40" fillId="0" borderId="0" xfId="48" applyFont="1" applyAlignment="1">
      <alignment horizontal="center" wrapText="1"/>
    </xf>
    <xf numFmtId="0" fontId="41" fillId="31" borderId="59" xfId="48" applyFont="1" applyFill="1" applyBorder="1" applyAlignment="1">
      <alignment horizontal="center"/>
    </xf>
    <xf numFmtId="0" fontId="41" fillId="31" borderId="74" xfId="48" applyFont="1" applyFill="1" applyBorder="1" applyAlignment="1">
      <alignment horizontal="center"/>
    </xf>
    <xf numFmtId="0" fontId="42" fillId="27" borderId="41" xfId="74" applyFont="1" applyFill="1" applyBorder="1" applyAlignment="1">
      <alignment horizontal="center" vertical="center" wrapText="1"/>
    </xf>
    <xf numFmtId="0" fontId="42" fillId="27" borderId="41" xfId="72" applyFont="1" applyFill="1" applyBorder="1" applyAlignment="1">
      <alignment horizontal="center" vertical="center" wrapText="1"/>
    </xf>
    <xf numFmtId="0" fontId="42" fillId="27" borderId="51" xfId="72" applyFont="1" applyFill="1" applyBorder="1" applyAlignment="1">
      <alignment horizontal="center" vertical="center" wrapText="1"/>
    </xf>
    <xf numFmtId="0" fontId="42" fillId="27" borderId="42" xfId="72" applyFont="1" applyFill="1" applyBorder="1" applyAlignment="1">
      <alignment horizontal="center" vertical="center" wrapText="1"/>
    </xf>
    <xf numFmtId="0" fontId="42" fillId="27" borderId="19" xfId="72" applyFont="1" applyFill="1" applyBorder="1" applyAlignment="1">
      <alignment horizontal="center" vertical="center" wrapText="1"/>
    </xf>
    <xf numFmtId="0" fontId="42" fillId="27" borderId="14" xfId="68" applyFont="1" applyFill="1" applyBorder="1" applyAlignment="1">
      <alignment horizontal="center" vertical="center" wrapText="1"/>
    </xf>
    <xf numFmtId="0" fontId="42" fillId="27" borderId="41" xfId="68" applyFont="1" applyFill="1" applyBorder="1" applyAlignment="1">
      <alignment horizontal="center" vertical="center" wrapText="1"/>
    </xf>
    <xf numFmtId="0" fontId="42" fillId="27" borderId="49" xfId="68" applyFont="1" applyFill="1" applyBorder="1" applyAlignment="1">
      <alignment horizontal="center" vertical="center" wrapText="1"/>
    </xf>
    <xf numFmtId="0" fontId="42" fillId="27" borderId="51" xfId="68" applyFont="1" applyFill="1" applyBorder="1" applyAlignment="1">
      <alignment horizontal="center" vertical="center" wrapText="1"/>
    </xf>
    <xf numFmtId="0" fontId="48" fillId="31" borderId="62" xfId="48" applyFont="1" applyFill="1" applyBorder="1" applyAlignment="1">
      <alignment horizontal="center"/>
    </xf>
    <xf numFmtId="0" fontId="48" fillId="31" borderId="53" xfId="48" applyFont="1" applyFill="1" applyBorder="1" applyAlignment="1">
      <alignment horizontal="center"/>
    </xf>
    <xf numFmtId="1" fontId="43" fillId="29" borderId="48" xfId="48" applyNumberFormat="1" applyFont="1" applyFill="1" applyBorder="1" applyAlignment="1">
      <alignment horizontal="center" vertical="center" wrapText="1"/>
    </xf>
    <xf numFmtId="0" fontId="43" fillId="29" borderId="14" xfId="48" applyFont="1" applyFill="1" applyBorder="1" applyAlignment="1">
      <alignment horizontal="center" vertical="center" wrapText="1"/>
    </xf>
    <xf numFmtId="1" fontId="43" fillId="29" borderId="56" xfId="48" applyNumberFormat="1" applyFont="1" applyFill="1" applyBorder="1" applyAlignment="1">
      <alignment horizontal="center" vertical="center" wrapText="1"/>
    </xf>
    <xf numFmtId="0" fontId="43" fillId="29" borderId="41" xfId="48" applyFont="1" applyFill="1" applyBorder="1" applyAlignment="1">
      <alignment horizontal="center" vertical="center" wrapText="1"/>
    </xf>
    <xf numFmtId="0" fontId="41" fillId="31" borderId="59" xfId="68" applyFont="1" applyFill="1" applyBorder="1" applyAlignment="1">
      <alignment horizontal="center" vertical="center" wrapText="1"/>
    </xf>
    <xf numFmtId="0" fontId="41" fillId="31" borderId="74" xfId="68" applyFont="1" applyFill="1" applyBorder="1" applyAlignment="1">
      <alignment horizontal="center" vertical="center" wrapText="1"/>
    </xf>
    <xf numFmtId="0" fontId="41" fillId="31" borderId="65" xfId="68" applyFont="1" applyFill="1" applyBorder="1" applyAlignment="1">
      <alignment horizontal="center" vertical="center" wrapText="1"/>
    </xf>
    <xf numFmtId="0" fontId="42" fillId="27" borderId="48" xfId="68" applyFont="1" applyFill="1" applyBorder="1" applyAlignment="1">
      <alignment horizontal="center" vertical="center" wrapText="1"/>
    </xf>
    <xf numFmtId="0" fontId="42" fillId="27" borderId="56" xfId="68" applyFont="1" applyFill="1" applyBorder="1" applyAlignment="1">
      <alignment horizontal="center" vertical="center" wrapText="1"/>
    </xf>
    <xf numFmtId="0" fontId="48" fillId="31" borderId="50" xfId="48" applyFont="1" applyFill="1" applyBorder="1" applyAlignment="1">
      <alignment horizontal="center"/>
    </xf>
    <xf numFmtId="0" fontId="48" fillId="31" borderId="34" xfId="48" applyFont="1" applyFill="1" applyBorder="1" applyAlignment="1">
      <alignment horizontal="center"/>
    </xf>
    <xf numFmtId="0" fontId="48" fillId="31" borderId="87" xfId="48" applyFont="1" applyFill="1" applyBorder="1" applyAlignment="1">
      <alignment horizontal="center"/>
    </xf>
    <xf numFmtId="0" fontId="42" fillId="27" borderId="48" xfId="74" applyFont="1" applyFill="1" applyBorder="1" applyAlignment="1">
      <alignment horizontal="center" vertical="center" wrapText="1"/>
    </xf>
    <xf numFmtId="0" fontId="42" fillId="27" borderId="120" xfId="74" applyFont="1" applyFill="1" applyBorder="1" applyAlignment="1">
      <alignment horizontal="center" vertical="center" wrapText="1"/>
    </xf>
    <xf numFmtId="0" fontId="53" fillId="25" borderId="76" xfId="48" applyFont="1" applyFill="1" applyBorder="1" applyAlignment="1">
      <alignment horizontal="center"/>
    </xf>
    <xf numFmtId="0" fontId="53" fillId="25" borderId="33" xfId="48" applyFont="1" applyFill="1" applyBorder="1" applyAlignment="1">
      <alignment horizontal="center"/>
    </xf>
    <xf numFmtId="0" fontId="53" fillId="25" borderId="77" xfId="48" applyFont="1" applyFill="1" applyBorder="1" applyAlignment="1">
      <alignment horizontal="center"/>
    </xf>
    <xf numFmtId="0" fontId="40" fillId="0" borderId="55" xfId="72" applyFont="1" applyBorder="1" applyAlignment="1">
      <alignment horizontal="center" vertical="center" wrapText="1"/>
    </xf>
    <xf numFmtId="0" fontId="37" fillId="0" borderId="55" xfId="72" applyFont="1" applyBorder="1" applyAlignment="1">
      <alignment horizontal="center" vertical="center" wrapText="1"/>
    </xf>
    <xf numFmtId="0" fontId="53" fillId="0" borderId="58" xfId="48" applyFont="1" applyBorder="1" applyAlignment="1">
      <alignment horizontal="center" vertical="center" wrapText="1"/>
    </xf>
    <xf numFmtId="0" fontId="54" fillId="0" borderId="70" xfId="48" applyFont="1" applyBorder="1" applyAlignment="1">
      <alignment horizontal="center" vertical="center" wrapText="1"/>
    </xf>
    <xf numFmtId="1" fontId="42" fillId="34" borderId="59" xfId="48" applyNumberFormat="1" applyFont="1" applyFill="1" applyBorder="1" applyAlignment="1">
      <alignment horizontal="center" vertical="center"/>
    </xf>
    <xf numFmtId="1" fontId="42" fillId="34" borderId="65" xfId="48" applyNumberFormat="1" applyFont="1" applyFill="1" applyBorder="1" applyAlignment="1">
      <alignment horizontal="center" vertical="center"/>
    </xf>
    <xf numFmtId="0" fontId="41" fillId="31" borderId="59" xfId="73" applyFont="1" applyFill="1" applyBorder="1" applyAlignment="1">
      <alignment horizontal="center" vertical="center" wrapText="1"/>
    </xf>
    <xf numFmtId="0" fontId="41" fillId="31" borderId="74" xfId="73" applyFont="1" applyFill="1" applyBorder="1" applyAlignment="1">
      <alignment horizontal="center" vertical="center" wrapText="1"/>
    </xf>
    <xf numFmtId="0" fontId="41" fillId="31" borderId="65" xfId="73" applyFont="1" applyFill="1" applyBorder="1" applyAlignment="1">
      <alignment horizontal="center" vertical="center" wrapText="1"/>
    </xf>
    <xf numFmtId="0" fontId="42" fillId="27" borderId="48" xfId="73" applyFont="1" applyFill="1" applyBorder="1" applyAlignment="1">
      <alignment horizontal="center" vertical="center" wrapText="1"/>
    </xf>
    <xf numFmtId="0" fontId="42" fillId="27" borderId="56" xfId="73" applyFont="1" applyFill="1" applyBorder="1" applyAlignment="1">
      <alignment horizontal="center" vertical="center" wrapText="1"/>
    </xf>
    <xf numFmtId="0" fontId="42" fillId="27" borderId="14" xfId="73" applyFont="1" applyFill="1" applyBorder="1" applyAlignment="1">
      <alignment horizontal="center" vertical="center" wrapText="1"/>
    </xf>
    <xf numFmtId="0" fontId="42" fillId="27" borderId="41" xfId="73" applyFont="1" applyFill="1" applyBorder="1" applyAlignment="1">
      <alignment horizontal="center" vertical="center" wrapText="1"/>
    </xf>
    <xf numFmtId="0" fontId="42" fillId="27" borderId="49" xfId="73" applyFont="1" applyFill="1" applyBorder="1" applyAlignment="1">
      <alignment horizontal="center" vertical="center" wrapText="1"/>
    </xf>
    <xf numFmtId="0" fontId="42" fillId="27" borderId="51" xfId="73" applyFont="1" applyFill="1" applyBorder="1" applyAlignment="1">
      <alignment horizontal="center" vertical="center" wrapText="1"/>
    </xf>
    <xf numFmtId="0" fontId="41" fillId="31" borderId="46" xfId="48" applyFont="1" applyFill="1" applyBorder="1" applyAlignment="1">
      <alignment horizontal="center"/>
    </xf>
    <xf numFmtId="1" fontId="60" fillId="38" borderId="0" xfId="48" applyNumberFormat="1" applyFont="1" applyFill="1" applyAlignment="1">
      <alignment horizontal="center" vertical="center" wrapText="1"/>
    </xf>
    <xf numFmtId="0" fontId="41" fillId="31" borderId="24" xfId="48" applyFont="1" applyFill="1" applyBorder="1" applyAlignment="1">
      <alignment horizontal="center"/>
    </xf>
    <xf numFmtId="0" fontId="42" fillId="27" borderId="42" xfId="74" applyFont="1" applyFill="1" applyBorder="1" applyAlignment="1">
      <alignment horizontal="center" vertical="center" wrapText="1"/>
    </xf>
    <xf numFmtId="0" fontId="42" fillId="27" borderId="19" xfId="74" applyFont="1" applyFill="1" applyBorder="1" applyAlignment="1">
      <alignment horizontal="center" vertical="center" wrapText="1"/>
    </xf>
    <xf numFmtId="0" fontId="42" fillId="27" borderId="62" xfId="72" applyFont="1" applyFill="1" applyBorder="1" applyAlignment="1">
      <alignment horizontal="center" vertical="center" wrapText="1"/>
    </xf>
    <xf numFmtId="0" fontId="42" fillId="27" borderId="24" xfId="72" applyFont="1" applyFill="1" applyBorder="1" applyAlignment="1">
      <alignment horizontal="center" vertical="center" wrapText="1"/>
    </xf>
    <xf numFmtId="0" fontId="41" fillId="31" borderId="59" xfId="78" applyFont="1" applyFill="1" applyBorder="1" applyAlignment="1">
      <alignment horizontal="center" vertical="center" wrapText="1"/>
    </xf>
    <xf numFmtId="0" fontId="41" fillId="31" borderId="74" xfId="78" applyFont="1" applyFill="1" applyBorder="1" applyAlignment="1">
      <alignment horizontal="center" vertical="center" wrapText="1"/>
    </xf>
    <xf numFmtId="0" fontId="41" fillId="31" borderId="65" xfId="78" applyFont="1" applyFill="1" applyBorder="1" applyAlignment="1">
      <alignment horizontal="center" vertical="center" wrapText="1"/>
    </xf>
    <xf numFmtId="0" fontId="42" fillId="27" borderId="48" xfId="75" applyFont="1" applyFill="1" applyBorder="1" applyAlignment="1">
      <alignment horizontal="center" vertical="center" wrapText="1"/>
    </xf>
    <xf numFmtId="0" fontId="42" fillId="27" borderId="56" xfId="75" applyFont="1" applyFill="1" applyBorder="1" applyAlignment="1">
      <alignment horizontal="center" vertical="center" wrapText="1"/>
    </xf>
    <xf numFmtId="0" fontId="42" fillId="27" borderId="14" xfId="75" applyFont="1" applyFill="1" applyBorder="1" applyAlignment="1">
      <alignment horizontal="center" vertical="center" wrapText="1"/>
    </xf>
    <xf numFmtId="0" fontId="42" fillId="27" borderId="41" xfId="75" applyFont="1" applyFill="1" applyBorder="1" applyAlignment="1">
      <alignment horizontal="center" vertical="center" wrapText="1"/>
    </xf>
    <xf numFmtId="0" fontId="42" fillId="27" borderId="49" xfId="75" applyFont="1" applyFill="1" applyBorder="1" applyAlignment="1">
      <alignment horizontal="center" vertical="center" wrapText="1"/>
    </xf>
    <xf numFmtId="0" fontId="42" fillId="27" borderId="51" xfId="75" applyFont="1" applyFill="1" applyBorder="1" applyAlignment="1">
      <alignment horizontal="center" vertical="center" wrapText="1"/>
    </xf>
    <xf numFmtId="0" fontId="73" fillId="0" borderId="118" xfId="78" applyFont="1" applyBorder="1" applyAlignment="1">
      <alignment horizontal="center" vertical="center" wrapText="1"/>
    </xf>
    <xf numFmtId="0" fontId="73" fillId="0" borderId="10" xfId="78" applyFont="1" applyBorder="1" applyAlignment="1">
      <alignment horizontal="center" vertical="center" wrapText="1"/>
    </xf>
    <xf numFmtId="0" fontId="78" fillId="31" borderId="126" xfId="48" applyFont="1" applyFill="1" applyBorder="1" applyAlignment="1">
      <alignment horizontal="center"/>
    </xf>
    <xf numFmtId="0" fontId="78" fillId="31" borderId="87" xfId="48" applyFont="1" applyFill="1" applyBorder="1" applyAlignment="1">
      <alignment horizontal="center"/>
    </xf>
    <xf numFmtId="0" fontId="75" fillId="31" borderId="52" xfId="78" applyFont="1" applyFill="1" applyBorder="1" applyAlignment="1">
      <alignment horizontal="center" vertical="center" wrapText="1"/>
    </xf>
    <xf numFmtId="0" fontId="75" fillId="31" borderId="44" xfId="78" applyFont="1" applyFill="1" applyBorder="1" applyAlignment="1">
      <alignment horizontal="center" vertical="center" wrapText="1"/>
    </xf>
    <xf numFmtId="0" fontId="75" fillId="31" borderId="43" xfId="78" applyFont="1" applyFill="1" applyBorder="1" applyAlignment="1">
      <alignment horizontal="center" vertical="center" wrapText="1"/>
    </xf>
    <xf numFmtId="0" fontId="67" fillId="27" borderId="42" xfId="85" applyFont="1" applyFill="1" applyBorder="1" applyAlignment="1">
      <alignment horizontal="center" vertical="center" wrapText="1"/>
    </xf>
    <xf numFmtId="0" fontId="67" fillId="27" borderId="100" xfId="85" applyFont="1" applyFill="1" applyBorder="1" applyAlignment="1">
      <alignment horizontal="center" vertical="center" wrapText="1"/>
    </xf>
    <xf numFmtId="0" fontId="67" fillId="27" borderId="19" xfId="85" applyFont="1" applyFill="1" applyBorder="1" applyAlignment="1">
      <alignment horizontal="center" vertical="center" wrapText="1"/>
    </xf>
    <xf numFmtId="0" fontId="78" fillId="31" borderId="25" xfId="48" applyFont="1" applyFill="1" applyBorder="1" applyAlignment="1">
      <alignment horizontal="center"/>
    </xf>
    <xf numFmtId="0" fontId="78" fillId="31" borderId="105" xfId="48" applyFont="1" applyFill="1" applyBorder="1" applyAlignment="1">
      <alignment horizontal="center"/>
    </xf>
    <xf numFmtId="0" fontId="67" fillId="27" borderId="42" xfId="84" applyFont="1" applyFill="1" applyBorder="1" applyAlignment="1">
      <alignment horizontal="center" vertical="center" wrapText="1"/>
    </xf>
    <xf numFmtId="0" fontId="67" fillId="27" borderId="19" xfId="84" applyFont="1" applyFill="1" applyBorder="1" applyAlignment="1">
      <alignment horizontal="center" vertical="center" wrapText="1"/>
    </xf>
    <xf numFmtId="0" fontId="67" fillId="27" borderId="58" xfId="85" applyFont="1" applyFill="1" applyBorder="1" applyAlignment="1">
      <alignment horizontal="center" vertical="center" wrapText="1"/>
    </xf>
    <xf numFmtId="0" fontId="67" fillId="27" borderId="70" xfId="85" applyFont="1" applyFill="1" applyBorder="1" applyAlignment="1">
      <alignment horizontal="center" vertical="center" wrapText="1"/>
    </xf>
    <xf numFmtId="0" fontId="46" fillId="31" borderId="54" xfId="48" applyFont="1" applyFill="1" applyBorder="1" applyAlignment="1">
      <alignment horizontal="center"/>
    </xf>
    <xf numFmtId="0" fontId="16" fillId="32" borderId="119" xfId="4642" applyNumberFormat="1" applyFont="1" applyFill="1" applyBorder="1" applyAlignment="1" applyProtection="1">
      <alignment horizontal="center" vertical="center"/>
    </xf>
    <xf numFmtId="0" fontId="16" fillId="32" borderId="119" xfId="1081" applyFill="1" applyBorder="1" applyAlignment="1" applyProtection="1">
      <alignment horizontal="center" vertical="center"/>
    </xf>
    <xf numFmtId="172" fontId="16" fillId="32" borderId="119" xfId="4642" applyNumberFormat="1" applyFont="1" applyFill="1" applyBorder="1" applyAlignment="1" applyProtection="1">
      <alignment horizontal="center" vertical="center"/>
    </xf>
    <xf numFmtId="0" fontId="1" fillId="0" borderId="0" xfId="4643" applyProtection="1"/>
    <xf numFmtId="0" fontId="103" fillId="35" borderId="0" xfId="4642" applyNumberFormat="1" applyFont="1" applyFill="1" applyAlignment="1" applyProtection="1">
      <alignment vertical="top"/>
    </xf>
    <xf numFmtId="0" fontId="103" fillId="35" borderId="0" xfId="1073" applyNumberFormat="1" applyFont="1" applyFill="1" applyAlignment="1" applyProtection="1">
      <alignment vertical="top"/>
    </xf>
    <xf numFmtId="172" fontId="103" fillId="35" borderId="0" xfId="4642" applyNumberFormat="1" applyFont="1" applyFill="1" applyAlignment="1" applyProtection="1">
      <alignment vertical="top"/>
    </xf>
    <xf numFmtId="0" fontId="1" fillId="35" borderId="0" xfId="4643" applyFill="1" applyProtection="1"/>
    <xf numFmtId="172" fontId="0" fillId="35" borderId="0" xfId="4642" applyNumberFormat="1" applyFont="1" applyFill="1" applyProtection="1"/>
    <xf numFmtId="0" fontId="0" fillId="35" borderId="0" xfId="4642" applyNumberFormat="1" applyFont="1" applyFill="1" applyProtection="1"/>
    <xf numFmtId="0" fontId="0" fillId="43" borderId="0" xfId="4642" applyNumberFormat="1" applyFont="1" applyFill="1" applyProtection="1"/>
    <xf numFmtId="0" fontId="0" fillId="0" borderId="0" xfId="4642" applyNumberFormat="1" applyFont="1" applyProtection="1"/>
    <xf numFmtId="172" fontId="0" fillId="0" borderId="0" xfId="4642" applyNumberFormat="1" applyFont="1" applyProtection="1"/>
  </cellXfs>
  <cellStyles count="4644">
    <cellStyle name="20% - Accent1" xfId="1" xr:uid="{00000000-0005-0000-0000-000000000000}"/>
    <cellStyle name="20% - Accent1 2" xfId="86" xr:uid="{00000000-0005-0000-0000-000001000000}"/>
    <cellStyle name="20% - Accent1 3" xfId="236" xr:uid="{00000000-0005-0000-0000-000002000000}"/>
    <cellStyle name="20% - Accent2" xfId="2" xr:uid="{00000000-0005-0000-0000-000003000000}"/>
    <cellStyle name="20% - Accent2 2" xfId="87" xr:uid="{00000000-0005-0000-0000-000004000000}"/>
    <cellStyle name="20% - Accent2 3" xfId="237" xr:uid="{00000000-0005-0000-0000-000005000000}"/>
    <cellStyle name="20% - Accent3" xfId="3" xr:uid="{00000000-0005-0000-0000-000006000000}"/>
    <cellStyle name="20% - Accent3 2" xfId="88" xr:uid="{00000000-0005-0000-0000-000007000000}"/>
    <cellStyle name="20% - Accent3 3" xfId="238" xr:uid="{00000000-0005-0000-0000-000008000000}"/>
    <cellStyle name="20% - Accent4" xfId="4" xr:uid="{00000000-0005-0000-0000-000009000000}"/>
    <cellStyle name="20% - Accent4 2" xfId="89" xr:uid="{00000000-0005-0000-0000-00000A000000}"/>
    <cellStyle name="20% - Accent4 3" xfId="239" xr:uid="{00000000-0005-0000-0000-00000B000000}"/>
    <cellStyle name="20% - Accent5" xfId="5" xr:uid="{00000000-0005-0000-0000-00000C000000}"/>
    <cellStyle name="20% - Accent5 2" xfId="90" xr:uid="{00000000-0005-0000-0000-00000D000000}"/>
    <cellStyle name="20% - Accent5 3" xfId="240" xr:uid="{00000000-0005-0000-0000-00000E000000}"/>
    <cellStyle name="20% - Accent6" xfId="6" xr:uid="{00000000-0005-0000-0000-00000F000000}"/>
    <cellStyle name="20% - Accent6 2" xfId="91" xr:uid="{00000000-0005-0000-0000-000010000000}"/>
    <cellStyle name="20% - Accent6 3" xfId="241" xr:uid="{00000000-0005-0000-0000-000011000000}"/>
    <cellStyle name="40% - Accent1" xfId="7" xr:uid="{00000000-0005-0000-0000-000012000000}"/>
    <cellStyle name="40% - Accent1 2" xfId="92" xr:uid="{00000000-0005-0000-0000-000013000000}"/>
    <cellStyle name="40% - Accent1 3" xfId="242" xr:uid="{00000000-0005-0000-0000-000014000000}"/>
    <cellStyle name="40% - Accent2" xfId="8" xr:uid="{00000000-0005-0000-0000-000015000000}"/>
    <cellStyle name="40% - Accent2 2" xfId="93" xr:uid="{00000000-0005-0000-0000-000016000000}"/>
    <cellStyle name="40% - Accent2 3" xfId="243" xr:uid="{00000000-0005-0000-0000-000017000000}"/>
    <cellStyle name="40% - Accent3" xfId="9" xr:uid="{00000000-0005-0000-0000-000018000000}"/>
    <cellStyle name="40% - Accent3 2" xfId="94" xr:uid="{00000000-0005-0000-0000-000019000000}"/>
    <cellStyle name="40% - Accent3 3" xfId="244" xr:uid="{00000000-0005-0000-0000-00001A000000}"/>
    <cellStyle name="40% - Accent4" xfId="10" xr:uid="{00000000-0005-0000-0000-00001B000000}"/>
    <cellStyle name="40% - Accent4 2" xfId="95" xr:uid="{00000000-0005-0000-0000-00001C000000}"/>
    <cellStyle name="40% - Accent4 3" xfId="245" xr:uid="{00000000-0005-0000-0000-00001D000000}"/>
    <cellStyle name="40% - Accent5" xfId="11" xr:uid="{00000000-0005-0000-0000-00001E000000}"/>
    <cellStyle name="40% - Accent5 2" xfId="96" xr:uid="{00000000-0005-0000-0000-00001F000000}"/>
    <cellStyle name="40% - Accent5 3" xfId="246" xr:uid="{00000000-0005-0000-0000-000020000000}"/>
    <cellStyle name="40% - Accent6" xfId="12" xr:uid="{00000000-0005-0000-0000-000021000000}"/>
    <cellStyle name="40% - Accent6 2" xfId="97" xr:uid="{00000000-0005-0000-0000-000022000000}"/>
    <cellStyle name="40% - Accent6 3" xfId="247" xr:uid="{00000000-0005-0000-0000-000023000000}"/>
    <cellStyle name="60% - Accent1" xfId="13" xr:uid="{00000000-0005-0000-0000-000024000000}"/>
    <cellStyle name="60% - Accent1 2" xfId="98" xr:uid="{00000000-0005-0000-0000-000025000000}"/>
    <cellStyle name="60% - Accent1 3" xfId="248" xr:uid="{00000000-0005-0000-0000-000026000000}"/>
    <cellStyle name="60% - Accent2" xfId="14" xr:uid="{00000000-0005-0000-0000-000027000000}"/>
    <cellStyle name="60% - Accent2 2" xfId="99" xr:uid="{00000000-0005-0000-0000-000028000000}"/>
    <cellStyle name="60% - Accent2 3" xfId="249" xr:uid="{00000000-0005-0000-0000-000029000000}"/>
    <cellStyle name="60% - Accent3" xfId="15" xr:uid="{00000000-0005-0000-0000-00002A000000}"/>
    <cellStyle name="60% - Accent3 2" xfId="100" xr:uid="{00000000-0005-0000-0000-00002B000000}"/>
    <cellStyle name="60% - Accent3 3" xfId="250" xr:uid="{00000000-0005-0000-0000-00002C000000}"/>
    <cellStyle name="60% - Accent4" xfId="16" xr:uid="{00000000-0005-0000-0000-00002D000000}"/>
    <cellStyle name="60% - Accent4 2" xfId="101" xr:uid="{00000000-0005-0000-0000-00002E000000}"/>
    <cellStyle name="60% - Accent4 3" xfId="251" xr:uid="{00000000-0005-0000-0000-00002F000000}"/>
    <cellStyle name="60% - Accent5" xfId="17" xr:uid="{00000000-0005-0000-0000-000030000000}"/>
    <cellStyle name="60% - Accent5 2" xfId="102" xr:uid="{00000000-0005-0000-0000-000031000000}"/>
    <cellStyle name="60% - Accent5 3" xfId="252" xr:uid="{00000000-0005-0000-0000-000032000000}"/>
    <cellStyle name="60% - Accent6" xfId="18" xr:uid="{00000000-0005-0000-0000-000033000000}"/>
    <cellStyle name="60% - Accent6 2" xfId="103" xr:uid="{00000000-0005-0000-0000-000034000000}"/>
    <cellStyle name="60% - Accent6 3" xfId="253" xr:uid="{00000000-0005-0000-0000-000035000000}"/>
    <cellStyle name="Accent1" xfId="19" xr:uid="{00000000-0005-0000-0000-000036000000}"/>
    <cellStyle name="Accent1 2" xfId="104" xr:uid="{00000000-0005-0000-0000-000037000000}"/>
    <cellStyle name="Accent1 3" xfId="254" xr:uid="{00000000-0005-0000-0000-000038000000}"/>
    <cellStyle name="Accent2" xfId="20" xr:uid="{00000000-0005-0000-0000-000039000000}"/>
    <cellStyle name="Accent2 2" xfId="105" xr:uid="{00000000-0005-0000-0000-00003A000000}"/>
    <cellStyle name="Accent2 3" xfId="255" xr:uid="{00000000-0005-0000-0000-00003B000000}"/>
    <cellStyle name="Accent3" xfId="21" xr:uid="{00000000-0005-0000-0000-00003C000000}"/>
    <cellStyle name="Accent3 2" xfId="106" xr:uid="{00000000-0005-0000-0000-00003D000000}"/>
    <cellStyle name="Accent3 3" xfId="256" xr:uid="{00000000-0005-0000-0000-00003E000000}"/>
    <cellStyle name="Accent4" xfId="22" xr:uid="{00000000-0005-0000-0000-00003F000000}"/>
    <cellStyle name="Accent4 2" xfId="107" xr:uid="{00000000-0005-0000-0000-000040000000}"/>
    <cellStyle name="Accent4 3" xfId="257" xr:uid="{00000000-0005-0000-0000-000041000000}"/>
    <cellStyle name="Accent5" xfId="23" xr:uid="{00000000-0005-0000-0000-000042000000}"/>
    <cellStyle name="Accent5 2" xfId="108" xr:uid="{00000000-0005-0000-0000-000043000000}"/>
    <cellStyle name="Accent5 3" xfId="258" xr:uid="{00000000-0005-0000-0000-000044000000}"/>
    <cellStyle name="Accent6" xfId="24" xr:uid="{00000000-0005-0000-0000-000045000000}"/>
    <cellStyle name="Accent6 2" xfId="109" xr:uid="{00000000-0005-0000-0000-000046000000}"/>
    <cellStyle name="Accent6 3" xfId="259" xr:uid="{00000000-0005-0000-0000-000047000000}"/>
    <cellStyle name="Bad" xfId="25" xr:uid="{00000000-0005-0000-0000-000048000000}"/>
    <cellStyle name="Bad 2" xfId="110" xr:uid="{00000000-0005-0000-0000-000049000000}"/>
    <cellStyle name="Bad 3" xfId="260" xr:uid="{00000000-0005-0000-0000-00004A000000}"/>
    <cellStyle name="Calculation" xfId="26" xr:uid="{00000000-0005-0000-0000-00004B000000}"/>
    <cellStyle name="Calculation 2" xfId="111" xr:uid="{00000000-0005-0000-0000-00004C000000}"/>
    <cellStyle name="Calculation 2 2" xfId="261" xr:uid="{00000000-0005-0000-0000-00004D000000}"/>
    <cellStyle name="Calculation 2 2 10" xfId="262" xr:uid="{00000000-0005-0000-0000-00004E000000}"/>
    <cellStyle name="Calculation 2 2 10 2" xfId="263" xr:uid="{00000000-0005-0000-0000-00004F000000}"/>
    <cellStyle name="Calculation 2 2 10 2 2" xfId="3913" xr:uid="{00000000-0005-0000-0000-000050000000}"/>
    <cellStyle name="Calculation 2 2 10 3" xfId="3246" xr:uid="{00000000-0005-0000-0000-000051000000}"/>
    <cellStyle name="Calculation 2 2 11" xfId="264" xr:uid="{00000000-0005-0000-0000-000052000000}"/>
    <cellStyle name="Calculation 2 2 11 2" xfId="2754" xr:uid="{00000000-0005-0000-0000-000053000000}"/>
    <cellStyle name="Calculation 2 2 12" xfId="265" xr:uid="{00000000-0005-0000-0000-000054000000}"/>
    <cellStyle name="Calculation 2 2 12 2" xfId="4512" xr:uid="{00000000-0005-0000-0000-000055000000}"/>
    <cellStyle name="Calculation 2 2 13" xfId="266" xr:uid="{00000000-0005-0000-0000-000056000000}"/>
    <cellStyle name="Calculation 2 2 13 2" xfId="2691" xr:uid="{00000000-0005-0000-0000-000057000000}"/>
    <cellStyle name="Calculation 2 2 14" xfId="267" xr:uid="{00000000-0005-0000-0000-000058000000}"/>
    <cellStyle name="Calculation 2 2 15" xfId="2638" xr:uid="{00000000-0005-0000-0000-000059000000}"/>
    <cellStyle name="Calculation 2 2 2" xfId="268" xr:uid="{00000000-0005-0000-0000-00005A000000}"/>
    <cellStyle name="Calculation 2 2 2 10" xfId="269" xr:uid="{00000000-0005-0000-0000-00005B000000}"/>
    <cellStyle name="Calculation 2 2 2 10 2" xfId="2718" xr:uid="{00000000-0005-0000-0000-00005C000000}"/>
    <cellStyle name="Calculation 2 2 2 11" xfId="2665" xr:uid="{00000000-0005-0000-0000-00005D000000}"/>
    <cellStyle name="Calculation 2 2 2 2" xfId="270" xr:uid="{00000000-0005-0000-0000-00005E000000}"/>
    <cellStyle name="Calculation 2 2 2 2 2" xfId="271" xr:uid="{00000000-0005-0000-0000-00005F000000}"/>
    <cellStyle name="Calculation 2 2 2 2 2 2" xfId="272" xr:uid="{00000000-0005-0000-0000-000060000000}"/>
    <cellStyle name="Calculation 2 2 2 2 2 2 2" xfId="273" xr:uid="{00000000-0005-0000-0000-000061000000}"/>
    <cellStyle name="Calculation 2 2 2 2 2 2 2 2" xfId="4087" xr:uid="{00000000-0005-0000-0000-000062000000}"/>
    <cellStyle name="Calculation 2 2 2 2 2 2 3" xfId="3420" xr:uid="{00000000-0005-0000-0000-000063000000}"/>
    <cellStyle name="Calculation 2 2 2 2 2 3" xfId="274" xr:uid="{00000000-0005-0000-0000-000064000000}"/>
    <cellStyle name="Calculation 2 2 2 2 2 3 2" xfId="275" xr:uid="{00000000-0005-0000-0000-000065000000}"/>
    <cellStyle name="Calculation 2 2 2 2 2 3 2 2" xfId="4264" xr:uid="{00000000-0005-0000-0000-000066000000}"/>
    <cellStyle name="Calculation 2 2 2 2 2 3 3" xfId="3597" xr:uid="{00000000-0005-0000-0000-000067000000}"/>
    <cellStyle name="Calculation 2 2 2 2 2 4" xfId="276" xr:uid="{00000000-0005-0000-0000-000068000000}"/>
    <cellStyle name="Calculation 2 2 2 2 2 4 2" xfId="277" xr:uid="{00000000-0005-0000-0000-000069000000}"/>
    <cellStyle name="Calculation 2 2 2 2 2 4 2 2" xfId="4453" xr:uid="{00000000-0005-0000-0000-00006A000000}"/>
    <cellStyle name="Calculation 2 2 2 2 2 4 3" xfId="3786" xr:uid="{00000000-0005-0000-0000-00006B000000}"/>
    <cellStyle name="Calculation 2 2 2 2 2 5" xfId="3202" xr:uid="{00000000-0005-0000-0000-00006C000000}"/>
    <cellStyle name="Calculation 2 2 2 2 3" xfId="278" xr:uid="{00000000-0005-0000-0000-00006D000000}"/>
    <cellStyle name="Calculation 2 2 2 2 3 2" xfId="279" xr:uid="{00000000-0005-0000-0000-00006E000000}"/>
    <cellStyle name="Calculation 2 2 2 2 3 2 2" xfId="280" xr:uid="{00000000-0005-0000-0000-00006F000000}"/>
    <cellStyle name="Calculation 2 2 2 2 3 2 2 2" xfId="4107" xr:uid="{00000000-0005-0000-0000-000070000000}"/>
    <cellStyle name="Calculation 2 2 2 2 3 2 3" xfId="3440" xr:uid="{00000000-0005-0000-0000-000071000000}"/>
    <cellStyle name="Calculation 2 2 2 2 3 3" xfId="281" xr:uid="{00000000-0005-0000-0000-000072000000}"/>
    <cellStyle name="Calculation 2 2 2 2 3 3 2" xfId="282" xr:uid="{00000000-0005-0000-0000-000073000000}"/>
    <cellStyle name="Calculation 2 2 2 2 3 3 2 2" xfId="4292" xr:uid="{00000000-0005-0000-0000-000074000000}"/>
    <cellStyle name="Calculation 2 2 2 2 3 3 3" xfId="3625" xr:uid="{00000000-0005-0000-0000-000075000000}"/>
    <cellStyle name="Calculation 2 2 2 2 3 4" xfId="283" xr:uid="{00000000-0005-0000-0000-000076000000}"/>
    <cellStyle name="Calculation 2 2 2 2 3 4 2" xfId="284" xr:uid="{00000000-0005-0000-0000-000077000000}"/>
    <cellStyle name="Calculation 2 2 2 2 3 4 2 2" xfId="4481" xr:uid="{00000000-0005-0000-0000-000078000000}"/>
    <cellStyle name="Calculation 2 2 2 2 3 4 3" xfId="3814" xr:uid="{00000000-0005-0000-0000-000079000000}"/>
    <cellStyle name="Calculation 2 2 2 2 3 5" xfId="3230" xr:uid="{00000000-0005-0000-0000-00007A000000}"/>
    <cellStyle name="Calculation 2 2 2 2 4" xfId="285" xr:uid="{00000000-0005-0000-0000-00007B000000}"/>
    <cellStyle name="Calculation 2 2 2 2 4 2" xfId="286" xr:uid="{00000000-0005-0000-0000-00007C000000}"/>
    <cellStyle name="Calculation 2 2 2 2 4 2 2" xfId="3982" xr:uid="{00000000-0005-0000-0000-00007D000000}"/>
    <cellStyle name="Calculation 2 2 2 2 4 3" xfId="3315" xr:uid="{00000000-0005-0000-0000-00007E000000}"/>
    <cellStyle name="Calculation 2 2 2 2 5" xfId="287" xr:uid="{00000000-0005-0000-0000-00007F000000}"/>
    <cellStyle name="Calculation 2 2 2 2 5 2" xfId="288" xr:uid="{00000000-0005-0000-0000-000080000000}"/>
    <cellStyle name="Calculation 2 2 2 2 5 2 2" xfId="4160" xr:uid="{00000000-0005-0000-0000-000081000000}"/>
    <cellStyle name="Calculation 2 2 2 2 5 3" xfId="3493" xr:uid="{00000000-0005-0000-0000-000082000000}"/>
    <cellStyle name="Calculation 2 2 2 2 6" xfId="289" xr:uid="{00000000-0005-0000-0000-000083000000}"/>
    <cellStyle name="Calculation 2 2 2 2 6 2" xfId="290" xr:uid="{00000000-0005-0000-0000-000084000000}"/>
    <cellStyle name="Calculation 2 2 2 2 6 2 2" xfId="4349" xr:uid="{00000000-0005-0000-0000-000085000000}"/>
    <cellStyle name="Calculation 2 2 2 2 6 3" xfId="3682" xr:uid="{00000000-0005-0000-0000-000086000000}"/>
    <cellStyle name="Calculation 2 2 2 2 7" xfId="291" xr:uid="{00000000-0005-0000-0000-000087000000}"/>
    <cellStyle name="Calculation 2 2 2 2 7 2" xfId="3086" xr:uid="{00000000-0005-0000-0000-000088000000}"/>
    <cellStyle name="Calculation 2 2 2 2 8" xfId="292" xr:uid="{00000000-0005-0000-0000-000089000000}"/>
    <cellStyle name="Calculation 2 2 2 2 8 2" xfId="4632" xr:uid="{00000000-0005-0000-0000-00008A000000}"/>
    <cellStyle name="Calculation 2 2 2 2 9" xfId="2820" xr:uid="{00000000-0005-0000-0000-00008B000000}"/>
    <cellStyle name="Calculation 2 2 2 3" xfId="293" xr:uid="{00000000-0005-0000-0000-00008C000000}"/>
    <cellStyle name="Calculation 2 2 2 3 2" xfId="294" xr:uid="{00000000-0005-0000-0000-00008D000000}"/>
    <cellStyle name="Calculation 2 2 2 3 2 2" xfId="295" xr:uid="{00000000-0005-0000-0000-00008E000000}"/>
    <cellStyle name="Calculation 2 2 2 3 2 2 2" xfId="4028" xr:uid="{00000000-0005-0000-0000-00008F000000}"/>
    <cellStyle name="Calculation 2 2 2 3 2 3" xfId="3361" xr:uid="{00000000-0005-0000-0000-000090000000}"/>
    <cellStyle name="Calculation 2 2 2 3 3" xfId="296" xr:uid="{00000000-0005-0000-0000-000091000000}"/>
    <cellStyle name="Calculation 2 2 2 3 3 2" xfId="297" xr:uid="{00000000-0005-0000-0000-000092000000}"/>
    <cellStyle name="Calculation 2 2 2 3 3 2 2" xfId="4206" xr:uid="{00000000-0005-0000-0000-000093000000}"/>
    <cellStyle name="Calculation 2 2 2 3 3 3" xfId="3539" xr:uid="{00000000-0005-0000-0000-000094000000}"/>
    <cellStyle name="Calculation 2 2 2 3 4" xfId="298" xr:uid="{00000000-0005-0000-0000-000095000000}"/>
    <cellStyle name="Calculation 2 2 2 3 4 2" xfId="299" xr:uid="{00000000-0005-0000-0000-000096000000}"/>
    <cellStyle name="Calculation 2 2 2 3 4 2 2" xfId="4395" xr:uid="{00000000-0005-0000-0000-000097000000}"/>
    <cellStyle name="Calculation 2 2 2 3 4 3" xfId="3728" xr:uid="{00000000-0005-0000-0000-000098000000}"/>
    <cellStyle name="Calculation 2 2 2 3 5" xfId="300" xr:uid="{00000000-0005-0000-0000-000099000000}"/>
    <cellStyle name="Calculation 2 2 2 3 5 2" xfId="3133" xr:uid="{00000000-0005-0000-0000-00009A000000}"/>
    <cellStyle name="Calculation 2 2 2 3 6" xfId="2802" xr:uid="{00000000-0005-0000-0000-00009B000000}"/>
    <cellStyle name="Calculation 2 2 2 4" xfId="301" xr:uid="{00000000-0005-0000-0000-00009C000000}"/>
    <cellStyle name="Calculation 2 2 2 4 2" xfId="3039" xr:uid="{00000000-0005-0000-0000-00009D000000}"/>
    <cellStyle name="Calculation 2 2 2 5" xfId="302" xr:uid="{00000000-0005-0000-0000-00009E000000}"/>
    <cellStyle name="Calculation 2 2 2 5 2" xfId="303" xr:uid="{00000000-0005-0000-0000-00009F000000}"/>
    <cellStyle name="Calculation 2 2 2 5 2 2" xfId="3927" xr:uid="{00000000-0005-0000-0000-0000A0000000}"/>
    <cellStyle name="Calculation 2 2 2 5 3" xfId="3260" xr:uid="{00000000-0005-0000-0000-0000A1000000}"/>
    <cellStyle name="Calculation 2 2 2 6" xfId="304" xr:uid="{00000000-0005-0000-0000-0000A2000000}"/>
    <cellStyle name="Calculation 2 2 2 6 2" xfId="305" xr:uid="{00000000-0005-0000-0000-0000A3000000}"/>
    <cellStyle name="Calculation 2 2 2 6 2 2" xfId="3848" xr:uid="{00000000-0005-0000-0000-0000A4000000}"/>
    <cellStyle name="Calculation 2 2 2 6 3" xfId="2944" xr:uid="{00000000-0005-0000-0000-0000A5000000}"/>
    <cellStyle name="Calculation 2 2 2 7" xfId="306" xr:uid="{00000000-0005-0000-0000-0000A6000000}"/>
    <cellStyle name="Calculation 2 2 2 7 2" xfId="307" xr:uid="{00000000-0005-0000-0000-0000A7000000}"/>
    <cellStyle name="Calculation 2 2 2 7 2 2" xfId="3836" xr:uid="{00000000-0005-0000-0000-0000A8000000}"/>
    <cellStyle name="Calculation 2 2 2 7 3" xfId="2919" xr:uid="{00000000-0005-0000-0000-0000A9000000}"/>
    <cellStyle name="Calculation 2 2 2 8" xfId="308" xr:uid="{00000000-0005-0000-0000-0000AA000000}"/>
    <cellStyle name="Calculation 2 2 2 8 2" xfId="2774" xr:uid="{00000000-0005-0000-0000-0000AB000000}"/>
    <cellStyle name="Calculation 2 2 2 9" xfId="309" xr:uid="{00000000-0005-0000-0000-0000AC000000}"/>
    <cellStyle name="Calculation 2 2 2 9 2" xfId="4557" xr:uid="{00000000-0005-0000-0000-0000AD000000}"/>
    <cellStyle name="Calculation 2 2 3" xfId="310" xr:uid="{00000000-0005-0000-0000-0000AE000000}"/>
    <cellStyle name="Calculation 2 2 3 2" xfId="311" xr:uid="{00000000-0005-0000-0000-0000AF000000}"/>
    <cellStyle name="Calculation 2 2 3 2 2" xfId="312" xr:uid="{00000000-0005-0000-0000-0000B0000000}"/>
    <cellStyle name="Calculation 2 2 3 2 2 2" xfId="313" xr:uid="{00000000-0005-0000-0000-0000B1000000}"/>
    <cellStyle name="Calculation 2 2 3 2 2 2 2" xfId="4058" xr:uid="{00000000-0005-0000-0000-0000B2000000}"/>
    <cellStyle name="Calculation 2 2 3 2 2 3" xfId="3391" xr:uid="{00000000-0005-0000-0000-0000B3000000}"/>
    <cellStyle name="Calculation 2 2 3 2 3" xfId="314" xr:uid="{00000000-0005-0000-0000-0000B4000000}"/>
    <cellStyle name="Calculation 2 2 3 2 3 2" xfId="315" xr:uid="{00000000-0005-0000-0000-0000B5000000}"/>
    <cellStyle name="Calculation 2 2 3 2 3 2 2" xfId="4235" xr:uid="{00000000-0005-0000-0000-0000B6000000}"/>
    <cellStyle name="Calculation 2 2 3 2 3 3" xfId="3568" xr:uid="{00000000-0005-0000-0000-0000B7000000}"/>
    <cellStyle name="Calculation 2 2 3 2 4" xfId="316" xr:uid="{00000000-0005-0000-0000-0000B8000000}"/>
    <cellStyle name="Calculation 2 2 3 2 4 2" xfId="317" xr:uid="{00000000-0005-0000-0000-0000B9000000}"/>
    <cellStyle name="Calculation 2 2 3 2 4 2 2" xfId="4424" xr:uid="{00000000-0005-0000-0000-0000BA000000}"/>
    <cellStyle name="Calculation 2 2 3 2 4 3" xfId="3757" xr:uid="{00000000-0005-0000-0000-0000BB000000}"/>
    <cellStyle name="Calculation 2 2 3 2 5" xfId="3170" xr:uid="{00000000-0005-0000-0000-0000BC000000}"/>
    <cellStyle name="Calculation 2 2 3 3" xfId="318" xr:uid="{00000000-0005-0000-0000-0000BD000000}"/>
    <cellStyle name="Calculation 2 2 3 3 2" xfId="319" xr:uid="{00000000-0005-0000-0000-0000BE000000}"/>
    <cellStyle name="Calculation 2 2 3 3 2 2" xfId="3955" xr:uid="{00000000-0005-0000-0000-0000BF000000}"/>
    <cellStyle name="Calculation 2 2 3 3 3" xfId="3288" xr:uid="{00000000-0005-0000-0000-0000C0000000}"/>
    <cellStyle name="Calculation 2 2 3 4" xfId="320" xr:uid="{00000000-0005-0000-0000-0000C1000000}"/>
    <cellStyle name="Calculation 2 2 3 4 2" xfId="321" xr:uid="{00000000-0005-0000-0000-0000C2000000}"/>
    <cellStyle name="Calculation 2 2 3 4 2 2" xfId="4133" xr:uid="{00000000-0005-0000-0000-0000C3000000}"/>
    <cellStyle name="Calculation 2 2 3 4 3" xfId="3466" xr:uid="{00000000-0005-0000-0000-0000C4000000}"/>
    <cellStyle name="Calculation 2 2 3 5" xfId="322" xr:uid="{00000000-0005-0000-0000-0000C5000000}"/>
    <cellStyle name="Calculation 2 2 3 5 2" xfId="323" xr:uid="{00000000-0005-0000-0000-0000C6000000}"/>
    <cellStyle name="Calculation 2 2 3 5 2 2" xfId="4322" xr:uid="{00000000-0005-0000-0000-0000C7000000}"/>
    <cellStyle name="Calculation 2 2 3 5 3" xfId="3655" xr:uid="{00000000-0005-0000-0000-0000C8000000}"/>
    <cellStyle name="Calculation 2 2 3 6" xfId="324" xr:uid="{00000000-0005-0000-0000-0000C9000000}"/>
    <cellStyle name="Calculation 2 2 3 6 2" xfId="4600" xr:uid="{00000000-0005-0000-0000-0000CA000000}"/>
    <cellStyle name="Calculation 2 2 3 7" xfId="2759" xr:uid="{00000000-0005-0000-0000-0000CB000000}"/>
    <cellStyle name="Calculation 2 2 4" xfId="325" xr:uid="{00000000-0005-0000-0000-0000CC000000}"/>
    <cellStyle name="Calculation 2 2 4 2" xfId="326" xr:uid="{00000000-0005-0000-0000-0000CD000000}"/>
    <cellStyle name="Calculation 2 2 4 2 2" xfId="327" xr:uid="{00000000-0005-0000-0000-0000CE000000}"/>
    <cellStyle name="Calculation 2 2 4 2 2 2" xfId="328" xr:uid="{00000000-0005-0000-0000-0000CF000000}"/>
    <cellStyle name="Calculation 2 2 4 2 2 2 2" xfId="4067" xr:uid="{00000000-0005-0000-0000-0000D0000000}"/>
    <cellStyle name="Calculation 2 2 4 2 2 3" xfId="3400" xr:uid="{00000000-0005-0000-0000-0000D1000000}"/>
    <cellStyle name="Calculation 2 2 4 2 3" xfId="329" xr:uid="{00000000-0005-0000-0000-0000D2000000}"/>
    <cellStyle name="Calculation 2 2 4 2 3 2" xfId="330" xr:uid="{00000000-0005-0000-0000-0000D3000000}"/>
    <cellStyle name="Calculation 2 2 4 2 3 2 2" xfId="4244" xr:uid="{00000000-0005-0000-0000-0000D4000000}"/>
    <cellStyle name="Calculation 2 2 4 2 3 3" xfId="3577" xr:uid="{00000000-0005-0000-0000-0000D5000000}"/>
    <cellStyle name="Calculation 2 2 4 2 4" xfId="331" xr:uid="{00000000-0005-0000-0000-0000D6000000}"/>
    <cellStyle name="Calculation 2 2 4 2 4 2" xfId="332" xr:uid="{00000000-0005-0000-0000-0000D7000000}"/>
    <cellStyle name="Calculation 2 2 4 2 4 2 2" xfId="4433" xr:uid="{00000000-0005-0000-0000-0000D8000000}"/>
    <cellStyle name="Calculation 2 2 4 2 4 3" xfId="3766" xr:uid="{00000000-0005-0000-0000-0000D9000000}"/>
    <cellStyle name="Calculation 2 2 4 2 5" xfId="3182" xr:uid="{00000000-0005-0000-0000-0000DA000000}"/>
    <cellStyle name="Calculation 2 2 4 3" xfId="333" xr:uid="{00000000-0005-0000-0000-0000DB000000}"/>
    <cellStyle name="Calculation 2 2 4 3 2" xfId="334" xr:uid="{00000000-0005-0000-0000-0000DC000000}"/>
    <cellStyle name="Calculation 2 2 4 3 2 2" xfId="3964" xr:uid="{00000000-0005-0000-0000-0000DD000000}"/>
    <cellStyle name="Calculation 2 2 4 3 3" xfId="3297" xr:uid="{00000000-0005-0000-0000-0000DE000000}"/>
    <cellStyle name="Calculation 2 2 4 4" xfId="335" xr:uid="{00000000-0005-0000-0000-0000DF000000}"/>
    <cellStyle name="Calculation 2 2 4 4 2" xfId="336" xr:uid="{00000000-0005-0000-0000-0000E0000000}"/>
    <cellStyle name="Calculation 2 2 4 4 2 2" xfId="4142" xr:uid="{00000000-0005-0000-0000-0000E1000000}"/>
    <cellStyle name="Calculation 2 2 4 4 3" xfId="3475" xr:uid="{00000000-0005-0000-0000-0000E2000000}"/>
    <cellStyle name="Calculation 2 2 4 5" xfId="337" xr:uid="{00000000-0005-0000-0000-0000E3000000}"/>
    <cellStyle name="Calculation 2 2 4 5 2" xfId="338" xr:uid="{00000000-0005-0000-0000-0000E4000000}"/>
    <cellStyle name="Calculation 2 2 4 5 2 2" xfId="4331" xr:uid="{00000000-0005-0000-0000-0000E5000000}"/>
    <cellStyle name="Calculation 2 2 4 5 3" xfId="3664" xr:uid="{00000000-0005-0000-0000-0000E6000000}"/>
    <cellStyle name="Calculation 2 2 4 6" xfId="339" xr:uid="{00000000-0005-0000-0000-0000E7000000}"/>
    <cellStyle name="Calculation 2 2 4 6 2" xfId="4612" xr:uid="{00000000-0005-0000-0000-0000E8000000}"/>
    <cellStyle name="Calculation 2 2 4 7" xfId="3068" xr:uid="{00000000-0005-0000-0000-0000E9000000}"/>
    <cellStyle name="Calculation 2 2 5" xfId="340" xr:uid="{00000000-0005-0000-0000-0000EA000000}"/>
    <cellStyle name="Calculation 2 2 5 2" xfId="341" xr:uid="{00000000-0005-0000-0000-0000EB000000}"/>
    <cellStyle name="Calculation 2 2 5 2 2" xfId="342" xr:uid="{00000000-0005-0000-0000-0000EC000000}"/>
    <cellStyle name="Calculation 2 2 5 2 2 2" xfId="3998" xr:uid="{00000000-0005-0000-0000-0000ED000000}"/>
    <cellStyle name="Calculation 2 2 5 2 3" xfId="3331" xr:uid="{00000000-0005-0000-0000-0000EE000000}"/>
    <cellStyle name="Calculation 2 2 5 3" xfId="343" xr:uid="{00000000-0005-0000-0000-0000EF000000}"/>
    <cellStyle name="Calculation 2 2 5 3 2" xfId="344" xr:uid="{00000000-0005-0000-0000-0000F0000000}"/>
    <cellStyle name="Calculation 2 2 5 3 2 2" xfId="4176" xr:uid="{00000000-0005-0000-0000-0000F1000000}"/>
    <cellStyle name="Calculation 2 2 5 3 3" xfId="3509" xr:uid="{00000000-0005-0000-0000-0000F2000000}"/>
    <cellStyle name="Calculation 2 2 5 4" xfId="345" xr:uid="{00000000-0005-0000-0000-0000F3000000}"/>
    <cellStyle name="Calculation 2 2 5 4 2" xfId="346" xr:uid="{00000000-0005-0000-0000-0000F4000000}"/>
    <cellStyle name="Calculation 2 2 5 4 2 2" xfId="4365" xr:uid="{00000000-0005-0000-0000-0000F5000000}"/>
    <cellStyle name="Calculation 2 2 5 4 3" xfId="3698" xr:uid="{00000000-0005-0000-0000-0000F6000000}"/>
    <cellStyle name="Calculation 2 2 5 5" xfId="3102" xr:uid="{00000000-0005-0000-0000-0000F7000000}"/>
    <cellStyle name="Calculation 2 2 6" xfId="347" xr:uid="{00000000-0005-0000-0000-0000F8000000}"/>
    <cellStyle name="Calculation 2 2 6 2" xfId="348" xr:uid="{00000000-0005-0000-0000-0000F9000000}"/>
    <cellStyle name="Calculation 2 2 6 2 2" xfId="349" xr:uid="{00000000-0005-0000-0000-0000FA000000}"/>
    <cellStyle name="Calculation 2 2 6 2 2 2" xfId="3996" xr:uid="{00000000-0005-0000-0000-0000FB000000}"/>
    <cellStyle name="Calculation 2 2 6 2 3" xfId="3329" xr:uid="{00000000-0005-0000-0000-0000FC000000}"/>
    <cellStyle name="Calculation 2 2 6 3" xfId="350" xr:uid="{00000000-0005-0000-0000-0000FD000000}"/>
    <cellStyle name="Calculation 2 2 6 3 2" xfId="351" xr:uid="{00000000-0005-0000-0000-0000FE000000}"/>
    <cellStyle name="Calculation 2 2 6 3 2 2" xfId="4174" xr:uid="{00000000-0005-0000-0000-0000FF000000}"/>
    <cellStyle name="Calculation 2 2 6 3 3" xfId="3507" xr:uid="{00000000-0005-0000-0000-000000010000}"/>
    <cellStyle name="Calculation 2 2 6 4" xfId="352" xr:uid="{00000000-0005-0000-0000-000001010000}"/>
    <cellStyle name="Calculation 2 2 6 4 2" xfId="353" xr:uid="{00000000-0005-0000-0000-000002010000}"/>
    <cellStyle name="Calculation 2 2 6 4 2 2" xfId="4363" xr:uid="{00000000-0005-0000-0000-000003010000}"/>
    <cellStyle name="Calculation 2 2 6 4 3" xfId="3696" xr:uid="{00000000-0005-0000-0000-000004010000}"/>
    <cellStyle name="Calculation 2 2 6 5" xfId="3100" xr:uid="{00000000-0005-0000-0000-000005010000}"/>
    <cellStyle name="Calculation 2 2 7" xfId="354" xr:uid="{00000000-0005-0000-0000-000006010000}"/>
    <cellStyle name="Calculation 2 2 7 2" xfId="355" xr:uid="{00000000-0005-0000-0000-000007010000}"/>
    <cellStyle name="Calculation 2 2 7 2 2" xfId="3868" xr:uid="{00000000-0005-0000-0000-000008010000}"/>
    <cellStyle name="Calculation 2 2 7 3" xfId="2969" xr:uid="{00000000-0005-0000-0000-000009010000}"/>
    <cellStyle name="Calculation 2 2 8" xfId="356" xr:uid="{00000000-0005-0000-0000-00000A010000}"/>
    <cellStyle name="Calculation 2 2 8 2" xfId="357" xr:uid="{00000000-0005-0000-0000-00000B010000}"/>
    <cellStyle name="Calculation 2 2 8 2 2" xfId="3828" xr:uid="{00000000-0005-0000-0000-00000C010000}"/>
    <cellStyle name="Calculation 2 2 8 3" xfId="2907" xr:uid="{00000000-0005-0000-0000-00000D010000}"/>
    <cellStyle name="Calculation 2 2 9" xfId="358" xr:uid="{00000000-0005-0000-0000-00000E010000}"/>
    <cellStyle name="Calculation 2 2 9 2" xfId="359" xr:uid="{00000000-0005-0000-0000-00000F010000}"/>
    <cellStyle name="Calculation 2 2 9 2 2" xfId="3861" xr:uid="{00000000-0005-0000-0000-000010010000}"/>
    <cellStyle name="Calculation 2 2 9 3" xfId="2959" xr:uid="{00000000-0005-0000-0000-000011010000}"/>
    <cellStyle name="Calculation 2 3" xfId="360" xr:uid="{00000000-0005-0000-0000-000012010000}"/>
    <cellStyle name="Calculation 2 3 10" xfId="361" xr:uid="{00000000-0005-0000-0000-000013010000}"/>
    <cellStyle name="Calculation 2 3 10 2" xfId="2706" xr:uid="{00000000-0005-0000-0000-000014010000}"/>
    <cellStyle name="Calculation 2 3 11" xfId="2653" xr:uid="{00000000-0005-0000-0000-000015010000}"/>
    <cellStyle name="Calculation 2 3 2" xfId="362" xr:uid="{00000000-0005-0000-0000-000016010000}"/>
    <cellStyle name="Calculation 2 3 2 2" xfId="363" xr:uid="{00000000-0005-0000-0000-000017010000}"/>
    <cellStyle name="Calculation 2 3 2 2 2" xfId="364" xr:uid="{00000000-0005-0000-0000-000018010000}"/>
    <cellStyle name="Calculation 2 3 2 2 2 2" xfId="365" xr:uid="{00000000-0005-0000-0000-000019010000}"/>
    <cellStyle name="Calculation 2 3 2 2 2 2 2" xfId="4052" xr:uid="{00000000-0005-0000-0000-00001A010000}"/>
    <cellStyle name="Calculation 2 3 2 2 2 3" xfId="3385" xr:uid="{00000000-0005-0000-0000-00001B010000}"/>
    <cellStyle name="Calculation 2 3 2 2 3" xfId="366" xr:uid="{00000000-0005-0000-0000-00001C010000}"/>
    <cellStyle name="Calculation 2 3 2 2 3 2" xfId="367" xr:uid="{00000000-0005-0000-0000-00001D010000}"/>
    <cellStyle name="Calculation 2 3 2 2 3 2 2" xfId="4229" xr:uid="{00000000-0005-0000-0000-00001E010000}"/>
    <cellStyle name="Calculation 2 3 2 2 3 3" xfId="3562" xr:uid="{00000000-0005-0000-0000-00001F010000}"/>
    <cellStyle name="Calculation 2 3 2 2 4" xfId="368" xr:uid="{00000000-0005-0000-0000-000020010000}"/>
    <cellStyle name="Calculation 2 3 2 2 4 2" xfId="369" xr:uid="{00000000-0005-0000-0000-000021010000}"/>
    <cellStyle name="Calculation 2 3 2 2 4 2 2" xfId="4418" xr:uid="{00000000-0005-0000-0000-000022010000}"/>
    <cellStyle name="Calculation 2 3 2 2 4 3" xfId="3751" xr:uid="{00000000-0005-0000-0000-000023010000}"/>
    <cellStyle name="Calculation 2 3 2 2 5" xfId="3161" xr:uid="{00000000-0005-0000-0000-000024010000}"/>
    <cellStyle name="Calculation 2 3 2 3" xfId="370" xr:uid="{00000000-0005-0000-0000-000025010000}"/>
    <cellStyle name="Calculation 2 3 2 3 2" xfId="371" xr:uid="{00000000-0005-0000-0000-000026010000}"/>
    <cellStyle name="Calculation 2 3 2 3 2 2" xfId="372" xr:uid="{00000000-0005-0000-0000-000027010000}"/>
    <cellStyle name="Calculation 2 3 2 3 2 2 2" xfId="4100" xr:uid="{00000000-0005-0000-0000-000028010000}"/>
    <cellStyle name="Calculation 2 3 2 3 2 3" xfId="3433" xr:uid="{00000000-0005-0000-0000-000029010000}"/>
    <cellStyle name="Calculation 2 3 2 3 3" xfId="373" xr:uid="{00000000-0005-0000-0000-00002A010000}"/>
    <cellStyle name="Calculation 2 3 2 3 3 2" xfId="374" xr:uid="{00000000-0005-0000-0000-00002B010000}"/>
    <cellStyle name="Calculation 2 3 2 3 3 2 2" xfId="4280" xr:uid="{00000000-0005-0000-0000-00002C010000}"/>
    <cellStyle name="Calculation 2 3 2 3 3 3" xfId="3613" xr:uid="{00000000-0005-0000-0000-00002D010000}"/>
    <cellStyle name="Calculation 2 3 2 3 4" xfId="375" xr:uid="{00000000-0005-0000-0000-00002E010000}"/>
    <cellStyle name="Calculation 2 3 2 3 4 2" xfId="376" xr:uid="{00000000-0005-0000-0000-00002F010000}"/>
    <cellStyle name="Calculation 2 3 2 3 4 2 2" xfId="4469" xr:uid="{00000000-0005-0000-0000-000030010000}"/>
    <cellStyle name="Calculation 2 3 2 3 4 3" xfId="3802" xr:uid="{00000000-0005-0000-0000-000031010000}"/>
    <cellStyle name="Calculation 2 3 2 3 5" xfId="3218" xr:uid="{00000000-0005-0000-0000-000032010000}"/>
    <cellStyle name="Calculation 2 3 2 4" xfId="377" xr:uid="{00000000-0005-0000-0000-000033010000}"/>
    <cellStyle name="Calculation 2 3 2 4 2" xfId="378" xr:uid="{00000000-0005-0000-0000-000034010000}"/>
    <cellStyle name="Calculation 2 3 2 4 2 2" xfId="3950" xr:uid="{00000000-0005-0000-0000-000035010000}"/>
    <cellStyle name="Calculation 2 3 2 4 3" xfId="3283" xr:uid="{00000000-0005-0000-0000-000036010000}"/>
    <cellStyle name="Calculation 2 3 2 5" xfId="379" xr:uid="{00000000-0005-0000-0000-000037010000}"/>
    <cellStyle name="Calculation 2 3 2 5 2" xfId="380" xr:uid="{00000000-0005-0000-0000-000038010000}"/>
    <cellStyle name="Calculation 2 3 2 5 2 2" xfId="4128" xr:uid="{00000000-0005-0000-0000-000039010000}"/>
    <cellStyle name="Calculation 2 3 2 5 3" xfId="3461" xr:uid="{00000000-0005-0000-0000-00003A010000}"/>
    <cellStyle name="Calculation 2 3 2 6" xfId="381" xr:uid="{00000000-0005-0000-0000-00003B010000}"/>
    <cellStyle name="Calculation 2 3 2 6 2" xfId="382" xr:uid="{00000000-0005-0000-0000-00003C010000}"/>
    <cellStyle name="Calculation 2 3 2 6 2 2" xfId="4317" xr:uid="{00000000-0005-0000-0000-00003D010000}"/>
    <cellStyle name="Calculation 2 3 2 6 3" xfId="3650" xr:uid="{00000000-0005-0000-0000-00003E010000}"/>
    <cellStyle name="Calculation 2 3 2 7" xfId="383" xr:uid="{00000000-0005-0000-0000-00003F010000}"/>
    <cellStyle name="Calculation 2 3 2 7 2" xfId="3061" xr:uid="{00000000-0005-0000-0000-000040010000}"/>
    <cellStyle name="Calculation 2 3 2 8" xfId="384" xr:uid="{00000000-0005-0000-0000-000041010000}"/>
    <cellStyle name="Calculation 2 3 2 8 2" xfId="4591" xr:uid="{00000000-0005-0000-0000-000042010000}"/>
    <cellStyle name="Calculation 2 3 2 9" xfId="2821" xr:uid="{00000000-0005-0000-0000-000043010000}"/>
    <cellStyle name="Calculation 2 3 3" xfId="385" xr:uid="{00000000-0005-0000-0000-000044010000}"/>
    <cellStyle name="Calculation 2 3 3 2" xfId="386" xr:uid="{00000000-0005-0000-0000-000045010000}"/>
    <cellStyle name="Calculation 2 3 3 2 2" xfId="387" xr:uid="{00000000-0005-0000-0000-000046010000}"/>
    <cellStyle name="Calculation 2 3 3 2 2 2" xfId="4011" xr:uid="{00000000-0005-0000-0000-000047010000}"/>
    <cellStyle name="Calculation 2 3 3 2 3" xfId="3344" xr:uid="{00000000-0005-0000-0000-000048010000}"/>
    <cellStyle name="Calculation 2 3 3 3" xfId="388" xr:uid="{00000000-0005-0000-0000-000049010000}"/>
    <cellStyle name="Calculation 2 3 3 3 2" xfId="389" xr:uid="{00000000-0005-0000-0000-00004A010000}"/>
    <cellStyle name="Calculation 2 3 3 3 2 2" xfId="4189" xr:uid="{00000000-0005-0000-0000-00004B010000}"/>
    <cellStyle name="Calculation 2 3 3 3 3" xfId="3522" xr:uid="{00000000-0005-0000-0000-00004C010000}"/>
    <cellStyle name="Calculation 2 3 3 4" xfId="390" xr:uid="{00000000-0005-0000-0000-00004D010000}"/>
    <cellStyle name="Calculation 2 3 3 4 2" xfId="391" xr:uid="{00000000-0005-0000-0000-00004E010000}"/>
    <cellStyle name="Calculation 2 3 3 4 2 2" xfId="4378" xr:uid="{00000000-0005-0000-0000-00004F010000}"/>
    <cellStyle name="Calculation 2 3 3 4 3" xfId="3711" xr:uid="{00000000-0005-0000-0000-000050010000}"/>
    <cellStyle name="Calculation 2 3 3 5" xfId="392" xr:uid="{00000000-0005-0000-0000-000051010000}"/>
    <cellStyle name="Calculation 2 3 3 5 2" xfId="3115" xr:uid="{00000000-0005-0000-0000-000052010000}"/>
    <cellStyle name="Calculation 2 3 3 6" xfId="2788" xr:uid="{00000000-0005-0000-0000-000053010000}"/>
    <cellStyle name="Calculation 2 3 4" xfId="393" xr:uid="{00000000-0005-0000-0000-000054010000}"/>
    <cellStyle name="Calculation 2 3 4 2" xfId="3018" xr:uid="{00000000-0005-0000-0000-000055010000}"/>
    <cellStyle name="Calculation 2 3 5" xfId="394" xr:uid="{00000000-0005-0000-0000-000056010000}"/>
    <cellStyle name="Calculation 2 3 5 2" xfId="395" xr:uid="{00000000-0005-0000-0000-000057010000}"/>
    <cellStyle name="Calculation 2 3 5 2 2" xfId="3907" xr:uid="{00000000-0005-0000-0000-000058010000}"/>
    <cellStyle name="Calculation 2 3 5 3" xfId="3240" xr:uid="{00000000-0005-0000-0000-000059010000}"/>
    <cellStyle name="Calculation 2 3 6" xfId="396" xr:uid="{00000000-0005-0000-0000-00005A010000}"/>
    <cellStyle name="Calculation 2 3 6 2" xfId="397" xr:uid="{00000000-0005-0000-0000-00005B010000}"/>
    <cellStyle name="Calculation 2 3 6 2 2" xfId="3896" xr:uid="{00000000-0005-0000-0000-00005C010000}"/>
    <cellStyle name="Calculation 2 3 6 3" xfId="3014" xr:uid="{00000000-0005-0000-0000-00005D010000}"/>
    <cellStyle name="Calculation 2 3 7" xfId="398" xr:uid="{00000000-0005-0000-0000-00005E010000}"/>
    <cellStyle name="Calculation 2 3 7 2" xfId="399" xr:uid="{00000000-0005-0000-0000-00005F010000}"/>
    <cellStyle name="Calculation 2 3 7 2 2" xfId="3825" xr:uid="{00000000-0005-0000-0000-000060010000}"/>
    <cellStyle name="Calculation 2 3 7 3" xfId="2904" xr:uid="{00000000-0005-0000-0000-000061010000}"/>
    <cellStyle name="Calculation 2 3 8" xfId="400" xr:uid="{00000000-0005-0000-0000-000062010000}"/>
    <cellStyle name="Calculation 2 3 8 2" xfId="2783" xr:uid="{00000000-0005-0000-0000-000063010000}"/>
    <cellStyle name="Calculation 2 3 9" xfId="401" xr:uid="{00000000-0005-0000-0000-000064010000}"/>
    <cellStyle name="Calculation 2 3 9 2" xfId="4536" xr:uid="{00000000-0005-0000-0000-000065010000}"/>
    <cellStyle name="Calculation 2 4" xfId="402" xr:uid="{00000000-0005-0000-0000-000066010000}"/>
    <cellStyle name="Calculation 2 4 2" xfId="403" xr:uid="{00000000-0005-0000-0000-000067010000}"/>
    <cellStyle name="Calculation 2 4 2 2" xfId="404" xr:uid="{00000000-0005-0000-0000-000068010000}"/>
    <cellStyle name="Calculation 2 4 2 2 2" xfId="405" xr:uid="{00000000-0005-0000-0000-000069010000}"/>
    <cellStyle name="Calculation 2 4 2 2 2 2" xfId="4042" xr:uid="{00000000-0005-0000-0000-00006A010000}"/>
    <cellStyle name="Calculation 2 4 2 2 3" xfId="3375" xr:uid="{00000000-0005-0000-0000-00006B010000}"/>
    <cellStyle name="Calculation 2 4 2 3" xfId="406" xr:uid="{00000000-0005-0000-0000-00006C010000}"/>
    <cellStyle name="Calculation 2 4 2 3 2" xfId="407" xr:uid="{00000000-0005-0000-0000-00006D010000}"/>
    <cellStyle name="Calculation 2 4 2 3 2 2" xfId="4219" xr:uid="{00000000-0005-0000-0000-00006E010000}"/>
    <cellStyle name="Calculation 2 4 2 3 3" xfId="3552" xr:uid="{00000000-0005-0000-0000-00006F010000}"/>
    <cellStyle name="Calculation 2 4 2 4" xfId="408" xr:uid="{00000000-0005-0000-0000-000070010000}"/>
    <cellStyle name="Calculation 2 4 2 4 2" xfId="409" xr:uid="{00000000-0005-0000-0000-000071010000}"/>
    <cellStyle name="Calculation 2 4 2 4 2 2" xfId="4408" xr:uid="{00000000-0005-0000-0000-000072010000}"/>
    <cellStyle name="Calculation 2 4 2 4 3" xfId="3741" xr:uid="{00000000-0005-0000-0000-000073010000}"/>
    <cellStyle name="Calculation 2 4 2 5" xfId="3147" xr:uid="{00000000-0005-0000-0000-000074010000}"/>
    <cellStyle name="Calculation 2 4 3" xfId="410" xr:uid="{00000000-0005-0000-0000-000075010000}"/>
    <cellStyle name="Calculation 2 4 3 2" xfId="411" xr:uid="{00000000-0005-0000-0000-000076010000}"/>
    <cellStyle name="Calculation 2 4 3 2 2" xfId="3940" xr:uid="{00000000-0005-0000-0000-000077010000}"/>
    <cellStyle name="Calculation 2 4 3 3" xfId="3273" xr:uid="{00000000-0005-0000-0000-000078010000}"/>
    <cellStyle name="Calculation 2 4 4" xfId="412" xr:uid="{00000000-0005-0000-0000-000079010000}"/>
    <cellStyle name="Calculation 2 4 4 2" xfId="413" xr:uid="{00000000-0005-0000-0000-00007A010000}"/>
    <cellStyle name="Calculation 2 4 4 2 2" xfId="4118" xr:uid="{00000000-0005-0000-0000-00007B010000}"/>
    <cellStyle name="Calculation 2 4 4 3" xfId="3451" xr:uid="{00000000-0005-0000-0000-00007C010000}"/>
    <cellStyle name="Calculation 2 4 5" xfId="414" xr:uid="{00000000-0005-0000-0000-00007D010000}"/>
    <cellStyle name="Calculation 2 4 5 2" xfId="415" xr:uid="{00000000-0005-0000-0000-00007E010000}"/>
    <cellStyle name="Calculation 2 4 5 2 2" xfId="4307" xr:uid="{00000000-0005-0000-0000-00007F010000}"/>
    <cellStyle name="Calculation 2 4 5 3" xfId="3640" xr:uid="{00000000-0005-0000-0000-000080010000}"/>
    <cellStyle name="Calculation 2 4 6" xfId="416" xr:uid="{00000000-0005-0000-0000-000081010000}"/>
    <cellStyle name="Calculation 2 4 6 2" xfId="4577" xr:uid="{00000000-0005-0000-0000-000082010000}"/>
    <cellStyle name="Calculation 2 4 7" xfId="3053" xr:uid="{00000000-0005-0000-0000-000083010000}"/>
    <cellStyle name="Calculation 2 5" xfId="417" xr:uid="{00000000-0005-0000-0000-000084010000}"/>
    <cellStyle name="Calculation 2 5 2" xfId="2927" xr:uid="{00000000-0005-0000-0000-000085010000}"/>
    <cellStyle name="Calculation 2 6" xfId="418" xr:uid="{00000000-0005-0000-0000-000086010000}"/>
    <cellStyle name="Calculation 2 6 2" xfId="2778" xr:uid="{00000000-0005-0000-0000-000087010000}"/>
    <cellStyle name="Calculation 2 7" xfId="419" xr:uid="{00000000-0005-0000-0000-000088010000}"/>
    <cellStyle name="Calculation 2 7 2" xfId="4496" xr:uid="{00000000-0005-0000-0000-000089010000}"/>
    <cellStyle name="Calculation 2_בחירה מרשימה" xfId="420" xr:uid="{00000000-0005-0000-0000-00008A010000}"/>
    <cellStyle name="Calculation 3" xfId="112" xr:uid="{00000000-0005-0000-0000-00008B010000}"/>
    <cellStyle name="Calculation 3 2" xfId="421" xr:uid="{00000000-0005-0000-0000-00008C010000}"/>
    <cellStyle name="Calculation 3 2 10" xfId="422" xr:uid="{00000000-0005-0000-0000-00008D010000}"/>
    <cellStyle name="Calculation 3 2 10 2" xfId="423" xr:uid="{00000000-0005-0000-0000-00008E010000}"/>
    <cellStyle name="Calculation 3 2 10 2 2" xfId="4039" xr:uid="{00000000-0005-0000-0000-00008F010000}"/>
    <cellStyle name="Calculation 3 2 10 3" xfId="3372" xr:uid="{00000000-0005-0000-0000-000090010000}"/>
    <cellStyle name="Calculation 3 2 11" xfId="424" xr:uid="{00000000-0005-0000-0000-000091010000}"/>
    <cellStyle name="Calculation 3 2 11 2" xfId="2734" xr:uid="{00000000-0005-0000-0000-000092010000}"/>
    <cellStyle name="Calculation 3 2 12" xfId="425" xr:uid="{00000000-0005-0000-0000-000093010000}"/>
    <cellStyle name="Calculation 3 2 12 2" xfId="4511" xr:uid="{00000000-0005-0000-0000-000094010000}"/>
    <cellStyle name="Calculation 3 2 13" xfId="426" xr:uid="{00000000-0005-0000-0000-000095010000}"/>
    <cellStyle name="Calculation 3 2 13 2" xfId="2690" xr:uid="{00000000-0005-0000-0000-000096010000}"/>
    <cellStyle name="Calculation 3 2 14" xfId="427" xr:uid="{00000000-0005-0000-0000-000097010000}"/>
    <cellStyle name="Calculation 3 2 15" xfId="2637" xr:uid="{00000000-0005-0000-0000-000098010000}"/>
    <cellStyle name="Calculation 3 2 2" xfId="428" xr:uid="{00000000-0005-0000-0000-000099010000}"/>
    <cellStyle name="Calculation 3 2 2 10" xfId="429" xr:uid="{00000000-0005-0000-0000-00009A010000}"/>
    <cellStyle name="Calculation 3 2 2 10 2" xfId="2719" xr:uid="{00000000-0005-0000-0000-00009B010000}"/>
    <cellStyle name="Calculation 3 2 2 11" xfId="2666" xr:uid="{00000000-0005-0000-0000-00009C010000}"/>
    <cellStyle name="Calculation 3 2 2 2" xfId="430" xr:uid="{00000000-0005-0000-0000-00009D010000}"/>
    <cellStyle name="Calculation 3 2 2 2 2" xfId="431" xr:uid="{00000000-0005-0000-0000-00009E010000}"/>
    <cellStyle name="Calculation 3 2 2 2 2 2" xfId="432" xr:uid="{00000000-0005-0000-0000-00009F010000}"/>
    <cellStyle name="Calculation 3 2 2 2 2 2 2" xfId="433" xr:uid="{00000000-0005-0000-0000-0000A0010000}"/>
    <cellStyle name="Calculation 3 2 2 2 2 2 2 2" xfId="4088" xr:uid="{00000000-0005-0000-0000-0000A1010000}"/>
    <cellStyle name="Calculation 3 2 2 2 2 2 3" xfId="3421" xr:uid="{00000000-0005-0000-0000-0000A2010000}"/>
    <cellStyle name="Calculation 3 2 2 2 2 3" xfId="434" xr:uid="{00000000-0005-0000-0000-0000A3010000}"/>
    <cellStyle name="Calculation 3 2 2 2 2 3 2" xfId="435" xr:uid="{00000000-0005-0000-0000-0000A4010000}"/>
    <cellStyle name="Calculation 3 2 2 2 2 3 2 2" xfId="4265" xr:uid="{00000000-0005-0000-0000-0000A5010000}"/>
    <cellStyle name="Calculation 3 2 2 2 2 3 3" xfId="3598" xr:uid="{00000000-0005-0000-0000-0000A6010000}"/>
    <cellStyle name="Calculation 3 2 2 2 2 4" xfId="436" xr:uid="{00000000-0005-0000-0000-0000A7010000}"/>
    <cellStyle name="Calculation 3 2 2 2 2 4 2" xfId="437" xr:uid="{00000000-0005-0000-0000-0000A8010000}"/>
    <cellStyle name="Calculation 3 2 2 2 2 4 2 2" xfId="4454" xr:uid="{00000000-0005-0000-0000-0000A9010000}"/>
    <cellStyle name="Calculation 3 2 2 2 2 4 3" xfId="3787" xr:uid="{00000000-0005-0000-0000-0000AA010000}"/>
    <cellStyle name="Calculation 3 2 2 2 2 5" xfId="3203" xr:uid="{00000000-0005-0000-0000-0000AB010000}"/>
    <cellStyle name="Calculation 3 2 2 2 3" xfId="438" xr:uid="{00000000-0005-0000-0000-0000AC010000}"/>
    <cellStyle name="Calculation 3 2 2 2 3 2" xfId="439" xr:uid="{00000000-0005-0000-0000-0000AD010000}"/>
    <cellStyle name="Calculation 3 2 2 2 3 2 2" xfId="440" xr:uid="{00000000-0005-0000-0000-0000AE010000}"/>
    <cellStyle name="Calculation 3 2 2 2 3 2 2 2" xfId="4108" xr:uid="{00000000-0005-0000-0000-0000AF010000}"/>
    <cellStyle name="Calculation 3 2 2 2 3 2 3" xfId="3441" xr:uid="{00000000-0005-0000-0000-0000B0010000}"/>
    <cellStyle name="Calculation 3 2 2 2 3 3" xfId="441" xr:uid="{00000000-0005-0000-0000-0000B1010000}"/>
    <cellStyle name="Calculation 3 2 2 2 3 3 2" xfId="442" xr:uid="{00000000-0005-0000-0000-0000B2010000}"/>
    <cellStyle name="Calculation 3 2 2 2 3 3 2 2" xfId="4293" xr:uid="{00000000-0005-0000-0000-0000B3010000}"/>
    <cellStyle name="Calculation 3 2 2 2 3 3 3" xfId="3626" xr:uid="{00000000-0005-0000-0000-0000B4010000}"/>
    <cellStyle name="Calculation 3 2 2 2 3 4" xfId="443" xr:uid="{00000000-0005-0000-0000-0000B5010000}"/>
    <cellStyle name="Calculation 3 2 2 2 3 4 2" xfId="444" xr:uid="{00000000-0005-0000-0000-0000B6010000}"/>
    <cellStyle name="Calculation 3 2 2 2 3 4 2 2" xfId="4482" xr:uid="{00000000-0005-0000-0000-0000B7010000}"/>
    <cellStyle name="Calculation 3 2 2 2 3 4 3" xfId="3815" xr:uid="{00000000-0005-0000-0000-0000B8010000}"/>
    <cellStyle name="Calculation 3 2 2 2 3 5" xfId="3231" xr:uid="{00000000-0005-0000-0000-0000B9010000}"/>
    <cellStyle name="Calculation 3 2 2 2 4" xfId="445" xr:uid="{00000000-0005-0000-0000-0000BA010000}"/>
    <cellStyle name="Calculation 3 2 2 2 4 2" xfId="446" xr:uid="{00000000-0005-0000-0000-0000BB010000}"/>
    <cellStyle name="Calculation 3 2 2 2 4 2 2" xfId="3983" xr:uid="{00000000-0005-0000-0000-0000BC010000}"/>
    <cellStyle name="Calculation 3 2 2 2 4 3" xfId="3316" xr:uid="{00000000-0005-0000-0000-0000BD010000}"/>
    <cellStyle name="Calculation 3 2 2 2 5" xfId="447" xr:uid="{00000000-0005-0000-0000-0000BE010000}"/>
    <cellStyle name="Calculation 3 2 2 2 5 2" xfId="448" xr:uid="{00000000-0005-0000-0000-0000BF010000}"/>
    <cellStyle name="Calculation 3 2 2 2 5 2 2" xfId="4161" xr:uid="{00000000-0005-0000-0000-0000C0010000}"/>
    <cellStyle name="Calculation 3 2 2 2 5 3" xfId="3494" xr:uid="{00000000-0005-0000-0000-0000C1010000}"/>
    <cellStyle name="Calculation 3 2 2 2 6" xfId="449" xr:uid="{00000000-0005-0000-0000-0000C2010000}"/>
    <cellStyle name="Calculation 3 2 2 2 6 2" xfId="450" xr:uid="{00000000-0005-0000-0000-0000C3010000}"/>
    <cellStyle name="Calculation 3 2 2 2 6 2 2" xfId="4350" xr:uid="{00000000-0005-0000-0000-0000C4010000}"/>
    <cellStyle name="Calculation 3 2 2 2 6 3" xfId="3683" xr:uid="{00000000-0005-0000-0000-0000C5010000}"/>
    <cellStyle name="Calculation 3 2 2 2 7" xfId="451" xr:uid="{00000000-0005-0000-0000-0000C6010000}"/>
    <cellStyle name="Calculation 3 2 2 2 7 2" xfId="3087" xr:uid="{00000000-0005-0000-0000-0000C7010000}"/>
    <cellStyle name="Calculation 3 2 2 2 8" xfId="452" xr:uid="{00000000-0005-0000-0000-0000C8010000}"/>
    <cellStyle name="Calculation 3 2 2 2 8 2" xfId="4633" xr:uid="{00000000-0005-0000-0000-0000C9010000}"/>
    <cellStyle name="Calculation 3 2 2 2 9" xfId="2822" xr:uid="{00000000-0005-0000-0000-0000CA010000}"/>
    <cellStyle name="Calculation 3 2 2 3" xfId="453" xr:uid="{00000000-0005-0000-0000-0000CB010000}"/>
    <cellStyle name="Calculation 3 2 2 3 2" xfId="454" xr:uid="{00000000-0005-0000-0000-0000CC010000}"/>
    <cellStyle name="Calculation 3 2 2 3 2 2" xfId="455" xr:uid="{00000000-0005-0000-0000-0000CD010000}"/>
    <cellStyle name="Calculation 3 2 2 3 2 2 2" xfId="4029" xr:uid="{00000000-0005-0000-0000-0000CE010000}"/>
    <cellStyle name="Calculation 3 2 2 3 2 3" xfId="3362" xr:uid="{00000000-0005-0000-0000-0000CF010000}"/>
    <cellStyle name="Calculation 3 2 2 3 3" xfId="456" xr:uid="{00000000-0005-0000-0000-0000D0010000}"/>
    <cellStyle name="Calculation 3 2 2 3 3 2" xfId="457" xr:uid="{00000000-0005-0000-0000-0000D1010000}"/>
    <cellStyle name="Calculation 3 2 2 3 3 2 2" xfId="4207" xr:uid="{00000000-0005-0000-0000-0000D2010000}"/>
    <cellStyle name="Calculation 3 2 2 3 3 3" xfId="3540" xr:uid="{00000000-0005-0000-0000-0000D3010000}"/>
    <cellStyle name="Calculation 3 2 2 3 4" xfId="458" xr:uid="{00000000-0005-0000-0000-0000D4010000}"/>
    <cellStyle name="Calculation 3 2 2 3 4 2" xfId="459" xr:uid="{00000000-0005-0000-0000-0000D5010000}"/>
    <cellStyle name="Calculation 3 2 2 3 4 2 2" xfId="4396" xr:uid="{00000000-0005-0000-0000-0000D6010000}"/>
    <cellStyle name="Calculation 3 2 2 3 4 3" xfId="3729" xr:uid="{00000000-0005-0000-0000-0000D7010000}"/>
    <cellStyle name="Calculation 3 2 2 3 5" xfId="460" xr:uid="{00000000-0005-0000-0000-0000D8010000}"/>
    <cellStyle name="Calculation 3 2 2 3 5 2" xfId="3134" xr:uid="{00000000-0005-0000-0000-0000D9010000}"/>
    <cellStyle name="Calculation 3 2 2 3 6" xfId="2803" xr:uid="{00000000-0005-0000-0000-0000DA010000}"/>
    <cellStyle name="Calculation 3 2 2 4" xfId="461" xr:uid="{00000000-0005-0000-0000-0000DB010000}"/>
    <cellStyle name="Calculation 3 2 2 4 2" xfId="3040" xr:uid="{00000000-0005-0000-0000-0000DC010000}"/>
    <cellStyle name="Calculation 3 2 2 5" xfId="462" xr:uid="{00000000-0005-0000-0000-0000DD010000}"/>
    <cellStyle name="Calculation 3 2 2 5 2" xfId="463" xr:uid="{00000000-0005-0000-0000-0000DE010000}"/>
    <cellStyle name="Calculation 3 2 2 5 2 2" xfId="3928" xr:uid="{00000000-0005-0000-0000-0000DF010000}"/>
    <cellStyle name="Calculation 3 2 2 5 3" xfId="3261" xr:uid="{00000000-0005-0000-0000-0000E0010000}"/>
    <cellStyle name="Calculation 3 2 2 6" xfId="464" xr:uid="{00000000-0005-0000-0000-0000E1010000}"/>
    <cellStyle name="Calculation 3 2 2 6 2" xfId="465" xr:uid="{00000000-0005-0000-0000-0000E2010000}"/>
    <cellStyle name="Calculation 3 2 2 6 2 2" xfId="3888" xr:uid="{00000000-0005-0000-0000-0000E3010000}"/>
    <cellStyle name="Calculation 3 2 2 6 3" xfId="3000" xr:uid="{00000000-0005-0000-0000-0000E4010000}"/>
    <cellStyle name="Calculation 3 2 2 7" xfId="466" xr:uid="{00000000-0005-0000-0000-0000E5010000}"/>
    <cellStyle name="Calculation 3 2 2 7 2" xfId="467" xr:uid="{00000000-0005-0000-0000-0000E6010000}"/>
    <cellStyle name="Calculation 3 2 2 7 2 2" xfId="3897" xr:uid="{00000000-0005-0000-0000-0000E7010000}"/>
    <cellStyle name="Calculation 3 2 2 7 3" xfId="3015" xr:uid="{00000000-0005-0000-0000-0000E8010000}"/>
    <cellStyle name="Calculation 3 2 2 8" xfId="468" xr:uid="{00000000-0005-0000-0000-0000E9010000}"/>
    <cellStyle name="Calculation 3 2 2 8 2" xfId="2771" xr:uid="{00000000-0005-0000-0000-0000EA010000}"/>
    <cellStyle name="Calculation 3 2 2 9" xfId="469" xr:uid="{00000000-0005-0000-0000-0000EB010000}"/>
    <cellStyle name="Calculation 3 2 2 9 2" xfId="4558" xr:uid="{00000000-0005-0000-0000-0000EC010000}"/>
    <cellStyle name="Calculation 3 2 3" xfId="470" xr:uid="{00000000-0005-0000-0000-0000ED010000}"/>
    <cellStyle name="Calculation 3 2 3 2" xfId="471" xr:uid="{00000000-0005-0000-0000-0000EE010000}"/>
    <cellStyle name="Calculation 3 2 3 2 2" xfId="472" xr:uid="{00000000-0005-0000-0000-0000EF010000}"/>
    <cellStyle name="Calculation 3 2 3 2 2 2" xfId="473" xr:uid="{00000000-0005-0000-0000-0000F0010000}"/>
    <cellStyle name="Calculation 3 2 3 2 2 2 2" xfId="4057" xr:uid="{00000000-0005-0000-0000-0000F1010000}"/>
    <cellStyle name="Calculation 3 2 3 2 2 3" xfId="3390" xr:uid="{00000000-0005-0000-0000-0000F2010000}"/>
    <cellStyle name="Calculation 3 2 3 2 3" xfId="474" xr:uid="{00000000-0005-0000-0000-0000F3010000}"/>
    <cellStyle name="Calculation 3 2 3 2 3 2" xfId="475" xr:uid="{00000000-0005-0000-0000-0000F4010000}"/>
    <cellStyle name="Calculation 3 2 3 2 3 2 2" xfId="4234" xr:uid="{00000000-0005-0000-0000-0000F5010000}"/>
    <cellStyle name="Calculation 3 2 3 2 3 3" xfId="3567" xr:uid="{00000000-0005-0000-0000-0000F6010000}"/>
    <cellStyle name="Calculation 3 2 3 2 4" xfId="476" xr:uid="{00000000-0005-0000-0000-0000F7010000}"/>
    <cellStyle name="Calculation 3 2 3 2 4 2" xfId="477" xr:uid="{00000000-0005-0000-0000-0000F8010000}"/>
    <cellStyle name="Calculation 3 2 3 2 4 2 2" xfId="4423" xr:uid="{00000000-0005-0000-0000-0000F9010000}"/>
    <cellStyle name="Calculation 3 2 3 2 4 3" xfId="3756" xr:uid="{00000000-0005-0000-0000-0000FA010000}"/>
    <cellStyle name="Calculation 3 2 3 2 5" xfId="3169" xr:uid="{00000000-0005-0000-0000-0000FB010000}"/>
    <cellStyle name="Calculation 3 2 3 3" xfId="478" xr:uid="{00000000-0005-0000-0000-0000FC010000}"/>
    <cellStyle name="Calculation 3 2 3 3 2" xfId="479" xr:uid="{00000000-0005-0000-0000-0000FD010000}"/>
    <cellStyle name="Calculation 3 2 3 3 2 2" xfId="3954" xr:uid="{00000000-0005-0000-0000-0000FE010000}"/>
    <cellStyle name="Calculation 3 2 3 3 3" xfId="3287" xr:uid="{00000000-0005-0000-0000-0000FF010000}"/>
    <cellStyle name="Calculation 3 2 3 4" xfId="480" xr:uid="{00000000-0005-0000-0000-000000020000}"/>
    <cellStyle name="Calculation 3 2 3 4 2" xfId="481" xr:uid="{00000000-0005-0000-0000-000001020000}"/>
    <cellStyle name="Calculation 3 2 3 4 2 2" xfId="4132" xr:uid="{00000000-0005-0000-0000-000002020000}"/>
    <cellStyle name="Calculation 3 2 3 4 3" xfId="3465" xr:uid="{00000000-0005-0000-0000-000003020000}"/>
    <cellStyle name="Calculation 3 2 3 5" xfId="482" xr:uid="{00000000-0005-0000-0000-000004020000}"/>
    <cellStyle name="Calculation 3 2 3 5 2" xfId="483" xr:uid="{00000000-0005-0000-0000-000005020000}"/>
    <cellStyle name="Calculation 3 2 3 5 2 2" xfId="4321" xr:uid="{00000000-0005-0000-0000-000006020000}"/>
    <cellStyle name="Calculation 3 2 3 5 3" xfId="3654" xr:uid="{00000000-0005-0000-0000-000007020000}"/>
    <cellStyle name="Calculation 3 2 3 6" xfId="484" xr:uid="{00000000-0005-0000-0000-000008020000}"/>
    <cellStyle name="Calculation 3 2 3 6 2" xfId="4599" xr:uid="{00000000-0005-0000-0000-000009020000}"/>
    <cellStyle name="Calculation 3 2 3 7" xfId="2758" xr:uid="{00000000-0005-0000-0000-00000A020000}"/>
    <cellStyle name="Calculation 3 2 4" xfId="485" xr:uid="{00000000-0005-0000-0000-00000B020000}"/>
    <cellStyle name="Calculation 3 2 4 2" xfId="486" xr:uid="{00000000-0005-0000-0000-00000C020000}"/>
    <cellStyle name="Calculation 3 2 4 2 2" xfId="487" xr:uid="{00000000-0005-0000-0000-00000D020000}"/>
    <cellStyle name="Calculation 3 2 4 2 2 2" xfId="488" xr:uid="{00000000-0005-0000-0000-00000E020000}"/>
    <cellStyle name="Calculation 3 2 4 2 2 2 2" xfId="4008" xr:uid="{00000000-0005-0000-0000-00000F020000}"/>
    <cellStyle name="Calculation 3 2 4 2 2 3" xfId="3341" xr:uid="{00000000-0005-0000-0000-000010020000}"/>
    <cellStyle name="Calculation 3 2 4 2 3" xfId="489" xr:uid="{00000000-0005-0000-0000-000011020000}"/>
    <cellStyle name="Calculation 3 2 4 2 3 2" xfId="490" xr:uid="{00000000-0005-0000-0000-000012020000}"/>
    <cellStyle name="Calculation 3 2 4 2 3 2 2" xfId="4186" xr:uid="{00000000-0005-0000-0000-000013020000}"/>
    <cellStyle name="Calculation 3 2 4 2 3 3" xfId="3519" xr:uid="{00000000-0005-0000-0000-000014020000}"/>
    <cellStyle name="Calculation 3 2 4 2 4" xfId="491" xr:uid="{00000000-0005-0000-0000-000015020000}"/>
    <cellStyle name="Calculation 3 2 4 2 4 2" xfId="492" xr:uid="{00000000-0005-0000-0000-000016020000}"/>
    <cellStyle name="Calculation 3 2 4 2 4 2 2" xfId="4375" xr:uid="{00000000-0005-0000-0000-000017020000}"/>
    <cellStyle name="Calculation 3 2 4 2 4 3" xfId="3708" xr:uid="{00000000-0005-0000-0000-000018020000}"/>
    <cellStyle name="Calculation 3 2 4 2 5" xfId="3112" xr:uid="{00000000-0005-0000-0000-000019020000}"/>
    <cellStyle name="Calculation 3 2 4 3" xfId="493" xr:uid="{00000000-0005-0000-0000-00001A020000}"/>
    <cellStyle name="Calculation 3 2 4 3 2" xfId="494" xr:uid="{00000000-0005-0000-0000-00001B020000}"/>
    <cellStyle name="Calculation 3 2 4 3 2 2" xfId="3904" xr:uid="{00000000-0005-0000-0000-00001C020000}"/>
    <cellStyle name="Calculation 3 2 4 3 3" xfId="3237" xr:uid="{00000000-0005-0000-0000-00001D020000}"/>
    <cellStyle name="Calculation 3 2 4 4" xfId="495" xr:uid="{00000000-0005-0000-0000-00001E020000}"/>
    <cellStyle name="Calculation 3 2 4 4 2" xfId="496" xr:uid="{00000000-0005-0000-0000-00001F020000}"/>
    <cellStyle name="Calculation 3 2 4 4 2 2" xfId="3846" xr:uid="{00000000-0005-0000-0000-000020020000}"/>
    <cellStyle name="Calculation 3 2 4 4 3" xfId="2941" xr:uid="{00000000-0005-0000-0000-000021020000}"/>
    <cellStyle name="Calculation 3 2 4 5" xfId="497" xr:uid="{00000000-0005-0000-0000-000022020000}"/>
    <cellStyle name="Calculation 3 2 4 5 2" xfId="498" xr:uid="{00000000-0005-0000-0000-000023020000}"/>
    <cellStyle name="Calculation 3 2 4 5 2 2" xfId="3893" xr:uid="{00000000-0005-0000-0000-000024020000}"/>
    <cellStyle name="Calculation 3 2 4 5 3" xfId="3010" xr:uid="{00000000-0005-0000-0000-000025020000}"/>
    <cellStyle name="Calculation 3 2 4 6" xfId="499" xr:uid="{00000000-0005-0000-0000-000026020000}"/>
    <cellStyle name="Calculation 3 2 4 6 2" xfId="4532" xr:uid="{00000000-0005-0000-0000-000027020000}"/>
    <cellStyle name="Calculation 3 2 4 7" xfId="3011" xr:uid="{00000000-0005-0000-0000-000028020000}"/>
    <cellStyle name="Calculation 3 2 5" xfId="500" xr:uid="{00000000-0005-0000-0000-000029020000}"/>
    <cellStyle name="Calculation 3 2 5 2" xfId="501" xr:uid="{00000000-0005-0000-0000-00002A020000}"/>
    <cellStyle name="Calculation 3 2 5 2 2" xfId="502" xr:uid="{00000000-0005-0000-0000-00002B020000}"/>
    <cellStyle name="Calculation 3 2 5 2 2 2" xfId="3997" xr:uid="{00000000-0005-0000-0000-00002C020000}"/>
    <cellStyle name="Calculation 3 2 5 2 3" xfId="3330" xr:uid="{00000000-0005-0000-0000-00002D020000}"/>
    <cellStyle name="Calculation 3 2 5 3" xfId="503" xr:uid="{00000000-0005-0000-0000-00002E020000}"/>
    <cellStyle name="Calculation 3 2 5 3 2" xfId="504" xr:uid="{00000000-0005-0000-0000-00002F020000}"/>
    <cellStyle name="Calculation 3 2 5 3 2 2" xfId="4175" xr:uid="{00000000-0005-0000-0000-000030020000}"/>
    <cellStyle name="Calculation 3 2 5 3 3" xfId="3508" xr:uid="{00000000-0005-0000-0000-000031020000}"/>
    <cellStyle name="Calculation 3 2 5 4" xfId="505" xr:uid="{00000000-0005-0000-0000-000032020000}"/>
    <cellStyle name="Calculation 3 2 5 4 2" xfId="506" xr:uid="{00000000-0005-0000-0000-000033020000}"/>
    <cellStyle name="Calculation 3 2 5 4 2 2" xfId="4364" xr:uid="{00000000-0005-0000-0000-000034020000}"/>
    <cellStyle name="Calculation 3 2 5 4 3" xfId="3697" xr:uid="{00000000-0005-0000-0000-000035020000}"/>
    <cellStyle name="Calculation 3 2 5 5" xfId="3101" xr:uid="{00000000-0005-0000-0000-000036020000}"/>
    <cellStyle name="Calculation 3 2 6" xfId="507" xr:uid="{00000000-0005-0000-0000-000037020000}"/>
    <cellStyle name="Calculation 3 2 6 2" xfId="508" xr:uid="{00000000-0005-0000-0000-000038020000}"/>
    <cellStyle name="Calculation 3 2 6 2 2" xfId="509" xr:uid="{00000000-0005-0000-0000-000039020000}"/>
    <cellStyle name="Calculation 3 2 6 2 2 2" xfId="4017" xr:uid="{00000000-0005-0000-0000-00003A020000}"/>
    <cellStyle name="Calculation 3 2 6 2 3" xfId="3350" xr:uid="{00000000-0005-0000-0000-00003B020000}"/>
    <cellStyle name="Calculation 3 2 6 3" xfId="510" xr:uid="{00000000-0005-0000-0000-00003C020000}"/>
    <cellStyle name="Calculation 3 2 6 3 2" xfId="511" xr:uid="{00000000-0005-0000-0000-00003D020000}"/>
    <cellStyle name="Calculation 3 2 6 3 2 2" xfId="4195" xr:uid="{00000000-0005-0000-0000-00003E020000}"/>
    <cellStyle name="Calculation 3 2 6 3 3" xfId="3528" xr:uid="{00000000-0005-0000-0000-00003F020000}"/>
    <cellStyle name="Calculation 3 2 6 4" xfId="512" xr:uid="{00000000-0005-0000-0000-000040020000}"/>
    <cellStyle name="Calculation 3 2 6 4 2" xfId="513" xr:uid="{00000000-0005-0000-0000-000041020000}"/>
    <cellStyle name="Calculation 3 2 6 4 2 2" xfId="4384" xr:uid="{00000000-0005-0000-0000-000042020000}"/>
    <cellStyle name="Calculation 3 2 6 4 3" xfId="3717" xr:uid="{00000000-0005-0000-0000-000043020000}"/>
    <cellStyle name="Calculation 3 2 6 5" xfId="3121" xr:uid="{00000000-0005-0000-0000-000044020000}"/>
    <cellStyle name="Calculation 3 2 7" xfId="514" xr:uid="{00000000-0005-0000-0000-000045020000}"/>
    <cellStyle name="Calculation 3 2 7 2" xfId="515" xr:uid="{00000000-0005-0000-0000-000046020000}"/>
    <cellStyle name="Calculation 3 2 7 2 2" xfId="3867" xr:uid="{00000000-0005-0000-0000-000047020000}"/>
    <cellStyle name="Calculation 3 2 7 3" xfId="2968" xr:uid="{00000000-0005-0000-0000-000048020000}"/>
    <cellStyle name="Calculation 3 2 8" xfId="516" xr:uid="{00000000-0005-0000-0000-000049020000}"/>
    <cellStyle name="Calculation 3 2 8 2" xfId="517" xr:uid="{00000000-0005-0000-0000-00004A020000}"/>
    <cellStyle name="Calculation 3 2 8 2 2" xfId="3834" xr:uid="{00000000-0005-0000-0000-00004B020000}"/>
    <cellStyle name="Calculation 3 2 8 3" xfId="2917" xr:uid="{00000000-0005-0000-0000-00004C020000}"/>
    <cellStyle name="Calculation 3 2 9" xfId="518" xr:uid="{00000000-0005-0000-0000-00004D020000}"/>
    <cellStyle name="Calculation 3 2 9 2" xfId="519" xr:uid="{00000000-0005-0000-0000-00004E020000}"/>
    <cellStyle name="Calculation 3 2 9 2 2" xfId="3847" xr:uid="{00000000-0005-0000-0000-00004F020000}"/>
    <cellStyle name="Calculation 3 2 9 3" xfId="2942" xr:uid="{00000000-0005-0000-0000-000050020000}"/>
    <cellStyle name="Calculation 3 3" xfId="520" xr:uid="{00000000-0005-0000-0000-000051020000}"/>
    <cellStyle name="Calculation 3 3 10" xfId="521" xr:uid="{00000000-0005-0000-0000-000052020000}"/>
    <cellStyle name="Calculation 3 3 10 2" xfId="2717" xr:uid="{00000000-0005-0000-0000-000053020000}"/>
    <cellStyle name="Calculation 3 3 11" xfId="2664" xr:uid="{00000000-0005-0000-0000-000054020000}"/>
    <cellStyle name="Calculation 3 3 2" xfId="522" xr:uid="{00000000-0005-0000-0000-000055020000}"/>
    <cellStyle name="Calculation 3 3 2 2" xfId="523" xr:uid="{00000000-0005-0000-0000-000056020000}"/>
    <cellStyle name="Calculation 3 3 2 2 2" xfId="524" xr:uid="{00000000-0005-0000-0000-000057020000}"/>
    <cellStyle name="Calculation 3 3 2 2 2 2" xfId="525" xr:uid="{00000000-0005-0000-0000-000058020000}"/>
    <cellStyle name="Calculation 3 3 2 2 2 2 2" xfId="4086" xr:uid="{00000000-0005-0000-0000-000059020000}"/>
    <cellStyle name="Calculation 3 3 2 2 2 3" xfId="3419" xr:uid="{00000000-0005-0000-0000-00005A020000}"/>
    <cellStyle name="Calculation 3 3 2 2 3" xfId="526" xr:uid="{00000000-0005-0000-0000-00005B020000}"/>
    <cellStyle name="Calculation 3 3 2 2 3 2" xfId="527" xr:uid="{00000000-0005-0000-0000-00005C020000}"/>
    <cellStyle name="Calculation 3 3 2 2 3 2 2" xfId="4263" xr:uid="{00000000-0005-0000-0000-00005D020000}"/>
    <cellStyle name="Calculation 3 3 2 2 3 3" xfId="3596" xr:uid="{00000000-0005-0000-0000-00005E020000}"/>
    <cellStyle name="Calculation 3 3 2 2 4" xfId="528" xr:uid="{00000000-0005-0000-0000-00005F020000}"/>
    <cellStyle name="Calculation 3 3 2 2 4 2" xfId="529" xr:uid="{00000000-0005-0000-0000-000060020000}"/>
    <cellStyle name="Calculation 3 3 2 2 4 2 2" xfId="4452" xr:uid="{00000000-0005-0000-0000-000061020000}"/>
    <cellStyle name="Calculation 3 3 2 2 4 3" xfId="3785" xr:uid="{00000000-0005-0000-0000-000062020000}"/>
    <cellStyle name="Calculation 3 3 2 2 5" xfId="3201" xr:uid="{00000000-0005-0000-0000-000063020000}"/>
    <cellStyle name="Calculation 3 3 2 3" xfId="530" xr:uid="{00000000-0005-0000-0000-000064020000}"/>
    <cellStyle name="Calculation 3 3 2 3 2" xfId="531" xr:uid="{00000000-0005-0000-0000-000065020000}"/>
    <cellStyle name="Calculation 3 3 2 3 2 2" xfId="532" xr:uid="{00000000-0005-0000-0000-000066020000}"/>
    <cellStyle name="Calculation 3 3 2 3 2 2 2" xfId="4106" xr:uid="{00000000-0005-0000-0000-000067020000}"/>
    <cellStyle name="Calculation 3 3 2 3 2 3" xfId="3439" xr:uid="{00000000-0005-0000-0000-000068020000}"/>
    <cellStyle name="Calculation 3 3 2 3 3" xfId="533" xr:uid="{00000000-0005-0000-0000-000069020000}"/>
    <cellStyle name="Calculation 3 3 2 3 3 2" xfId="534" xr:uid="{00000000-0005-0000-0000-00006A020000}"/>
    <cellStyle name="Calculation 3 3 2 3 3 2 2" xfId="4291" xr:uid="{00000000-0005-0000-0000-00006B020000}"/>
    <cellStyle name="Calculation 3 3 2 3 3 3" xfId="3624" xr:uid="{00000000-0005-0000-0000-00006C020000}"/>
    <cellStyle name="Calculation 3 3 2 3 4" xfId="535" xr:uid="{00000000-0005-0000-0000-00006D020000}"/>
    <cellStyle name="Calculation 3 3 2 3 4 2" xfId="536" xr:uid="{00000000-0005-0000-0000-00006E020000}"/>
    <cellStyle name="Calculation 3 3 2 3 4 2 2" xfId="4480" xr:uid="{00000000-0005-0000-0000-00006F020000}"/>
    <cellStyle name="Calculation 3 3 2 3 4 3" xfId="3813" xr:uid="{00000000-0005-0000-0000-000070020000}"/>
    <cellStyle name="Calculation 3 3 2 3 5" xfId="3229" xr:uid="{00000000-0005-0000-0000-000071020000}"/>
    <cellStyle name="Calculation 3 3 2 4" xfId="537" xr:uid="{00000000-0005-0000-0000-000072020000}"/>
    <cellStyle name="Calculation 3 3 2 4 2" xfId="538" xr:uid="{00000000-0005-0000-0000-000073020000}"/>
    <cellStyle name="Calculation 3 3 2 4 2 2" xfId="3981" xr:uid="{00000000-0005-0000-0000-000074020000}"/>
    <cellStyle name="Calculation 3 3 2 4 3" xfId="3314" xr:uid="{00000000-0005-0000-0000-000075020000}"/>
    <cellStyle name="Calculation 3 3 2 5" xfId="539" xr:uid="{00000000-0005-0000-0000-000076020000}"/>
    <cellStyle name="Calculation 3 3 2 5 2" xfId="540" xr:uid="{00000000-0005-0000-0000-000077020000}"/>
    <cellStyle name="Calculation 3 3 2 5 2 2" xfId="4159" xr:uid="{00000000-0005-0000-0000-000078020000}"/>
    <cellStyle name="Calculation 3 3 2 5 3" xfId="3492" xr:uid="{00000000-0005-0000-0000-000079020000}"/>
    <cellStyle name="Calculation 3 3 2 6" xfId="541" xr:uid="{00000000-0005-0000-0000-00007A020000}"/>
    <cellStyle name="Calculation 3 3 2 6 2" xfId="542" xr:uid="{00000000-0005-0000-0000-00007B020000}"/>
    <cellStyle name="Calculation 3 3 2 6 2 2" xfId="4348" xr:uid="{00000000-0005-0000-0000-00007C020000}"/>
    <cellStyle name="Calculation 3 3 2 6 3" xfId="3681" xr:uid="{00000000-0005-0000-0000-00007D020000}"/>
    <cellStyle name="Calculation 3 3 2 7" xfId="543" xr:uid="{00000000-0005-0000-0000-00007E020000}"/>
    <cellStyle name="Calculation 3 3 2 7 2" xfId="3085" xr:uid="{00000000-0005-0000-0000-00007F020000}"/>
    <cellStyle name="Calculation 3 3 2 8" xfId="544" xr:uid="{00000000-0005-0000-0000-000080020000}"/>
    <cellStyle name="Calculation 3 3 2 8 2" xfId="4631" xr:uid="{00000000-0005-0000-0000-000081020000}"/>
    <cellStyle name="Calculation 3 3 2 9" xfId="2823" xr:uid="{00000000-0005-0000-0000-000082020000}"/>
    <cellStyle name="Calculation 3 3 3" xfId="545" xr:uid="{00000000-0005-0000-0000-000083020000}"/>
    <cellStyle name="Calculation 3 3 3 2" xfId="546" xr:uid="{00000000-0005-0000-0000-000084020000}"/>
    <cellStyle name="Calculation 3 3 3 2 2" xfId="547" xr:uid="{00000000-0005-0000-0000-000085020000}"/>
    <cellStyle name="Calculation 3 3 3 2 2 2" xfId="4019" xr:uid="{00000000-0005-0000-0000-000086020000}"/>
    <cellStyle name="Calculation 3 3 3 2 3" xfId="3352" xr:uid="{00000000-0005-0000-0000-000087020000}"/>
    <cellStyle name="Calculation 3 3 3 3" xfId="548" xr:uid="{00000000-0005-0000-0000-000088020000}"/>
    <cellStyle name="Calculation 3 3 3 3 2" xfId="549" xr:uid="{00000000-0005-0000-0000-000089020000}"/>
    <cellStyle name="Calculation 3 3 3 3 2 2" xfId="4197" xr:uid="{00000000-0005-0000-0000-00008A020000}"/>
    <cellStyle name="Calculation 3 3 3 3 3" xfId="3530" xr:uid="{00000000-0005-0000-0000-00008B020000}"/>
    <cellStyle name="Calculation 3 3 3 4" xfId="550" xr:uid="{00000000-0005-0000-0000-00008C020000}"/>
    <cellStyle name="Calculation 3 3 3 4 2" xfId="551" xr:uid="{00000000-0005-0000-0000-00008D020000}"/>
    <cellStyle name="Calculation 3 3 3 4 2 2" xfId="4386" xr:uid="{00000000-0005-0000-0000-00008E020000}"/>
    <cellStyle name="Calculation 3 3 3 4 3" xfId="3719" xr:uid="{00000000-0005-0000-0000-00008F020000}"/>
    <cellStyle name="Calculation 3 3 3 5" xfId="552" xr:uid="{00000000-0005-0000-0000-000090020000}"/>
    <cellStyle name="Calculation 3 3 3 5 2" xfId="3123" xr:uid="{00000000-0005-0000-0000-000091020000}"/>
    <cellStyle name="Calculation 3 3 3 6" xfId="2801" xr:uid="{00000000-0005-0000-0000-000092020000}"/>
    <cellStyle name="Calculation 3 3 4" xfId="553" xr:uid="{00000000-0005-0000-0000-000093020000}"/>
    <cellStyle name="Calculation 3 3 4 2" xfId="3028" xr:uid="{00000000-0005-0000-0000-000094020000}"/>
    <cellStyle name="Calculation 3 3 5" xfId="554" xr:uid="{00000000-0005-0000-0000-000095020000}"/>
    <cellStyle name="Calculation 3 3 5 2" xfId="555" xr:uid="{00000000-0005-0000-0000-000096020000}"/>
    <cellStyle name="Calculation 3 3 5 2 2" xfId="3917" xr:uid="{00000000-0005-0000-0000-000097020000}"/>
    <cellStyle name="Calculation 3 3 5 3" xfId="3250" xr:uid="{00000000-0005-0000-0000-000098020000}"/>
    <cellStyle name="Calculation 3 3 6" xfId="556" xr:uid="{00000000-0005-0000-0000-000099020000}"/>
    <cellStyle name="Calculation 3 3 6 2" xfId="557" xr:uid="{00000000-0005-0000-0000-00009A020000}"/>
    <cellStyle name="Calculation 3 3 6 2 2" xfId="3830" xr:uid="{00000000-0005-0000-0000-00009B020000}"/>
    <cellStyle name="Calculation 3 3 6 3" xfId="2912" xr:uid="{00000000-0005-0000-0000-00009C020000}"/>
    <cellStyle name="Calculation 3 3 7" xfId="558" xr:uid="{00000000-0005-0000-0000-00009D020000}"/>
    <cellStyle name="Calculation 3 3 7 2" xfId="559" xr:uid="{00000000-0005-0000-0000-00009E020000}"/>
    <cellStyle name="Calculation 3 3 7 2 2" xfId="3826" xr:uid="{00000000-0005-0000-0000-00009F020000}"/>
    <cellStyle name="Calculation 3 3 7 3" xfId="2905" xr:uid="{00000000-0005-0000-0000-0000A0020000}"/>
    <cellStyle name="Calculation 3 3 8" xfId="560" xr:uid="{00000000-0005-0000-0000-0000A1020000}"/>
    <cellStyle name="Calculation 3 3 8 2" xfId="2777" xr:uid="{00000000-0005-0000-0000-0000A2020000}"/>
    <cellStyle name="Calculation 3 3 9" xfId="561" xr:uid="{00000000-0005-0000-0000-0000A3020000}"/>
    <cellStyle name="Calculation 3 3 9 2" xfId="4547" xr:uid="{00000000-0005-0000-0000-0000A4020000}"/>
    <cellStyle name="Calculation 3 4" xfId="562" xr:uid="{00000000-0005-0000-0000-0000A5020000}"/>
    <cellStyle name="Calculation 3 4 2" xfId="563" xr:uid="{00000000-0005-0000-0000-0000A6020000}"/>
    <cellStyle name="Calculation 3 4 2 2" xfId="564" xr:uid="{00000000-0005-0000-0000-0000A7020000}"/>
    <cellStyle name="Calculation 3 4 2 2 2" xfId="565" xr:uid="{00000000-0005-0000-0000-0000A8020000}"/>
    <cellStyle name="Calculation 3 4 2 2 2 2" xfId="4050" xr:uid="{00000000-0005-0000-0000-0000A9020000}"/>
    <cellStyle name="Calculation 3 4 2 2 3" xfId="3383" xr:uid="{00000000-0005-0000-0000-0000AA020000}"/>
    <cellStyle name="Calculation 3 4 2 3" xfId="566" xr:uid="{00000000-0005-0000-0000-0000AB020000}"/>
    <cellStyle name="Calculation 3 4 2 3 2" xfId="567" xr:uid="{00000000-0005-0000-0000-0000AC020000}"/>
    <cellStyle name="Calculation 3 4 2 3 2 2" xfId="4227" xr:uid="{00000000-0005-0000-0000-0000AD020000}"/>
    <cellStyle name="Calculation 3 4 2 3 3" xfId="3560" xr:uid="{00000000-0005-0000-0000-0000AE020000}"/>
    <cellStyle name="Calculation 3 4 2 4" xfId="568" xr:uid="{00000000-0005-0000-0000-0000AF020000}"/>
    <cellStyle name="Calculation 3 4 2 4 2" xfId="569" xr:uid="{00000000-0005-0000-0000-0000B0020000}"/>
    <cellStyle name="Calculation 3 4 2 4 2 2" xfId="4416" xr:uid="{00000000-0005-0000-0000-0000B1020000}"/>
    <cellStyle name="Calculation 3 4 2 4 3" xfId="3749" xr:uid="{00000000-0005-0000-0000-0000B2020000}"/>
    <cellStyle name="Calculation 3 4 2 5" xfId="3159" xr:uid="{00000000-0005-0000-0000-0000B3020000}"/>
    <cellStyle name="Calculation 3 4 3" xfId="570" xr:uid="{00000000-0005-0000-0000-0000B4020000}"/>
    <cellStyle name="Calculation 3 4 3 2" xfId="571" xr:uid="{00000000-0005-0000-0000-0000B5020000}"/>
    <cellStyle name="Calculation 3 4 3 2 2" xfId="3948" xr:uid="{00000000-0005-0000-0000-0000B6020000}"/>
    <cellStyle name="Calculation 3 4 3 3" xfId="3281" xr:uid="{00000000-0005-0000-0000-0000B7020000}"/>
    <cellStyle name="Calculation 3 4 4" xfId="572" xr:uid="{00000000-0005-0000-0000-0000B8020000}"/>
    <cellStyle name="Calculation 3 4 4 2" xfId="573" xr:uid="{00000000-0005-0000-0000-0000B9020000}"/>
    <cellStyle name="Calculation 3 4 4 2 2" xfId="4126" xr:uid="{00000000-0005-0000-0000-0000BA020000}"/>
    <cellStyle name="Calculation 3 4 4 3" xfId="3459" xr:uid="{00000000-0005-0000-0000-0000BB020000}"/>
    <cellStyle name="Calculation 3 4 5" xfId="574" xr:uid="{00000000-0005-0000-0000-0000BC020000}"/>
    <cellStyle name="Calculation 3 4 5 2" xfId="575" xr:uid="{00000000-0005-0000-0000-0000BD020000}"/>
    <cellStyle name="Calculation 3 4 5 2 2" xfId="4315" xr:uid="{00000000-0005-0000-0000-0000BE020000}"/>
    <cellStyle name="Calculation 3 4 5 3" xfId="3648" xr:uid="{00000000-0005-0000-0000-0000BF020000}"/>
    <cellStyle name="Calculation 3 4 6" xfId="576" xr:uid="{00000000-0005-0000-0000-0000C0020000}"/>
    <cellStyle name="Calculation 3 4 6 2" xfId="4589" xr:uid="{00000000-0005-0000-0000-0000C1020000}"/>
    <cellStyle name="Calculation 3 4 7" xfId="3060" xr:uid="{00000000-0005-0000-0000-0000C2020000}"/>
    <cellStyle name="Calculation 3 5" xfId="577" xr:uid="{00000000-0005-0000-0000-0000C3020000}"/>
    <cellStyle name="Calculation 3 5 2" xfId="2948" xr:uid="{00000000-0005-0000-0000-0000C4020000}"/>
    <cellStyle name="Calculation 3 6" xfId="578" xr:uid="{00000000-0005-0000-0000-0000C5020000}"/>
    <cellStyle name="Calculation 3 6 2" xfId="2739" xr:uid="{00000000-0005-0000-0000-0000C6020000}"/>
    <cellStyle name="Calculation 3 7" xfId="579" xr:uid="{00000000-0005-0000-0000-0000C7020000}"/>
    <cellStyle name="Calculation 3 7 2" xfId="4507" xr:uid="{00000000-0005-0000-0000-0000C8020000}"/>
    <cellStyle name="Calculation 3_בחירה מרשימה" xfId="580" xr:uid="{00000000-0005-0000-0000-0000C9020000}"/>
    <cellStyle name="Calculation 4" xfId="581" xr:uid="{00000000-0005-0000-0000-0000CA020000}"/>
    <cellStyle name="Calculation 4 10" xfId="582" xr:uid="{00000000-0005-0000-0000-0000CB020000}"/>
    <cellStyle name="Calculation 4 10 2" xfId="2697" xr:uid="{00000000-0005-0000-0000-0000CC020000}"/>
    <cellStyle name="Calculation 4 11" xfId="2644" xr:uid="{00000000-0005-0000-0000-0000CD020000}"/>
    <cellStyle name="Calculation 4 2" xfId="583" xr:uid="{00000000-0005-0000-0000-0000CE020000}"/>
    <cellStyle name="Calculation 4 2 2" xfId="584" xr:uid="{00000000-0005-0000-0000-0000CF020000}"/>
    <cellStyle name="Calculation 4 2 2 2" xfId="585" xr:uid="{00000000-0005-0000-0000-0000D0020000}"/>
    <cellStyle name="Calculation 4 2 2 2 2" xfId="586" xr:uid="{00000000-0005-0000-0000-0000D1020000}"/>
    <cellStyle name="Calculation 4 2 2 2 2 2" xfId="4054" xr:uid="{00000000-0005-0000-0000-0000D2020000}"/>
    <cellStyle name="Calculation 4 2 2 2 3" xfId="3387" xr:uid="{00000000-0005-0000-0000-0000D3020000}"/>
    <cellStyle name="Calculation 4 2 2 3" xfId="587" xr:uid="{00000000-0005-0000-0000-0000D4020000}"/>
    <cellStyle name="Calculation 4 2 2 3 2" xfId="588" xr:uid="{00000000-0005-0000-0000-0000D5020000}"/>
    <cellStyle name="Calculation 4 2 2 3 2 2" xfId="4231" xr:uid="{00000000-0005-0000-0000-0000D6020000}"/>
    <cellStyle name="Calculation 4 2 2 3 3" xfId="3564" xr:uid="{00000000-0005-0000-0000-0000D7020000}"/>
    <cellStyle name="Calculation 4 2 2 4" xfId="589" xr:uid="{00000000-0005-0000-0000-0000D8020000}"/>
    <cellStyle name="Calculation 4 2 2 4 2" xfId="590" xr:uid="{00000000-0005-0000-0000-0000D9020000}"/>
    <cellStyle name="Calculation 4 2 2 4 2 2" xfId="4420" xr:uid="{00000000-0005-0000-0000-0000DA020000}"/>
    <cellStyle name="Calculation 4 2 2 4 3" xfId="3753" xr:uid="{00000000-0005-0000-0000-0000DB020000}"/>
    <cellStyle name="Calculation 4 2 2 5" xfId="3163" xr:uid="{00000000-0005-0000-0000-0000DC020000}"/>
    <cellStyle name="Calculation 4 2 3" xfId="591" xr:uid="{00000000-0005-0000-0000-0000DD020000}"/>
    <cellStyle name="Calculation 4 2 3 2" xfId="592" xr:uid="{00000000-0005-0000-0000-0000DE020000}"/>
    <cellStyle name="Calculation 4 2 3 2 2" xfId="593" xr:uid="{00000000-0005-0000-0000-0000DF020000}"/>
    <cellStyle name="Calculation 4 2 3 2 2 2" xfId="4101" xr:uid="{00000000-0005-0000-0000-0000E0020000}"/>
    <cellStyle name="Calculation 4 2 3 2 3" xfId="3434" xr:uid="{00000000-0005-0000-0000-0000E1020000}"/>
    <cellStyle name="Calculation 4 2 3 3" xfId="594" xr:uid="{00000000-0005-0000-0000-0000E2020000}"/>
    <cellStyle name="Calculation 4 2 3 3 2" xfId="595" xr:uid="{00000000-0005-0000-0000-0000E3020000}"/>
    <cellStyle name="Calculation 4 2 3 3 2 2" xfId="4281" xr:uid="{00000000-0005-0000-0000-0000E4020000}"/>
    <cellStyle name="Calculation 4 2 3 3 3" xfId="3614" xr:uid="{00000000-0005-0000-0000-0000E5020000}"/>
    <cellStyle name="Calculation 4 2 3 4" xfId="596" xr:uid="{00000000-0005-0000-0000-0000E6020000}"/>
    <cellStyle name="Calculation 4 2 3 4 2" xfId="597" xr:uid="{00000000-0005-0000-0000-0000E7020000}"/>
    <cellStyle name="Calculation 4 2 3 4 2 2" xfId="4470" xr:uid="{00000000-0005-0000-0000-0000E8020000}"/>
    <cellStyle name="Calculation 4 2 3 4 3" xfId="3803" xr:uid="{00000000-0005-0000-0000-0000E9020000}"/>
    <cellStyle name="Calculation 4 2 3 5" xfId="3219" xr:uid="{00000000-0005-0000-0000-0000EA020000}"/>
    <cellStyle name="Calculation 4 2 4" xfId="598" xr:uid="{00000000-0005-0000-0000-0000EB020000}"/>
    <cellStyle name="Calculation 4 2 4 2" xfId="599" xr:uid="{00000000-0005-0000-0000-0000EC020000}"/>
    <cellStyle name="Calculation 4 2 4 2 2" xfId="3951" xr:uid="{00000000-0005-0000-0000-0000ED020000}"/>
    <cellStyle name="Calculation 4 2 4 3" xfId="3284" xr:uid="{00000000-0005-0000-0000-0000EE020000}"/>
    <cellStyle name="Calculation 4 2 5" xfId="600" xr:uid="{00000000-0005-0000-0000-0000EF020000}"/>
    <cellStyle name="Calculation 4 2 5 2" xfId="601" xr:uid="{00000000-0005-0000-0000-0000F0020000}"/>
    <cellStyle name="Calculation 4 2 5 2 2" xfId="4129" xr:uid="{00000000-0005-0000-0000-0000F1020000}"/>
    <cellStyle name="Calculation 4 2 5 3" xfId="3462" xr:uid="{00000000-0005-0000-0000-0000F2020000}"/>
    <cellStyle name="Calculation 4 2 6" xfId="602" xr:uid="{00000000-0005-0000-0000-0000F3020000}"/>
    <cellStyle name="Calculation 4 2 6 2" xfId="603" xr:uid="{00000000-0005-0000-0000-0000F4020000}"/>
    <cellStyle name="Calculation 4 2 6 2 2" xfId="4318" xr:uid="{00000000-0005-0000-0000-0000F5020000}"/>
    <cellStyle name="Calculation 4 2 6 3" xfId="3651" xr:uid="{00000000-0005-0000-0000-0000F6020000}"/>
    <cellStyle name="Calculation 4 2 7" xfId="604" xr:uid="{00000000-0005-0000-0000-0000F7020000}"/>
    <cellStyle name="Calculation 4 2 7 2" xfId="3063" xr:uid="{00000000-0005-0000-0000-0000F8020000}"/>
    <cellStyle name="Calculation 4 2 8" xfId="605" xr:uid="{00000000-0005-0000-0000-0000F9020000}"/>
    <cellStyle name="Calculation 4 2 8 2" xfId="4593" xr:uid="{00000000-0005-0000-0000-0000FA020000}"/>
    <cellStyle name="Calculation 4 2 9" xfId="2824" xr:uid="{00000000-0005-0000-0000-0000FB020000}"/>
    <cellStyle name="Calculation 4 3" xfId="606" xr:uid="{00000000-0005-0000-0000-0000FC020000}"/>
    <cellStyle name="Calculation 4 3 2" xfId="607" xr:uid="{00000000-0005-0000-0000-0000FD020000}"/>
    <cellStyle name="Calculation 4 3 2 2" xfId="608" xr:uid="{00000000-0005-0000-0000-0000FE020000}"/>
    <cellStyle name="Calculation 4 3 2 2 2" xfId="4003" xr:uid="{00000000-0005-0000-0000-0000FF020000}"/>
    <cellStyle name="Calculation 4 3 2 3" xfId="3336" xr:uid="{00000000-0005-0000-0000-000000030000}"/>
    <cellStyle name="Calculation 4 3 3" xfId="609" xr:uid="{00000000-0005-0000-0000-000001030000}"/>
    <cellStyle name="Calculation 4 3 3 2" xfId="610" xr:uid="{00000000-0005-0000-0000-000002030000}"/>
    <cellStyle name="Calculation 4 3 3 2 2" xfId="4181" xr:uid="{00000000-0005-0000-0000-000003030000}"/>
    <cellStyle name="Calculation 4 3 3 3" xfId="3514" xr:uid="{00000000-0005-0000-0000-000004030000}"/>
    <cellStyle name="Calculation 4 3 4" xfId="611" xr:uid="{00000000-0005-0000-0000-000005030000}"/>
    <cellStyle name="Calculation 4 3 4 2" xfId="612" xr:uid="{00000000-0005-0000-0000-000006030000}"/>
    <cellStyle name="Calculation 4 3 4 2 2" xfId="4370" xr:uid="{00000000-0005-0000-0000-000007030000}"/>
    <cellStyle name="Calculation 4 3 4 3" xfId="3703" xr:uid="{00000000-0005-0000-0000-000008030000}"/>
    <cellStyle name="Calculation 4 3 5" xfId="613" xr:uid="{00000000-0005-0000-0000-000009030000}"/>
    <cellStyle name="Calculation 4 3 5 2" xfId="3107" xr:uid="{00000000-0005-0000-0000-00000A030000}"/>
    <cellStyle name="Calculation 4 3 6" xfId="2775" xr:uid="{00000000-0005-0000-0000-00000B030000}"/>
    <cellStyle name="Calculation 4 4" xfId="614" xr:uid="{00000000-0005-0000-0000-00000C030000}"/>
    <cellStyle name="Calculation 4 4 2" xfId="3003" xr:uid="{00000000-0005-0000-0000-00000D030000}"/>
    <cellStyle name="Calculation 4 5" xfId="615" xr:uid="{00000000-0005-0000-0000-00000E030000}"/>
    <cellStyle name="Calculation 4 5 2" xfId="616" xr:uid="{00000000-0005-0000-0000-00000F030000}"/>
    <cellStyle name="Calculation 4 5 2 2" xfId="3822" xr:uid="{00000000-0005-0000-0000-000010030000}"/>
    <cellStyle name="Calculation 4 5 3" xfId="2901" xr:uid="{00000000-0005-0000-0000-000011030000}"/>
    <cellStyle name="Calculation 4 6" xfId="617" xr:uid="{00000000-0005-0000-0000-000012030000}"/>
    <cellStyle name="Calculation 4 6 2" xfId="618" xr:uid="{00000000-0005-0000-0000-000013030000}"/>
    <cellStyle name="Calculation 4 6 2 2" xfId="3859" xr:uid="{00000000-0005-0000-0000-000014030000}"/>
    <cellStyle name="Calculation 4 6 3" xfId="2957" xr:uid="{00000000-0005-0000-0000-000015030000}"/>
    <cellStyle name="Calculation 4 7" xfId="619" xr:uid="{00000000-0005-0000-0000-000016030000}"/>
    <cellStyle name="Calculation 4 7 2" xfId="620" xr:uid="{00000000-0005-0000-0000-000017030000}"/>
    <cellStyle name="Calculation 4 7 2 2" xfId="3862" xr:uid="{00000000-0005-0000-0000-000018030000}"/>
    <cellStyle name="Calculation 4 7 3" xfId="2960" xr:uid="{00000000-0005-0000-0000-000019030000}"/>
    <cellStyle name="Calculation 4 8" xfId="621" xr:uid="{00000000-0005-0000-0000-00001A030000}"/>
    <cellStyle name="Calculation 4 8 2" xfId="2748" xr:uid="{00000000-0005-0000-0000-00001B030000}"/>
    <cellStyle name="Calculation 4 9" xfId="622" xr:uid="{00000000-0005-0000-0000-00001C030000}"/>
    <cellStyle name="Calculation 4 9 2" xfId="4526" xr:uid="{00000000-0005-0000-0000-00001D030000}"/>
    <cellStyle name="Calculation 5" xfId="623" xr:uid="{00000000-0005-0000-0000-00001E030000}"/>
    <cellStyle name="Calculation 5 2" xfId="624" xr:uid="{00000000-0005-0000-0000-00001F030000}"/>
    <cellStyle name="Calculation 5 2 2" xfId="625" xr:uid="{00000000-0005-0000-0000-000020030000}"/>
    <cellStyle name="Calculation 5 2 2 2" xfId="626" xr:uid="{00000000-0005-0000-0000-000021030000}"/>
    <cellStyle name="Calculation 5 2 2 2 2" xfId="4023" xr:uid="{00000000-0005-0000-0000-000022030000}"/>
    <cellStyle name="Calculation 5 2 2 3" xfId="3356" xr:uid="{00000000-0005-0000-0000-000023030000}"/>
    <cellStyle name="Calculation 5 2 3" xfId="627" xr:uid="{00000000-0005-0000-0000-000024030000}"/>
    <cellStyle name="Calculation 5 2 3 2" xfId="628" xr:uid="{00000000-0005-0000-0000-000025030000}"/>
    <cellStyle name="Calculation 5 2 3 2 2" xfId="4201" xr:uid="{00000000-0005-0000-0000-000026030000}"/>
    <cellStyle name="Calculation 5 2 3 3" xfId="3534" xr:uid="{00000000-0005-0000-0000-000027030000}"/>
    <cellStyle name="Calculation 5 2 4" xfId="629" xr:uid="{00000000-0005-0000-0000-000028030000}"/>
    <cellStyle name="Calculation 5 2 4 2" xfId="630" xr:uid="{00000000-0005-0000-0000-000029030000}"/>
    <cellStyle name="Calculation 5 2 4 2 2" xfId="4390" xr:uid="{00000000-0005-0000-0000-00002A030000}"/>
    <cellStyle name="Calculation 5 2 4 3" xfId="3723" xr:uid="{00000000-0005-0000-0000-00002B030000}"/>
    <cellStyle name="Calculation 5 2 5" xfId="3128" xr:uid="{00000000-0005-0000-0000-00002C030000}"/>
    <cellStyle name="Calculation 5 3" xfId="631" xr:uid="{00000000-0005-0000-0000-00002D030000}"/>
    <cellStyle name="Calculation 5 3 2" xfId="632" xr:uid="{00000000-0005-0000-0000-00002E030000}"/>
    <cellStyle name="Calculation 5 3 2 2" xfId="3921" xr:uid="{00000000-0005-0000-0000-00002F030000}"/>
    <cellStyle name="Calculation 5 3 3" xfId="3254" xr:uid="{00000000-0005-0000-0000-000030030000}"/>
    <cellStyle name="Calculation 5 4" xfId="633" xr:uid="{00000000-0005-0000-0000-000031030000}"/>
    <cellStyle name="Calculation 5 4 2" xfId="634" xr:uid="{00000000-0005-0000-0000-000032030000}"/>
    <cellStyle name="Calculation 5 4 2 2" xfId="3831" xr:uid="{00000000-0005-0000-0000-000033030000}"/>
    <cellStyle name="Calculation 5 4 3" xfId="2913" xr:uid="{00000000-0005-0000-0000-000034030000}"/>
    <cellStyle name="Calculation 5 5" xfId="635" xr:uid="{00000000-0005-0000-0000-000035030000}"/>
    <cellStyle name="Calculation 5 5 2" xfId="636" xr:uid="{00000000-0005-0000-0000-000036030000}"/>
    <cellStyle name="Calculation 5 5 2 2" xfId="3829" xr:uid="{00000000-0005-0000-0000-000037030000}"/>
    <cellStyle name="Calculation 5 5 3" xfId="2908" xr:uid="{00000000-0005-0000-0000-000038030000}"/>
    <cellStyle name="Calculation 5 6" xfId="637" xr:uid="{00000000-0005-0000-0000-000039030000}"/>
    <cellStyle name="Calculation 5 6 2" xfId="4552" xr:uid="{00000000-0005-0000-0000-00003A030000}"/>
    <cellStyle name="Calculation 5 7" xfId="3033" xr:uid="{00000000-0005-0000-0000-00003B030000}"/>
    <cellStyle name="Calculation 6" xfId="638" xr:uid="{00000000-0005-0000-0000-00003C030000}"/>
    <cellStyle name="Calculation 6 2" xfId="639" xr:uid="{00000000-0005-0000-0000-00003D030000}"/>
    <cellStyle name="Calculation 6 2 2" xfId="640" xr:uid="{00000000-0005-0000-0000-00003E030000}"/>
    <cellStyle name="Calculation 6 2 2 2" xfId="3991" xr:uid="{00000000-0005-0000-0000-00003F030000}"/>
    <cellStyle name="Calculation 6 2 3" xfId="3324" xr:uid="{00000000-0005-0000-0000-000040030000}"/>
    <cellStyle name="Calculation 6 3" xfId="641" xr:uid="{00000000-0005-0000-0000-000041030000}"/>
    <cellStyle name="Calculation 6 3 2" xfId="642" xr:uid="{00000000-0005-0000-0000-000042030000}"/>
    <cellStyle name="Calculation 6 3 2 2" xfId="4168" xr:uid="{00000000-0005-0000-0000-000043030000}"/>
    <cellStyle name="Calculation 6 3 3" xfId="3501" xr:uid="{00000000-0005-0000-0000-000044030000}"/>
    <cellStyle name="Calculation 6 4" xfId="643" xr:uid="{00000000-0005-0000-0000-000045030000}"/>
    <cellStyle name="Calculation 6 4 2" xfId="644" xr:uid="{00000000-0005-0000-0000-000046030000}"/>
    <cellStyle name="Calculation 6 4 2 2" xfId="4357" xr:uid="{00000000-0005-0000-0000-000047030000}"/>
    <cellStyle name="Calculation 6 4 3" xfId="3690" xr:uid="{00000000-0005-0000-0000-000048030000}"/>
    <cellStyle name="Calculation 6 5" xfId="3094" xr:uid="{00000000-0005-0000-0000-000049030000}"/>
    <cellStyle name="Calculation 7" xfId="645" xr:uid="{00000000-0005-0000-0000-00004A030000}"/>
    <cellStyle name="Calculation 7 2" xfId="4487" xr:uid="{00000000-0005-0000-0000-00004B030000}"/>
    <cellStyle name="Calculation_בחירה מרשימה" xfId="646" xr:uid="{00000000-0005-0000-0000-00004C030000}"/>
    <cellStyle name="Check Cell" xfId="27" xr:uid="{00000000-0005-0000-0000-00004D030000}"/>
    <cellStyle name="Check Cell 2" xfId="113" xr:uid="{00000000-0005-0000-0000-00004E030000}"/>
    <cellStyle name="Check Cell 3" xfId="647" xr:uid="{00000000-0005-0000-0000-00004F030000}"/>
    <cellStyle name="Comma" xfId="65" builtinId="3"/>
    <cellStyle name="Comma 2" xfId="52" xr:uid="{00000000-0005-0000-0000-000051030000}"/>
    <cellStyle name="Comma 2 2" xfId="63" xr:uid="{00000000-0005-0000-0000-000052030000}"/>
    <cellStyle name="Comma 2 2 2" xfId="235" xr:uid="{00000000-0005-0000-0000-000053030000}"/>
    <cellStyle name="Comma 2 3" xfId="71" xr:uid="{00000000-0005-0000-0000-000054030000}"/>
    <cellStyle name="Comma 2 4" xfId="114" xr:uid="{00000000-0005-0000-0000-000055030000}"/>
    <cellStyle name="Comma 3" xfId="64" xr:uid="{00000000-0005-0000-0000-000056030000}"/>
    <cellStyle name="Comma 3 2" xfId="115" xr:uid="{00000000-0005-0000-0000-000057030000}"/>
    <cellStyle name="Comma 4" xfId="116" xr:uid="{00000000-0005-0000-0000-000058030000}"/>
    <cellStyle name="Comma 5" xfId="4642" xr:uid="{36CC3BD4-047D-4124-9BD6-5DBE15BAC9DE}"/>
    <cellStyle name="Currency 2" xfId="117" xr:uid="{00000000-0005-0000-0000-000059030000}"/>
    <cellStyle name="Currency 3" xfId="118" xr:uid="{00000000-0005-0000-0000-00005A030000}"/>
    <cellStyle name="Explanatory Text" xfId="28" xr:uid="{00000000-0005-0000-0000-00005B030000}"/>
    <cellStyle name="Explanatory Text 2" xfId="119" xr:uid="{00000000-0005-0000-0000-00005C030000}"/>
    <cellStyle name="Explanatory Text 3" xfId="648" xr:uid="{00000000-0005-0000-0000-00005D030000}"/>
    <cellStyle name="Good" xfId="29" xr:uid="{00000000-0005-0000-0000-00005E030000}"/>
    <cellStyle name="Good 2" xfId="120" xr:uid="{00000000-0005-0000-0000-00005F030000}"/>
    <cellStyle name="Good 3" xfId="649" xr:uid="{00000000-0005-0000-0000-000060030000}"/>
    <cellStyle name="Heading 1" xfId="30" xr:uid="{00000000-0005-0000-0000-000061030000}"/>
    <cellStyle name="Heading 1 2" xfId="121" xr:uid="{00000000-0005-0000-0000-000062030000}"/>
    <cellStyle name="Heading 1 3" xfId="650" xr:uid="{00000000-0005-0000-0000-000063030000}"/>
    <cellStyle name="Heading 2" xfId="31" xr:uid="{00000000-0005-0000-0000-000064030000}"/>
    <cellStyle name="Heading 2 2" xfId="122" xr:uid="{00000000-0005-0000-0000-000065030000}"/>
    <cellStyle name="Heading 2 3" xfId="651" xr:uid="{00000000-0005-0000-0000-000066030000}"/>
    <cellStyle name="Heading 3" xfId="32" xr:uid="{00000000-0005-0000-0000-000067030000}"/>
    <cellStyle name="Heading 3 2" xfId="123" xr:uid="{00000000-0005-0000-0000-000068030000}"/>
    <cellStyle name="Heading 3 3" xfId="652" xr:uid="{00000000-0005-0000-0000-000069030000}"/>
    <cellStyle name="Heading 4" xfId="33" xr:uid="{00000000-0005-0000-0000-00006A030000}"/>
    <cellStyle name="Heading 4 2" xfId="124" xr:uid="{00000000-0005-0000-0000-00006B030000}"/>
    <cellStyle name="Heading 4 3" xfId="653" xr:uid="{00000000-0005-0000-0000-00006C030000}"/>
    <cellStyle name="Input" xfId="34" xr:uid="{00000000-0005-0000-0000-00006D030000}"/>
    <cellStyle name="Input 2" xfId="125" xr:uid="{00000000-0005-0000-0000-00006E030000}"/>
    <cellStyle name="Input 2 2" xfId="654" xr:uid="{00000000-0005-0000-0000-00006F030000}"/>
    <cellStyle name="Input 2 2 10" xfId="655" xr:uid="{00000000-0005-0000-0000-000070030000}"/>
    <cellStyle name="Input 2 2 10 2" xfId="656" xr:uid="{00000000-0005-0000-0000-000071030000}"/>
    <cellStyle name="Input 2 2 10 2 2" xfId="3883" xr:uid="{00000000-0005-0000-0000-000072030000}"/>
    <cellStyle name="Input 2 2 10 3" xfId="2995" xr:uid="{00000000-0005-0000-0000-000073030000}"/>
    <cellStyle name="Input 2 2 11" xfId="657" xr:uid="{00000000-0005-0000-0000-000074030000}"/>
    <cellStyle name="Input 2 2 11 2" xfId="2785" xr:uid="{00000000-0005-0000-0000-000075030000}"/>
    <cellStyle name="Input 2 2 12" xfId="658" xr:uid="{00000000-0005-0000-0000-000076030000}"/>
    <cellStyle name="Input 2 2 12 2" xfId="4513" xr:uid="{00000000-0005-0000-0000-000077030000}"/>
    <cellStyle name="Input 2 2 13" xfId="659" xr:uid="{00000000-0005-0000-0000-000078030000}"/>
    <cellStyle name="Input 2 2 13 2" xfId="2692" xr:uid="{00000000-0005-0000-0000-000079030000}"/>
    <cellStyle name="Input 2 2 14" xfId="660" xr:uid="{00000000-0005-0000-0000-00007A030000}"/>
    <cellStyle name="Input 2 2 15" xfId="2639" xr:uid="{00000000-0005-0000-0000-00007B030000}"/>
    <cellStyle name="Input 2 2 2" xfId="661" xr:uid="{00000000-0005-0000-0000-00007C030000}"/>
    <cellStyle name="Input 2 2 2 10" xfId="662" xr:uid="{00000000-0005-0000-0000-00007D030000}"/>
    <cellStyle name="Input 2 2 2 10 2" xfId="2720" xr:uid="{00000000-0005-0000-0000-00007E030000}"/>
    <cellStyle name="Input 2 2 2 11" xfId="2667" xr:uid="{00000000-0005-0000-0000-00007F030000}"/>
    <cellStyle name="Input 2 2 2 2" xfId="663" xr:uid="{00000000-0005-0000-0000-000080030000}"/>
    <cellStyle name="Input 2 2 2 2 2" xfId="664" xr:uid="{00000000-0005-0000-0000-000081030000}"/>
    <cellStyle name="Input 2 2 2 2 2 2" xfId="665" xr:uid="{00000000-0005-0000-0000-000082030000}"/>
    <cellStyle name="Input 2 2 2 2 2 2 2" xfId="666" xr:uid="{00000000-0005-0000-0000-000083030000}"/>
    <cellStyle name="Input 2 2 2 2 2 2 2 2" xfId="4089" xr:uid="{00000000-0005-0000-0000-000084030000}"/>
    <cellStyle name="Input 2 2 2 2 2 2 3" xfId="3422" xr:uid="{00000000-0005-0000-0000-000085030000}"/>
    <cellStyle name="Input 2 2 2 2 2 3" xfId="667" xr:uid="{00000000-0005-0000-0000-000086030000}"/>
    <cellStyle name="Input 2 2 2 2 2 3 2" xfId="668" xr:uid="{00000000-0005-0000-0000-000087030000}"/>
    <cellStyle name="Input 2 2 2 2 2 3 2 2" xfId="4266" xr:uid="{00000000-0005-0000-0000-000088030000}"/>
    <cellStyle name="Input 2 2 2 2 2 3 3" xfId="3599" xr:uid="{00000000-0005-0000-0000-000089030000}"/>
    <cellStyle name="Input 2 2 2 2 2 4" xfId="669" xr:uid="{00000000-0005-0000-0000-00008A030000}"/>
    <cellStyle name="Input 2 2 2 2 2 4 2" xfId="670" xr:uid="{00000000-0005-0000-0000-00008B030000}"/>
    <cellStyle name="Input 2 2 2 2 2 4 2 2" xfId="4455" xr:uid="{00000000-0005-0000-0000-00008C030000}"/>
    <cellStyle name="Input 2 2 2 2 2 4 3" xfId="3788" xr:uid="{00000000-0005-0000-0000-00008D030000}"/>
    <cellStyle name="Input 2 2 2 2 2 5" xfId="3204" xr:uid="{00000000-0005-0000-0000-00008E030000}"/>
    <cellStyle name="Input 2 2 2 2 3" xfId="671" xr:uid="{00000000-0005-0000-0000-00008F030000}"/>
    <cellStyle name="Input 2 2 2 2 3 2" xfId="672" xr:uid="{00000000-0005-0000-0000-000090030000}"/>
    <cellStyle name="Input 2 2 2 2 3 2 2" xfId="673" xr:uid="{00000000-0005-0000-0000-000091030000}"/>
    <cellStyle name="Input 2 2 2 2 3 2 2 2" xfId="4109" xr:uid="{00000000-0005-0000-0000-000092030000}"/>
    <cellStyle name="Input 2 2 2 2 3 2 3" xfId="3442" xr:uid="{00000000-0005-0000-0000-000093030000}"/>
    <cellStyle name="Input 2 2 2 2 3 3" xfId="674" xr:uid="{00000000-0005-0000-0000-000094030000}"/>
    <cellStyle name="Input 2 2 2 2 3 3 2" xfId="675" xr:uid="{00000000-0005-0000-0000-000095030000}"/>
    <cellStyle name="Input 2 2 2 2 3 3 2 2" xfId="4294" xr:uid="{00000000-0005-0000-0000-000096030000}"/>
    <cellStyle name="Input 2 2 2 2 3 3 3" xfId="3627" xr:uid="{00000000-0005-0000-0000-000097030000}"/>
    <cellStyle name="Input 2 2 2 2 3 4" xfId="676" xr:uid="{00000000-0005-0000-0000-000098030000}"/>
    <cellStyle name="Input 2 2 2 2 3 4 2" xfId="677" xr:uid="{00000000-0005-0000-0000-000099030000}"/>
    <cellStyle name="Input 2 2 2 2 3 4 2 2" xfId="4483" xr:uid="{00000000-0005-0000-0000-00009A030000}"/>
    <cellStyle name="Input 2 2 2 2 3 4 3" xfId="3816" xr:uid="{00000000-0005-0000-0000-00009B030000}"/>
    <cellStyle name="Input 2 2 2 2 3 5" xfId="3232" xr:uid="{00000000-0005-0000-0000-00009C030000}"/>
    <cellStyle name="Input 2 2 2 2 4" xfId="678" xr:uid="{00000000-0005-0000-0000-00009D030000}"/>
    <cellStyle name="Input 2 2 2 2 4 2" xfId="679" xr:uid="{00000000-0005-0000-0000-00009E030000}"/>
    <cellStyle name="Input 2 2 2 2 4 2 2" xfId="3984" xr:uid="{00000000-0005-0000-0000-00009F030000}"/>
    <cellStyle name="Input 2 2 2 2 4 3" xfId="3317" xr:uid="{00000000-0005-0000-0000-0000A0030000}"/>
    <cellStyle name="Input 2 2 2 2 5" xfId="680" xr:uid="{00000000-0005-0000-0000-0000A1030000}"/>
    <cellStyle name="Input 2 2 2 2 5 2" xfId="681" xr:uid="{00000000-0005-0000-0000-0000A2030000}"/>
    <cellStyle name="Input 2 2 2 2 5 2 2" xfId="4162" xr:uid="{00000000-0005-0000-0000-0000A3030000}"/>
    <cellStyle name="Input 2 2 2 2 5 3" xfId="3495" xr:uid="{00000000-0005-0000-0000-0000A4030000}"/>
    <cellStyle name="Input 2 2 2 2 6" xfId="682" xr:uid="{00000000-0005-0000-0000-0000A5030000}"/>
    <cellStyle name="Input 2 2 2 2 6 2" xfId="683" xr:uid="{00000000-0005-0000-0000-0000A6030000}"/>
    <cellStyle name="Input 2 2 2 2 6 2 2" xfId="4351" xr:uid="{00000000-0005-0000-0000-0000A7030000}"/>
    <cellStyle name="Input 2 2 2 2 6 3" xfId="3684" xr:uid="{00000000-0005-0000-0000-0000A8030000}"/>
    <cellStyle name="Input 2 2 2 2 7" xfId="684" xr:uid="{00000000-0005-0000-0000-0000A9030000}"/>
    <cellStyle name="Input 2 2 2 2 7 2" xfId="3088" xr:uid="{00000000-0005-0000-0000-0000AA030000}"/>
    <cellStyle name="Input 2 2 2 2 8" xfId="685" xr:uid="{00000000-0005-0000-0000-0000AB030000}"/>
    <cellStyle name="Input 2 2 2 2 8 2" xfId="4634" xr:uid="{00000000-0005-0000-0000-0000AC030000}"/>
    <cellStyle name="Input 2 2 2 2 9" xfId="2825" xr:uid="{00000000-0005-0000-0000-0000AD030000}"/>
    <cellStyle name="Input 2 2 2 3" xfId="686" xr:uid="{00000000-0005-0000-0000-0000AE030000}"/>
    <cellStyle name="Input 2 2 2 3 2" xfId="687" xr:uid="{00000000-0005-0000-0000-0000AF030000}"/>
    <cellStyle name="Input 2 2 2 3 2 2" xfId="688" xr:uid="{00000000-0005-0000-0000-0000B0030000}"/>
    <cellStyle name="Input 2 2 2 3 2 2 2" xfId="4030" xr:uid="{00000000-0005-0000-0000-0000B1030000}"/>
    <cellStyle name="Input 2 2 2 3 2 3" xfId="3363" xr:uid="{00000000-0005-0000-0000-0000B2030000}"/>
    <cellStyle name="Input 2 2 2 3 3" xfId="689" xr:uid="{00000000-0005-0000-0000-0000B3030000}"/>
    <cellStyle name="Input 2 2 2 3 3 2" xfId="690" xr:uid="{00000000-0005-0000-0000-0000B4030000}"/>
    <cellStyle name="Input 2 2 2 3 3 2 2" xfId="4208" xr:uid="{00000000-0005-0000-0000-0000B5030000}"/>
    <cellStyle name="Input 2 2 2 3 3 3" xfId="3541" xr:uid="{00000000-0005-0000-0000-0000B6030000}"/>
    <cellStyle name="Input 2 2 2 3 4" xfId="691" xr:uid="{00000000-0005-0000-0000-0000B7030000}"/>
    <cellStyle name="Input 2 2 2 3 4 2" xfId="692" xr:uid="{00000000-0005-0000-0000-0000B8030000}"/>
    <cellStyle name="Input 2 2 2 3 4 2 2" xfId="4397" xr:uid="{00000000-0005-0000-0000-0000B9030000}"/>
    <cellStyle name="Input 2 2 2 3 4 3" xfId="3730" xr:uid="{00000000-0005-0000-0000-0000BA030000}"/>
    <cellStyle name="Input 2 2 2 3 5" xfId="693" xr:uid="{00000000-0005-0000-0000-0000BB030000}"/>
    <cellStyle name="Input 2 2 2 3 5 2" xfId="3135" xr:uid="{00000000-0005-0000-0000-0000BC030000}"/>
    <cellStyle name="Input 2 2 2 3 6" xfId="2804" xr:uid="{00000000-0005-0000-0000-0000BD030000}"/>
    <cellStyle name="Input 2 2 2 4" xfId="694" xr:uid="{00000000-0005-0000-0000-0000BE030000}"/>
    <cellStyle name="Input 2 2 2 4 2" xfId="3041" xr:uid="{00000000-0005-0000-0000-0000BF030000}"/>
    <cellStyle name="Input 2 2 2 5" xfId="695" xr:uid="{00000000-0005-0000-0000-0000C0030000}"/>
    <cellStyle name="Input 2 2 2 5 2" xfId="696" xr:uid="{00000000-0005-0000-0000-0000C1030000}"/>
    <cellStyle name="Input 2 2 2 5 2 2" xfId="3929" xr:uid="{00000000-0005-0000-0000-0000C2030000}"/>
    <cellStyle name="Input 2 2 2 5 3" xfId="3262" xr:uid="{00000000-0005-0000-0000-0000C3030000}"/>
    <cellStyle name="Input 2 2 2 6" xfId="697" xr:uid="{00000000-0005-0000-0000-0000C4030000}"/>
    <cellStyle name="Input 2 2 2 6 2" xfId="698" xr:uid="{00000000-0005-0000-0000-0000C5030000}"/>
    <cellStyle name="Input 2 2 2 6 2 2" xfId="3895" xr:uid="{00000000-0005-0000-0000-0000C6030000}"/>
    <cellStyle name="Input 2 2 2 6 3" xfId="3013" xr:uid="{00000000-0005-0000-0000-0000C7030000}"/>
    <cellStyle name="Input 2 2 2 7" xfId="699" xr:uid="{00000000-0005-0000-0000-0000C8030000}"/>
    <cellStyle name="Input 2 2 2 7 2" xfId="700" xr:uid="{00000000-0005-0000-0000-0000C9030000}"/>
    <cellStyle name="Input 2 2 2 7 2 2" xfId="3891" xr:uid="{00000000-0005-0000-0000-0000CA030000}"/>
    <cellStyle name="Input 2 2 2 7 3" xfId="3005" xr:uid="{00000000-0005-0000-0000-0000CB030000}"/>
    <cellStyle name="Input 2 2 2 8" xfId="701" xr:uid="{00000000-0005-0000-0000-0000CC030000}"/>
    <cellStyle name="Input 2 2 2 8 2" xfId="2798" xr:uid="{00000000-0005-0000-0000-0000CD030000}"/>
    <cellStyle name="Input 2 2 2 9" xfId="702" xr:uid="{00000000-0005-0000-0000-0000CE030000}"/>
    <cellStyle name="Input 2 2 2 9 2" xfId="4559" xr:uid="{00000000-0005-0000-0000-0000CF030000}"/>
    <cellStyle name="Input 2 2 3" xfId="703" xr:uid="{00000000-0005-0000-0000-0000D0030000}"/>
    <cellStyle name="Input 2 2 3 2" xfId="704" xr:uid="{00000000-0005-0000-0000-0000D1030000}"/>
    <cellStyle name="Input 2 2 3 2 2" xfId="705" xr:uid="{00000000-0005-0000-0000-0000D2030000}"/>
    <cellStyle name="Input 2 2 3 2 2 2" xfId="706" xr:uid="{00000000-0005-0000-0000-0000D3030000}"/>
    <cellStyle name="Input 2 2 3 2 2 2 2" xfId="4059" xr:uid="{00000000-0005-0000-0000-0000D4030000}"/>
    <cellStyle name="Input 2 2 3 2 2 3" xfId="3392" xr:uid="{00000000-0005-0000-0000-0000D5030000}"/>
    <cellStyle name="Input 2 2 3 2 3" xfId="707" xr:uid="{00000000-0005-0000-0000-0000D6030000}"/>
    <cellStyle name="Input 2 2 3 2 3 2" xfId="708" xr:uid="{00000000-0005-0000-0000-0000D7030000}"/>
    <cellStyle name="Input 2 2 3 2 3 2 2" xfId="4236" xr:uid="{00000000-0005-0000-0000-0000D8030000}"/>
    <cellStyle name="Input 2 2 3 2 3 3" xfId="3569" xr:uid="{00000000-0005-0000-0000-0000D9030000}"/>
    <cellStyle name="Input 2 2 3 2 4" xfId="709" xr:uid="{00000000-0005-0000-0000-0000DA030000}"/>
    <cellStyle name="Input 2 2 3 2 4 2" xfId="710" xr:uid="{00000000-0005-0000-0000-0000DB030000}"/>
    <cellStyle name="Input 2 2 3 2 4 2 2" xfId="4425" xr:uid="{00000000-0005-0000-0000-0000DC030000}"/>
    <cellStyle name="Input 2 2 3 2 4 3" xfId="3758" xr:uid="{00000000-0005-0000-0000-0000DD030000}"/>
    <cellStyle name="Input 2 2 3 2 5" xfId="3171" xr:uid="{00000000-0005-0000-0000-0000DE030000}"/>
    <cellStyle name="Input 2 2 3 3" xfId="711" xr:uid="{00000000-0005-0000-0000-0000DF030000}"/>
    <cellStyle name="Input 2 2 3 3 2" xfId="712" xr:uid="{00000000-0005-0000-0000-0000E0030000}"/>
    <cellStyle name="Input 2 2 3 3 2 2" xfId="3956" xr:uid="{00000000-0005-0000-0000-0000E1030000}"/>
    <cellStyle name="Input 2 2 3 3 3" xfId="3289" xr:uid="{00000000-0005-0000-0000-0000E2030000}"/>
    <cellStyle name="Input 2 2 3 4" xfId="713" xr:uid="{00000000-0005-0000-0000-0000E3030000}"/>
    <cellStyle name="Input 2 2 3 4 2" xfId="714" xr:uid="{00000000-0005-0000-0000-0000E4030000}"/>
    <cellStyle name="Input 2 2 3 4 2 2" xfId="4134" xr:uid="{00000000-0005-0000-0000-0000E5030000}"/>
    <cellStyle name="Input 2 2 3 4 3" xfId="3467" xr:uid="{00000000-0005-0000-0000-0000E6030000}"/>
    <cellStyle name="Input 2 2 3 5" xfId="715" xr:uid="{00000000-0005-0000-0000-0000E7030000}"/>
    <cellStyle name="Input 2 2 3 5 2" xfId="716" xr:uid="{00000000-0005-0000-0000-0000E8030000}"/>
    <cellStyle name="Input 2 2 3 5 2 2" xfId="4323" xr:uid="{00000000-0005-0000-0000-0000E9030000}"/>
    <cellStyle name="Input 2 2 3 5 3" xfId="3656" xr:uid="{00000000-0005-0000-0000-0000EA030000}"/>
    <cellStyle name="Input 2 2 3 6" xfId="717" xr:uid="{00000000-0005-0000-0000-0000EB030000}"/>
    <cellStyle name="Input 2 2 3 6 2" xfId="4601" xr:uid="{00000000-0005-0000-0000-0000EC030000}"/>
    <cellStyle name="Input 2 2 3 7" xfId="2760" xr:uid="{00000000-0005-0000-0000-0000ED030000}"/>
    <cellStyle name="Input 2 2 4" xfId="718" xr:uid="{00000000-0005-0000-0000-0000EE030000}"/>
    <cellStyle name="Input 2 2 4 2" xfId="719" xr:uid="{00000000-0005-0000-0000-0000EF030000}"/>
    <cellStyle name="Input 2 2 4 2 2" xfId="720" xr:uid="{00000000-0005-0000-0000-0000F0030000}"/>
    <cellStyle name="Input 2 2 4 2 2 2" xfId="721" xr:uid="{00000000-0005-0000-0000-0000F1030000}"/>
    <cellStyle name="Input 2 2 4 2 2 2 2" xfId="4071" xr:uid="{00000000-0005-0000-0000-0000F2030000}"/>
    <cellStyle name="Input 2 2 4 2 2 3" xfId="3404" xr:uid="{00000000-0005-0000-0000-0000F3030000}"/>
    <cellStyle name="Input 2 2 4 2 3" xfId="722" xr:uid="{00000000-0005-0000-0000-0000F4030000}"/>
    <cellStyle name="Input 2 2 4 2 3 2" xfId="723" xr:uid="{00000000-0005-0000-0000-0000F5030000}"/>
    <cellStyle name="Input 2 2 4 2 3 2 2" xfId="4248" xr:uid="{00000000-0005-0000-0000-0000F6030000}"/>
    <cellStyle name="Input 2 2 4 2 3 3" xfId="3581" xr:uid="{00000000-0005-0000-0000-0000F7030000}"/>
    <cellStyle name="Input 2 2 4 2 4" xfId="724" xr:uid="{00000000-0005-0000-0000-0000F8030000}"/>
    <cellStyle name="Input 2 2 4 2 4 2" xfId="725" xr:uid="{00000000-0005-0000-0000-0000F9030000}"/>
    <cellStyle name="Input 2 2 4 2 4 2 2" xfId="4437" xr:uid="{00000000-0005-0000-0000-0000FA030000}"/>
    <cellStyle name="Input 2 2 4 2 4 3" xfId="3770" xr:uid="{00000000-0005-0000-0000-0000FB030000}"/>
    <cellStyle name="Input 2 2 4 2 5" xfId="3186" xr:uid="{00000000-0005-0000-0000-0000FC030000}"/>
    <cellStyle name="Input 2 2 4 3" xfId="726" xr:uid="{00000000-0005-0000-0000-0000FD030000}"/>
    <cellStyle name="Input 2 2 4 3 2" xfId="727" xr:uid="{00000000-0005-0000-0000-0000FE030000}"/>
    <cellStyle name="Input 2 2 4 3 2 2" xfId="3968" xr:uid="{00000000-0005-0000-0000-0000FF030000}"/>
    <cellStyle name="Input 2 2 4 3 3" xfId="3301" xr:uid="{00000000-0005-0000-0000-000000040000}"/>
    <cellStyle name="Input 2 2 4 4" xfId="728" xr:uid="{00000000-0005-0000-0000-000001040000}"/>
    <cellStyle name="Input 2 2 4 4 2" xfId="729" xr:uid="{00000000-0005-0000-0000-000002040000}"/>
    <cellStyle name="Input 2 2 4 4 2 2" xfId="4146" xr:uid="{00000000-0005-0000-0000-000003040000}"/>
    <cellStyle name="Input 2 2 4 4 3" xfId="3479" xr:uid="{00000000-0005-0000-0000-000004040000}"/>
    <cellStyle name="Input 2 2 4 5" xfId="730" xr:uid="{00000000-0005-0000-0000-000005040000}"/>
    <cellStyle name="Input 2 2 4 5 2" xfId="731" xr:uid="{00000000-0005-0000-0000-000006040000}"/>
    <cellStyle name="Input 2 2 4 5 2 2" xfId="4335" xr:uid="{00000000-0005-0000-0000-000007040000}"/>
    <cellStyle name="Input 2 2 4 5 3" xfId="3668" xr:uid="{00000000-0005-0000-0000-000008040000}"/>
    <cellStyle name="Input 2 2 4 6" xfId="732" xr:uid="{00000000-0005-0000-0000-000009040000}"/>
    <cellStyle name="Input 2 2 4 6 2" xfId="4616" xr:uid="{00000000-0005-0000-0000-00000A040000}"/>
    <cellStyle name="Input 2 2 4 7" xfId="3072" xr:uid="{00000000-0005-0000-0000-00000B040000}"/>
    <cellStyle name="Input 2 2 5" xfId="733" xr:uid="{00000000-0005-0000-0000-00000C040000}"/>
    <cellStyle name="Input 2 2 5 2" xfId="734" xr:uid="{00000000-0005-0000-0000-00000D040000}"/>
    <cellStyle name="Input 2 2 5 2 2" xfId="735" xr:uid="{00000000-0005-0000-0000-00000E040000}"/>
    <cellStyle name="Input 2 2 5 2 2 2" xfId="3999" xr:uid="{00000000-0005-0000-0000-00000F040000}"/>
    <cellStyle name="Input 2 2 5 2 3" xfId="3332" xr:uid="{00000000-0005-0000-0000-000010040000}"/>
    <cellStyle name="Input 2 2 5 3" xfId="736" xr:uid="{00000000-0005-0000-0000-000011040000}"/>
    <cellStyle name="Input 2 2 5 3 2" xfId="737" xr:uid="{00000000-0005-0000-0000-000012040000}"/>
    <cellStyle name="Input 2 2 5 3 2 2" xfId="4177" xr:uid="{00000000-0005-0000-0000-000013040000}"/>
    <cellStyle name="Input 2 2 5 3 3" xfId="3510" xr:uid="{00000000-0005-0000-0000-000014040000}"/>
    <cellStyle name="Input 2 2 5 4" xfId="738" xr:uid="{00000000-0005-0000-0000-000015040000}"/>
    <cellStyle name="Input 2 2 5 4 2" xfId="739" xr:uid="{00000000-0005-0000-0000-000016040000}"/>
    <cellStyle name="Input 2 2 5 4 2 2" xfId="4366" xr:uid="{00000000-0005-0000-0000-000017040000}"/>
    <cellStyle name="Input 2 2 5 4 3" xfId="3699" xr:uid="{00000000-0005-0000-0000-000018040000}"/>
    <cellStyle name="Input 2 2 5 5" xfId="3103" xr:uid="{00000000-0005-0000-0000-000019040000}"/>
    <cellStyle name="Input 2 2 6" xfId="740" xr:uid="{00000000-0005-0000-0000-00001A040000}"/>
    <cellStyle name="Input 2 2 6 2" xfId="741" xr:uid="{00000000-0005-0000-0000-00001B040000}"/>
    <cellStyle name="Input 2 2 6 2 2" xfId="742" xr:uid="{00000000-0005-0000-0000-00001C040000}"/>
    <cellStyle name="Input 2 2 6 2 2 2" xfId="3994" xr:uid="{00000000-0005-0000-0000-00001D040000}"/>
    <cellStyle name="Input 2 2 6 2 3" xfId="3327" xr:uid="{00000000-0005-0000-0000-00001E040000}"/>
    <cellStyle name="Input 2 2 6 3" xfId="743" xr:uid="{00000000-0005-0000-0000-00001F040000}"/>
    <cellStyle name="Input 2 2 6 3 2" xfId="744" xr:uid="{00000000-0005-0000-0000-000020040000}"/>
    <cellStyle name="Input 2 2 6 3 2 2" xfId="4172" xr:uid="{00000000-0005-0000-0000-000021040000}"/>
    <cellStyle name="Input 2 2 6 3 3" xfId="3505" xr:uid="{00000000-0005-0000-0000-000022040000}"/>
    <cellStyle name="Input 2 2 6 4" xfId="745" xr:uid="{00000000-0005-0000-0000-000023040000}"/>
    <cellStyle name="Input 2 2 6 4 2" xfId="746" xr:uid="{00000000-0005-0000-0000-000024040000}"/>
    <cellStyle name="Input 2 2 6 4 2 2" xfId="4361" xr:uid="{00000000-0005-0000-0000-000025040000}"/>
    <cellStyle name="Input 2 2 6 4 3" xfId="3694" xr:uid="{00000000-0005-0000-0000-000026040000}"/>
    <cellStyle name="Input 2 2 6 5" xfId="3098" xr:uid="{00000000-0005-0000-0000-000027040000}"/>
    <cellStyle name="Input 2 2 7" xfId="747" xr:uid="{00000000-0005-0000-0000-000028040000}"/>
    <cellStyle name="Input 2 2 7 2" xfId="748" xr:uid="{00000000-0005-0000-0000-000029040000}"/>
    <cellStyle name="Input 2 2 7 2 2" xfId="3869" xr:uid="{00000000-0005-0000-0000-00002A040000}"/>
    <cellStyle name="Input 2 2 7 3" xfId="2970" xr:uid="{00000000-0005-0000-0000-00002B040000}"/>
    <cellStyle name="Input 2 2 8" xfId="749" xr:uid="{00000000-0005-0000-0000-00002C040000}"/>
    <cellStyle name="Input 2 2 8 2" xfId="750" xr:uid="{00000000-0005-0000-0000-00002D040000}"/>
    <cellStyle name="Input 2 2 8 2 2" xfId="3871" xr:uid="{00000000-0005-0000-0000-00002E040000}"/>
    <cellStyle name="Input 2 2 8 3" xfId="2981" xr:uid="{00000000-0005-0000-0000-00002F040000}"/>
    <cellStyle name="Input 2 2 9" xfId="751" xr:uid="{00000000-0005-0000-0000-000030040000}"/>
    <cellStyle name="Input 2 2 9 2" xfId="752" xr:uid="{00000000-0005-0000-0000-000031040000}"/>
    <cellStyle name="Input 2 2 9 2 2" xfId="3892" xr:uid="{00000000-0005-0000-0000-000032040000}"/>
    <cellStyle name="Input 2 2 9 3" xfId="3006" xr:uid="{00000000-0005-0000-0000-000033040000}"/>
    <cellStyle name="Input 2 3" xfId="753" xr:uid="{00000000-0005-0000-0000-000034040000}"/>
    <cellStyle name="Input 2 3 10" xfId="754" xr:uid="{00000000-0005-0000-0000-000035040000}"/>
    <cellStyle name="Input 2 3 10 2" xfId="2708" xr:uid="{00000000-0005-0000-0000-000036040000}"/>
    <cellStyle name="Input 2 3 11" xfId="2655" xr:uid="{00000000-0005-0000-0000-000037040000}"/>
    <cellStyle name="Input 2 3 2" xfId="755" xr:uid="{00000000-0005-0000-0000-000038040000}"/>
    <cellStyle name="Input 2 3 2 2" xfId="756" xr:uid="{00000000-0005-0000-0000-000039040000}"/>
    <cellStyle name="Input 2 3 2 2 2" xfId="757" xr:uid="{00000000-0005-0000-0000-00003A040000}"/>
    <cellStyle name="Input 2 3 2 2 2 2" xfId="758" xr:uid="{00000000-0005-0000-0000-00003B040000}"/>
    <cellStyle name="Input 2 3 2 2 2 2 2" xfId="4073" xr:uid="{00000000-0005-0000-0000-00003C040000}"/>
    <cellStyle name="Input 2 3 2 2 2 3" xfId="3406" xr:uid="{00000000-0005-0000-0000-00003D040000}"/>
    <cellStyle name="Input 2 3 2 2 3" xfId="759" xr:uid="{00000000-0005-0000-0000-00003E040000}"/>
    <cellStyle name="Input 2 3 2 2 3 2" xfId="760" xr:uid="{00000000-0005-0000-0000-00003F040000}"/>
    <cellStyle name="Input 2 3 2 2 3 2 2" xfId="4250" xr:uid="{00000000-0005-0000-0000-000040040000}"/>
    <cellStyle name="Input 2 3 2 2 3 3" xfId="3583" xr:uid="{00000000-0005-0000-0000-000041040000}"/>
    <cellStyle name="Input 2 3 2 2 4" xfId="761" xr:uid="{00000000-0005-0000-0000-000042040000}"/>
    <cellStyle name="Input 2 3 2 2 4 2" xfId="762" xr:uid="{00000000-0005-0000-0000-000043040000}"/>
    <cellStyle name="Input 2 3 2 2 4 2 2" xfId="4439" xr:uid="{00000000-0005-0000-0000-000044040000}"/>
    <cellStyle name="Input 2 3 2 2 4 3" xfId="3772" xr:uid="{00000000-0005-0000-0000-000045040000}"/>
    <cellStyle name="Input 2 3 2 2 5" xfId="3188" xr:uid="{00000000-0005-0000-0000-000046040000}"/>
    <cellStyle name="Input 2 3 2 3" xfId="763" xr:uid="{00000000-0005-0000-0000-000047040000}"/>
    <cellStyle name="Input 2 3 2 3 2" xfId="764" xr:uid="{00000000-0005-0000-0000-000048040000}"/>
    <cellStyle name="Input 2 3 2 3 2 2" xfId="765" xr:uid="{00000000-0005-0000-0000-000049040000}"/>
    <cellStyle name="Input 2 3 2 3 2 2 2" xfId="4103" xr:uid="{00000000-0005-0000-0000-00004A040000}"/>
    <cellStyle name="Input 2 3 2 3 2 3" xfId="3436" xr:uid="{00000000-0005-0000-0000-00004B040000}"/>
    <cellStyle name="Input 2 3 2 3 3" xfId="766" xr:uid="{00000000-0005-0000-0000-00004C040000}"/>
    <cellStyle name="Input 2 3 2 3 3 2" xfId="767" xr:uid="{00000000-0005-0000-0000-00004D040000}"/>
    <cellStyle name="Input 2 3 2 3 3 2 2" xfId="4286" xr:uid="{00000000-0005-0000-0000-00004E040000}"/>
    <cellStyle name="Input 2 3 2 3 3 3" xfId="3619" xr:uid="{00000000-0005-0000-0000-00004F040000}"/>
    <cellStyle name="Input 2 3 2 3 4" xfId="768" xr:uid="{00000000-0005-0000-0000-000050040000}"/>
    <cellStyle name="Input 2 3 2 3 4 2" xfId="769" xr:uid="{00000000-0005-0000-0000-000051040000}"/>
    <cellStyle name="Input 2 3 2 3 4 2 2" xfId="4475" xr:uid="{00000000-0005-0000-0000-000052040000}"/>
    <cellStyle name="Input 2 3 2 3 4 3" xfId="3808" xr:uid="{00000000-0005-0000-0000-000053040000}"/>
    <cellStyle name="Input 2 3 2 3 5" xfId="3224" xr:uid="{00000000-0005-0000-0000-000054040000}"/>
    <cellStyle name="Input 2 3 2 4" xfId="770" xr:uid="{00000000-0005-0000-0000-000055040000}"/>
    <cellStyle name="Input 2 3 2 4 2" xfId="771" xr:uid="{00000000-0005-0000-0000-000056040000}"/>
    <cellStyle name="Input 2 3 2 4 2 2" xfId="3969" xr:uid="{00000000-0005-0000-0000-000057040000}"/>
    <cellStyle name="Input 2 3 2 4 3" xfId="3302" xr:uid="{00000000-0005-0000-0000-000058040000}"/>
    <cellStyle name="Input 2 3 2 5" xfId="772" xr:uid="{00000000-0005-0000-0000-000059040000}"/>
    <cellStyle name="Input 2 3 2 5 2" xfId="773" xr:uid="{00000000-0005-0000-0000-00005A040000}"/>
    <cellStyle name="Input 2 3 2 5 2 2" xfId="4147" xr:uid="{00000000-0005-0000-0000-00005B040000}"/>
    <cellStyle name="Input 2 3 2 5 3" xfId="3480" xr:uid="{00000000-0005-0000-0000-00005C040000}"/>
    <cellStyle name="Input 2 3 2 6" xfId="774" xr:uid="{00000000-0005-0000-0000-00005D040000}"/>
    <cellStyle name="Input 2 3 2 6 2" xfId="775" xr:uid="{00000000-0005-0000-0000-00005E040000}"/>
    <cellStyle name="Input 2 3 2 6 2 2" xfId="4336" xr:uid="{00000000-0005-0000-0000-00005F040000}"/>
    <cellStyle name="Input 2 3 2 6 3" xfId="3669" xr:uid="{00000000-0005-0000-0000-000060040000}"/>
    <cellStyle name="Input 2 3 2 7" xfId="776" xr:uid="{00000000-0005-0000-0000-000061040000}"/>
    <cellStyle name="Input 2 3 2 7 2" xfId="3074" xr:uid="{00000000-0005-0000-0000-000062040000}"/>
    <cellStyle name="Input 2 3 2 8" xfId="777" xr:uid="{00000000-0005-0000-0000-000063040000}"/>
    <cellStyle name="Input 2 3 2 8 2" xfId="4618" xr:uid="{00000000-0005-0000-0000-000064040000}"/>
    <cellStyle name="Input 2 3 2 9" xfId="2826" xr:uid="{00000000-0005-0000-0000-000065040000}"/>
    <cellStyle name="Input 2 3 3" xfId="778" xr:uid="{00000000-0005-0000-0000-000066040000}"/>
    <cellStyle name="Input 2 3 3 2" xfId="779" xr:uid="{00000000-0005-0000-0000-000067040000}"/>
    <cellStyle name="Input 2 3 3 2 2" xfId="780" xr:uid="{00000000-0005-0000-0000-000068040000}"/>
    <cellStyle name="Input 2 3 3 2 2 2" xfId="4013" xr:uid="{00000000-0005-0000-0000-000069040000}"/>
    <cellStyle name="Input 2 3 3 2 3" xfId="3346" xr:uid="{00000000-0005-0000-0000-00006A040000}"/>
    <cellStyle name="Input 2 3 3 3" xfId="781" xr:uid="{00000000-0005-0000-0000-00006B040000}"/>
    <cellStyle name="Input 2 3 3 3 2" xfId="782" xr:uid="{00000000-0005-0000-0000-00006C040000}"/>
    <cellStyle name="Input 2 3 3 3 2 2" xfId="4191" xr:uid="{00000000-0005-0000-0000-00006D040000}"/>
    <cellStyle name="Input 2 3 3 3 3" xfId="3524" xr:uid="{00000000-0005-0000-0000-00006E040000}"/>
    <cellStyle name="Input 2 3 3 4" xfId="783" xr:uid="{00000000-0005-0000-0000-00006F040000}"/>
    <cellStyle name="Input 2 3 3 4 2" xfId="784" xr:uid="{00000000-0005-0000-0000-000070040000}"/>
    <cellStyle name="Input 2 3 3 4 2 2" xfId="4380" xr:uid="{00000000-0005-0000-0000-000071040000}"/>
    <cellStyle name="Input 2 3 3 4 3" xfId="3713" xr:uid="{00000000-0005-0000-0000-000072040000}"/>
    <cellStyle name="Input 2 3 3 5" xfId="785" xr:uid="{00000000-0005-0000-0000-000073040000}"/>
    <cellStyle name="Input 2 3 3 5 2" xfId="3117" xr:uid="{00000000-0005-0000-0000-000074040000}"/>
    <cellStyle name="Input 2 3 3 6" xfId="2790" xr:uid="{00000000-0005-0000-0000-000075040000}"/>
    <cellStyle name="Input 2 3 4" xfId="786" xr:uid="{00000000-0005-0000-0000-000076040000}"/>
    <cellStyle name="Input 2 3 4 2" xfId="3020" xr:uid="{00000000-0005-0000-0000-000077040000}"/>
    <cellStyle name="Input 2 3 5" xfId="787" xr:uid="{00000000-0005-0000-0000-000078040000}"/>
    <cellStyle name="Input 2 3 5 2" xfId="788" xr:uid="{00000000-0005-0000-0000-000079040000}"/>
    <cellStyle name="Input 2 3 5 2 2" xfId="3909" xr:uid="{00000000-0005-0000-0000-00007A040000}"/>
    <cellStyle name="Input 2 3 5 3" xfId="3242" xr:uid="{00000000-0005-0000-0000-00007B040000}"/>
    <cellStyle name="Input 2 3 6" xfId="789" xr:uid="{00000000-0005-0000-0000-00007C040000}"/>
    <cellStyle name="Input 2 3 6 2" xfId="790" xr:uid="{00000000-0005-0000-0000-00007D040000}"/>
    <cellStyle name="Input 2 3 6 2 2" xfId="3823" xr:uid="{00000000-0005-0000-0000-00007E040000}"/>
    <cellStyle name="Input 2 3 6 3" xfId="2902" xr:uid="{00000000-0005-0000-0000-00007F040000}"/>
    <cellStyle name="Input 2 3 7" xfId="791" xr:uid="{00000000-0005-0000-0000-000080040000}"/>
    <cellStyle name="Input 2 3 7 2" xfId="792" xr:uid="{00000000-0005-0000-0000-000081040000}"/>
    <cellStyle name="Input 2 3 7 2 2" xfId="3850" xr:uid="{00000000-0005-0000-0000-000082040000}"/>
    <cellStyle name="Input 2 3 7 3" xfId="2946" xr:uid="{00000000-0005-0000-0000-000083040000}"/>
    <cellStyle name="Input 2 3 8" xfId="793" xr:uid="{00000000-0005-0000-0000-000084040000}"/>
    <cellStyle name="Input 2 3 8 2" xfId="2751" xr:uid="{00000000-0005-0000-0000-000085040000}"/>
    <cellStyle name="Input 2 3 9" xfId="794" xr:uid="{00000000-0005-0000-0000-000086040000}"/>
    <cellStyle name="Input 2 3 9 2" xfId="4538" xr:uid="{00000000-0005-0000-0000-000087040000}"/>
    <cellStyle name="Input 2 4" xfId="795" xr:uid="{00000000-0005-0000-0000-000088040000}"/>
    <cellStyle name="Input 2 4 2" xfId="796" xr:uid="{00000000-0005-0000-0000-000089040000}"/>
    <cellStyle name="Input 2 4 2 2" xfId="797" xr:uid="{00000000-0005-0000-0000-00008A040000}"/>
    <cellStyle name="Input 2 4 2 2 2" xfId="798" xr:uid="{00000000-0005-0000-0000-00008B040000}"/>
    <cellStyle name="Input 2 4 2 2 2 2" xfId="4044" xr:uid="{00000000-0005-0000-0000-00008C040000}"/>
    <cellStyle name="Input 2 4 2 2 3" xfId="3377" xr:uid="{00000000-0005-0000-0000-00008D040000}"/>
    <cellStyle name="Input 2 4 2 3" xfId="799" xr:uid="{00000000-0005-0000-0000-00008E040000}"/>
    <cellStyle name="Input 2 4 2 3 2" xfId="800" xr:uid="{00000000-0005-0000-0000-00008F040000}"/>
    <cellStyle name="Input 2 4 2 3 2 2" xfId="4221" xr:uid="{00000000-0005-0000-0000-000090040000}"/>
    <cellStyle name="Input 2 4 2 3 3" xfId="3554" xr:uid="{00000000-0005-0000-0000-000091040000}"/>
    <cellStyle name="Input 2 4 2 4" xfId="801" xr:uid="{00000000-0005-0000-0000-000092040000}"/>
    <cellStyle name="Input 2 4 2 4 2" xfId="802" xr:uid="{00000000-0005-0000-0000-000093040000}"/>
    <cellStyle name="Input 2 4 2 4 2 2" xfId="4410" xr:uid="{00000000-0005-0000-0000-000094040000}"/>
    <cellStyle name="Input 2 4 2 4 3" xfId="3743" xr:uid="{00000000-0005-0000-0000-000095040000}"/>
    <cellStyle name="Input 2 4 2 5" xfId="3149" xr:uid="{00000000-0005-0000-0000-000096040000}"/>
    <cellStyle name="Input 2 4 3" xfId="803" xr:uid="{00000000-0005-0000-0000-000097040000}"/>
    <cellStyle name="Input 2 4 3 2" xfId="804" xr:uid="{00000000-0005-0000-0000-000098040000}"/>
    <cellStyle name="Input 2 4 3 2 2" xfId="3942" xr:uid="{00000000-0005-0000-0000-000099040000}"/>
    <cellStyle name="Input 2 4 3 3" xfId="3275" xr:uid="{00000000-0005-0000-0000-00009A040000}"/>
    <cellStyle name="Input 2 4 4" xfId="805" xr:uid="{00000000-0005-0000-0000-00009B040000}"/>
    <cellStyle name="Input 2 4 4 2" xfId="806" xr:uid="{00000000-0005-0000-0000-00009C040000}"/>
    <cellStyle name="Input 2 4 4 2 2" xfId="4120" xr:uid="{00000000-0005-0000-0000-00009D040000}"/>
    <cellStyle name="Input 2 4 4 3" xfId="3453" xr:uid="{00000000-0005-0000-0000-00009E040000}"/>
    <cellStyle name="Input 2 4 5" xfId="807" xr:uid="{00000000-0005-0000-0000-00009F040000}"/>
    <cellStyle name="Input 2 4 5 2" xfId="808" xr:uid="{00000000-0005-0000-0000-0000A0040000}"/>
    <cellStyle name="Input 2 4 5 2 2" xfId="4309" xr:uid="{00000000-0005-0000-0000-0000A1040000}"/>
    <cellStyle name="Input 2 4 5 3" xfId="3642" xr:uid="{00000000-0005-0000-0000-0000A2040000}"/>
    <cellStyle name="Input 2 4 6" xfId="809" xr:uid="{00000000-0005-0000-0000-0000A3040000}"/>
    <cellStyle name="Input 2 4 6 2" xfId="4579" xr:uid="{00000000-0005-0000-0000-0000A4040000}"/>
    <cellStyle name="Input 2 4 7" xfId="3055" xr:uid="{00000000-0005-0000-0000-0000A5040000}"/>
    <cellStyle name="Input 2 5" xfId="810" xr:uid="{00000000-0005-0000-0000-0000A6040000}"/>
    <cellStyle name="Input 2 5 2" xfId="2929" xr:uid="{00000000-0005-0000-0000-0000A7040000}"/>
    <cellStyle name="Input 2 6" xfId="811" xr:uid="{00000000-0005-0000-0000-0000A8040000}"/>
    <cellStyle name="Input 2 6 2" xfId="2773" xr:uid="{00000000-0005-0000-0000-0000A9040000}"/>
    <cellStyle name="Input 2 7" xfId="812" xr:uid="{00000000-0005-0000-0000-0000AA040000}"/>
    <cellStyle name="Input 2 7 2" xfId="4498" xr:uid="{00000000-0005-0000-0000-0000AB040000}"/>
    <cellStyle name="Input 2_בחירה מרשימה" xfId="813" xr:uid="{00000000-0005-0000-0000-0000AC040000}"/>
    <cellStyle name="Input 3" xfId="126" xr:uid="{00000000-0005-0000-0000-0000AD040000}"/>
    <cellStyle name="Input 3 2" xfId="814" xr:uid="{00000000-0005-0000-0000-0000AE040000}"/>
    <cellStyle name="Input 3 2 10" xfId="815" xr:uid="{00000000-0005-0000-0000-0000AF040000}"/>
    <cellStyle name="Input 3 2 10 2" xfId="816" xr:uid="{00000000-0005-0000-0000-0000B0040000}"/>
    <cellStyle name="Input 3 2 10 2 2" xfId="3886" xr:uid="{00000000-0005-0000-0000-0000B1040000}"/>
    <cellStyle name="Input 3 2 10 3" xfId="2998" xr:uid="{00000000-0005-0000-0000-0000B2040000}"/>
    <cellStyle name="Input 3 2 11" xfId="817" xr:uid="{00000000-0005-0000-0000-0000B3040000}"/>
    <cellStyle name="Input 3 2 11 2" xfId="2782" xr:uid="{00000000-0005-0000-0000-0000B4040000}"/>
    <cellStyle name="Input 3 2 12" xfId="818" xr:uid="{00000000-0005-0000-0000-0000B5040000}"/>
    <cellStyle name="Input 3 2 12 2" xfId="4514" xr:uid="{00000000-0005-0000-0000-0000B6040000}"/>
    <cellStyle name="Input 3 2 13" xfId="819" xr:uid="{00000000-0005-0000-0000-0000B7040000}"/>
    <cellStyle name="Input 3 2 13 2" xfId="2693" xr:uid="{00000000-0005-0000-0000-0000B8040000}"/>
    <cellStyle name="Input 3 2 14" xfId="820" xr:uid="{00000000-0005-0000-0000-0000B9040000}"/>
    <cellStyle name="Input 3 2 15" xfId="2640" xr:uid="{00000000-0005-0000-0000-0000BA040000}"/>
    <cellStyle name="Input 3 2 2" xfId="821" xr:uid="{00000000-0005-0000-0000-0000BB040000}"/>
    <cellStyle name="Input 3 2 2 10" xfId="822" xr:uid="{00000000-0005-0000-0000-0000BC040000}"/>
    <cellStyle name="Input 3 2 2 10 2" xfId="2721" xr:uid="{00000000-0005-0000-0000-0000BD040000}"/>
    <cellStyle name="Input 3 2 2 11" xfId="2668" xr:uid="{00000000-0005-0000-0000-0000BE040000}"/>
    <cellStyle name="Input 3 2 2 2" xfId="823" xr:uid="{00000000-0005-0000-0000-0000BF040000}"/>
    <cellStyle name="Input 3 2 2 2 2" xfId="824" xr:uid="{00000000-0005-0000-0000-0000C0040000}"/>
    <cellStyle name="Input 3 2 2 2 2 2" xfId="825" xr:uid="{00000000-0005-0000-0000-0000C1040000}"/>
    <cellStyle name="Input 3 2 2 2 2 2 2" xfId="826" xr:uid="{00000000-0005-0000-0000-0000C2040000}"/>
    <cellStyle name="Input 3 2 2 2 2 2 2 2" xfId="4090" xr:uid="{00000000-0005-0000-0000-0000C3040000}"/>
    <cellStyle name="Input 3 2 2 2 2 2 3" xfId="3423" xr:uid="{00000000-0005-0000-0000-0000C4040000}"/>
    <cellStyle name="Input 3 2 2 2 2 3" xfId="827" xr:uid="{00000000-0005-0000-0000-0000C5040000}"/>
    <cellStyle name="Input 3 2 2 2 2 3 2" xfId="828" xr:uid="{00000000-0005-0000-0000-0000C6040000}"/>
    <cellStyle name="Input 3 2 2 2 2 3 2 2" xfId="4267" xr:uid="{00000000-0005-0000-0000-0000C7040000}"/>
    <cellStyle name="Input 3 2 2 2 2 3 3" xfId="3600" xr:uid="{00000000-0005-0000-0000-0000C8040000}"/>
    <cellStyle name="Input 3 2 2 2 2 4" xfId="829" xr:uid="{00000000-0005-0000-0000-0000C9040000}"/>
    <cellStyle name="Input 3 2 2 2 2 4 2" xfId="830" xr:uid="{00000000-0005-0000-0000-0000CA040000}"/>
    <cellStyle name="Input 3 2 2 2 2 4 2 2" xfId="4456" xr:uid="{00000000-0005-0000-0000-0000CB040000}"/>
    <cellStyle name="Input 3 2 2 2 2 4 3" xfId="3789" xr:uid="{00000000-0005-0000-0000-0000CC040000}"/>
    <cellStyle name="Input 3 2 2 2 2 5" xfId="3205" xr:uid="{00000000-0005-0000-0000-0000CD040000}"/>
    <cellStyle name="Input 3 2 2 2 3" xfId="831" xr:uid="{00000000-0005-0000-0000-0000CE040000}"/>
    <cellStyle name="Input 3 2 2 2 3 2" xfId="832" xr:uid="{00000000-0005-0000-0000-0000CF040000}"/>
    <cellStyle name="Input 3 2 2 2 3 2 2" xfId="833" xr:uid="{00000000-0005-0000-0000-0000D0040000}"/>
    <cellStyle name="Input 3 2 2 2 3 2 2 2" xfId="4110" xr:uid="{00000000-0005-0000-0000-0000D1040000}"/>
    <cellStyle name="Input 3 2 2 2 3 2 3" xfId="3443" xr:uid="{00000000-0005-0000-0000-0000D2040000}"/>
    <cellStyle name="Input 3 2 2 2 3 3" xfId="834" xr:uid="{00000000-0005-0000-0000-0000D3040000}"/>
    <cellStyle name="Input 3 2 2 2 3 3 2" xfId="835" xr:uid="{00000000-0005-0000-0000-0000D4040000}"/>
    <cellStyle name="Input 3 2 2 2 3 3 2 2" xfId="4295" xr:uid="{00000000-0005-0000-0000-0000D5040000}"/>
    <cellStyle name="Input 3 2 2 2 3 3 3" xfId="3628" xr:uid="{00000000-0005-0000-0000-0000D6040000}"/>
    <cellStyle name="Input 3 2 2 2 3 4" xfId="836" xr:uid="{00000000-0005-0000-0000-0000D7040000}"/>
    <cellStyle name="Input 3 2 2 2 3 4 2" xfId="837" xr:uid="{00000000-0005-0000-0000-0000D8040000}"/>
    <cellStyle name="Input 3 2 2 2 3 4 2 2" xfId="4484" xr:uid="{00000000-0005-0000-0000-0000D9040000}"/>
    <cellStyle name="Input 3 2 2 2 3 4 3" xfId="3817" xr:uid="{00000000-0005-0000-0000-0000DA040000}"/>
    <cellStyle name="Input 3 2 2 2 3 5" xfId="3233" xr:uid="{00000000-0005-0000-0000-0000DB040000}"/>
    <cellStyle name="Input 3 2 2 2 4" xfId="838" xr:uid="{00000000-0005-0000-0000-0000DC040000}"/>
    <cellStyle name="Input 3 2 2 2 4 2" xfId="839" xr:uid="{00000000-0005-0000-0000-0000DD040000}"/>
    <cellStyle name="Input 3 2 2 2 4 2 2" xfId="3985" xr:uid="{00000000-0005-0000-0000-0000DE040000}"/>
    <cellStyle name="Input 3 2 2 2 4 3" xfId="3318" xr:uid="{00000000-0005-0000-0000-0000DF040000}"/>
    <cellStyle name="Input 3 2 2 2 5" xfId="840" xr:uid="{00000000-0005-0000-0000-0000E0040000}"/>
    <cellStyle name="Input 3 2 2 2 5 2" xfId="841" xr:uid="{00000000-0005-0000-0000-0000E1040000}"/>
    <cellStyle name="Input 3 2 2 2 5 2 2" xfId="4163" xr:uid="{00000000-0005-0000-0000-0000E2040000}"/>
    <cellStyle name="Input 3 2 2 2 5 3" xfId="3496" xr:uid="{00000000-0005-0000-0000-0000E3040000}"/>
    <cellStyle name="Input 3 2 2 2 6" xfId="842" xr:uid="{00000000-0005-0000-0000-0000E4040000}"/>
    <cellStyle name="Input 3 2 2 2 6 2" xfId="843" xr:uid="{00000000-0005-0000-0000-0000E5040000}"/>
    <cellStyle name="Input 3 2 2 2 6 2 2" xfId="4352" xr:uid="{00000000-0005-0000-0000-0000E6040000}"/>
    <cellStyle name="Input 3 2 2 2 6 3" xfId="3685" xr:uid="{00000000-0005-0000-0000-0000E7040000}"/>
    <cellStyle name="Input 3 2 2 2 7" xfId="844" xr:uid="{00000000-0005-0000-0000-0000E8040000}"/>
    <cellStyle name="Input 3 2 2 2 7 2" xfId="3089" xr:uid="{00000000-0005-0000-0000-0000E9040000}"/>
    <cellStyle name="Input 3 2 2 2 8" xfId="845" xr:uid="{00000000-0005-0000-0000-0000EA040000}"/>
    <cellStyle name="Input 3 2 2 2 8 2" xfId="4635" xr:uid="{00000000-0005-0000-0000-0000EB040000}"/>
    <cellStyle name="Input 3 2 2 2 9" xfId="2827" xr:uid="{00000000-0005-0000-0000-0000EC040000}"/>
    <cellStyle name="Input 3 2 2 3" xfId="846" xr:uid="{00000000-0005-0000-0000-0000ED040000}"/>
    <cellStyle name="Input 3 2 2 3 2" xfId="847" xr:uid="{00000000-0005-0000-0000-0000EE040000}"/>
    <cellStyle name="Input 3 2 2 3 2 2" xfId="848" xr:uid="{00000000-0005-0000-0000-0000EF040000}"/>
    <cellStyle name="Input 3 2 2 3 2 2 2" xfId="4031" xr:uid="{00000000-0005-0000-0000-0000F0040000}"/>
    <cellStyle name="Input 3 2 2 3 2 3" xfId="3364" xr:uid="{00000000-0005-0000-0000-0000F1040000}"/>
    <cellStyle name="Input 3 2 2 3 3" xfId="849" xr:uid="{00000000-0005-0000-0000-0000F2040000}"/>
    <cellStyle name="Input 3 2 2 3 3 2" xfId="850" xr:uid="{00000000-0005-0000-0000-0000F3040000}"/>
    <cellStyle name="Input 3 2 2 3 3 2 2" xfId="4209" xr:uid="{00000000-0005-0000-0000-0000F4040000}"/>
    <cellStyle name="Input 3 2 2 3 3 3" xfId="3542" xr:uid="{00000000-0005-0000-0000-0000F5040000}"/>
    <cellStyle name="Input 3 2 2 3 4" xfId="851" xr:uid="{00000000-0005-0000-0000-0000F6040000}"/>
    <cellStyle name="Input 3 2 2 3 4 2" xfId="852" xr:uid="{00000000-0005-0000-0000-0000F7040000}"/>
    <cellStyle name="Input 3 2 2 3 4 2 2" xfId="4398" xr:uid="{00000000-0005-0000-0000-0000F8040000}"/>
    <cellStyle name="Input 3 2 2 3 4 3" xfId="3731" xr:uid="{00000000-0005-0000-0000-0000F9040000}"/>
    <cellStyle name="Input 3 2 2 3 5" xfId="853" xr:uid="{00000000-0005-0000-0000-0000FA040000}"/>
    <cellStyle name="Input 3 2 2 3 5 2" xfId="3136" xr:uid="{00000000-0005-0000-0000-0000FB040000}"/>
    <cellStyle name="Input 3 2 2 3 6" xfId="2805" xr:uid="{00000000-0005-0000-0000-0000FC040000}"/>
    <cellStyle name="Input 3 2 2 4" xfId="854" xr:uid="{00000000-0005-0000-0000-0000FD040000}"/>
    <cellStyle name="Input 3 2 2 4 2" xfId="3042" xr:uid="{00000000-0005-0000-0000-0000FE040000}"/>
    <cellStyle name="Input 3 2 2 5" xfId="855" xr:uid="{00000000-0005-0000-0000-0000FF040000}"/>
    <cellStyle name="Input 3 2 2 5 2" xfId="856" xr:uid="{00000000-0005-0000-0000-000000050000}"/>
    <cellStyle name="Input 3 2 2 5 2 2" xfId="3930" xr:uid="{00000000-0005-0000-0000-000001050000}"/>
    <cellStyle name="Input 3 2 2 5 3" xfId="3263" xr:uid="{00000000-0005-0000-0000-000002050000}"/>
    <cellStyle name="Input 3 2 2 6" xfId="857" xr:uid="{00000000-0005-0000-0000-000003050000}"/>
    <cellStyle name="Input 3 2 2 6 2" xfId="858" xr:uid="{00000000-0005-0000-0000-000004050000}"/>
    <cellStyle name="Input 3 2 2 6 2 2" xfId="3842" xr:uid="{00000000-0005-0000-0000-000005050000}"/>
    <cellStyle name="Input 3 2 2 6 3" xfId="2937" xr:uid="{00000000-0005-0000-0000-000006050000}"/>
    <cellStyle name="Input 3 2 2 7" xfId="859" xr:uid="{00000000-0005-0000-0000-000007050000}"/>
    <cellStyle name="Input 3 2 2 7 2" xfId="860" xr:uid="{00000000-0005-0000-0000-000008050000}"/>
    <cellStyle name="Input 3 2 2 7 2 2" xfId="3865" xr:uid="{00000000-0005-0000-0000-000009050000}"/>
    <cellStyle name="Input 3 2 2 7 3" xfId="2965" xr:uid="{00000000-0005-0000-0000-00000A050000}"/>
    <cellStyle name="Input 3 2 2 8" xfId="861" xr:uid="{00000000-0005-0000-0000-00000B050000}"/>
    <cellStyle name="Input 3 2 2 8 2" xfId="2797" xr:uid="{00000000-0005-0000-0000-00000C050000}"/>
    <cellStyle name="Input 3 2 2 9" xfId="862" xr:uid="{00000000-0005-0000-0000-00000D050000}"/>
    <cellStyle name="Input 3 2 2 9 2" xfId="4560" xr:uid="{00000000-0005-0000-0000-00000E050000}"/>
    <cellStyle name="Input 3 2 3" xfId="863" xr:uid="{00000000-0005-0000-0000-00000F050000}"/>
    <cellStyle name="Input 3 2 3 2" xfId="864" xr:uid="{00000000-0005-0000-0000-000010050000}"/>
    <cellStyle name="Input 3 2 3 2 2" xfId="865" xr:uid="{00000000-0005-0000-0000-000011050000}"/>
    <cellStyle name="Input 3 2 3 2 2 2" xfId="866" xr:uid="{00000000-0005-0000-0000-000012050000}"/>
    <cellStyle name="Input 3 2 3 2 2 2 2" xfId="4060" xr:uid="{00000000-0005-0000-0000-000013050000}"/>
    <cellStyle name="Input 3 2 3 2 2 3" xfId="3393" xr:uid="{00000000-0005-0000-0000-000014050000}"/>
    <cellStyle name="Input 3 2 3 2 3" xfId="867" xr:uid="{00000000-0005-0000-0000-000015050000}"/>
    <cellStyle name="Input 3 2 3 2 3 2" xfId="868" xr:uid="{00000000-0005-0000-0000-000016050000}"/>
    <cellStyle name="Input 3 2 3 2 3 2 2" xfId="4237" xr:uid="{00000000-0005-0000-0000-000017050000}"/>
    <cellStyle name="Input 3 2 3 2 3 3" xfId="3570" xr:uid="{00000000-0005-0000-0000-000018050000}"/>
    <cellStyle name="Input 3 2 3 2 4" xfId="869" xr:uid="{00000000-0005-0000-0000-000019050000}"/>
    <cellStyle name="Input 3 2 3 2 4 2" xfId="870" xr:uid="{00000000-0005-0000-0000-00001A050000}"/>
    <cellStyle name="Input 3 2 3 2 4 2 2" xfId="4426" xr:uid="{00000000-0005-0000-0000-00001B050000}"/>
    <cellStyle name="Input 3 2 3 2 4 3" xfId="3759" xr:uid="{00000000-0005-0000-0000-00001C050000}"/>
    <cellStyle name="Input 3 2 3 2 5" xfId="3172" xr:uid="{00000000-0005-0000-0000-00001D050000}"/>
    <cellStyle name="Input 3 2 3 3" xfId="871" xr:uid="{00000000-0005-0000-0000-00001E050000}"/>
    <cellStyle name="Input 3 2 3 3 2" xfId="872" xr:uid="{00000000-0005-0000-0000-00001F050000}"/>
    <cellStyle name="Input 3 2 3 3 2 2" xfId="3957" xr:uid="{00000000-0005-0000-0000-000020050000}"/>
    <cellStyle name="Input 3 2 3 3 3" xfId="3290" xr:uid="{00000000-0005-0000-0000-000021050000}"/>
    <cellStyle name="Input 3 2 3 4" xfId="873" xr:uid="{00000000-0005-0000-0000-000022050000}"/>
    <cellStyle name="Input 3 2 3 4 2" xfId="874" xr:uid="{00000000-0005-0000-0000-000023050000}"/>
    <cellStyle name="Input 3 2 3 4 2 2" xfId="4135" xr:uid="{00000000-0005-0000-0000-000024050000}"/>
    <cellStyle name="Input 3 2 3 4 3" xfId="3468" xr:uid="{00000000-0005-0000-0000-000025050000}"/>
    <cellStyle name="Input 3 2 3 5" xfId="875" xr:uid="{00000000-0005-0000-0000-000026050000}"/>
    <cellStyle name="Input 3 2 3 5 2" xfId="876" xr:uid="{00000000-0005-0000-0000-000027050000}"/>
    <cellStyle name="Input 3 2 3 5 2 2" xfId="4324" xr:uid="{00000000-0005-0000-0000-000028050000}"/>
    <cellStyle name="Input 3 2 3 5 3" xfId="3657" xr:uid="{00000000-0005-0000-0000-000029050000}"/>
    <cellStyle name="Input 3 2 3 6" xfId="877" xr:uid="{00000000-0005-0000-0000-00002A050000}"/>
    <cellStyle name="Input 3 2 3 6 2" xfId="4602" xr:uid="{00000000-0005-0000-0000-00002B050000}"/>
    <cellStyle name="Input 3 2 3 7" xfId="2761" xr:uid="{00000000-0005-0000-0000-00002C050000}"/>
    <cellStyle name="Input 3 2 4" xfId="878" xr:uid="{00000000-0005-0000-0000-00002D050000}"/>
    <cellStyle name="Input 3 2 4 2" xfId="879" xr:uid="{00000000-0005-0000-0000-00002E050000}"/>
    <cellStyle name="Input 3 2 4 2 2" xfId="880" xr:uid="{00000000-0005-0000-0000-00002F050000}"/>
    <cellStyle name="Input 3 2 4 2 2 2" xfId="881" xr:uid="{00000000-0005-0000-0000-000030050000}"/>
    <cellStyle name="Input 3 2 4 2 2 2 2" xfId="4055" xr:uid="{00000000-0005-0000-0000-000031050000}"/>
    <cellStyle name="Input 3 2 4 2 2 3" xfId="3388" xr:uid="{00000000-0005-0000-0000-000032050000}"/>
    <cellStyle name="Input 3 2 4 2 3" xfId="882" xr:uid="{00000000-0005-0000-0000-000033050000}"/>
    <cellStyle name="Input 3 2 4 2 3 2" xfId="883" xr:uid="{00000000-0005-0000-0000-000034050000}"/>
    <cellStyle name="Input 3 2 4 2 3 2 2" xfId="4232" xr:uid="{00000000-0005-0000-0000-000035050000}"/>
    <cellStyle name="Input 3 2 4 2 3 3" xfId="3565" xr:uid="{00000000-0005-0000-0000-000036050000}"/>
    <cellStyle name="Input 3 2 4 2 4" xfId="884" xr:uid="{00000000-0005-0000-0000-000037050000}"/>
    <cellStyle name="Input 3 2 4 2 4 2" xfId="885" xr:uid="{00000000-0005-0000-0000-000038050000}"/>
    <cellStyle name="Input 3 2 4 2 4 2 2" xfId="4421" xr:uid="{00000000-0005-0000-0000-000039050000}"/>
    <cellStyle name="Input 3 2 4 2 4 3" xfId="3754" xr:uid="{00000000-0005-0000-0000-00003A050000}"/>
    <cellStyle name="Input 3 2 4 2 5" xfId="3164" xr:uid="{00000000-0005-0000-0000-00003B050000}"/>
    <cellStyle name="Input 3 2 4 3" xfId="886" xr:uid="{00000000-0005-0000-0000-00003C050000}"/>
    <cellStyle name="Input 3 2 4 3 2" xfId="887" xr:uid="{00000000-0005-0000-0000-00003D050000}"/>
    <cellStyle name="Input 3 2 4 3 2 2" xfId="3952" xr:uid="{00000000-0005-0000-0000-00003E050000}"/>
    <cellStyle name="Input 3 2 4 3 3" xfId="3285" xr:uid="{00000000-0005-0000-0000-00003F050000}"/>
    <cellStyle name="Input 3 2 4 4" xfId="888" xr:uid="{00000000-0005-0000-0000-000040050000}"/>
    <cellStyle name="Input 3 2 4 4 2" xfId="889" xr:uid="{00000000-0005-0000-0000-000041050000}"/>
    <cellStyle name="Input 3 2 4 4 2 2" xfId="4130" xr:uid="{00000000-0005-0000-0000-000042050000}"/>
    <cellStyle name="Input 3 2 4 4 3" xfId="3463" xr:uid="{00000000-0005-0000-0000-000043050000}"/>
    <cellStyle name="Input 3 2 4 5" xfId="890" xr:uid="{00000000-0005-0000-0000-000044050000}"/>
    <cellStyle name="Input 3 2 4 5 2" xfId="891" xr:uid="{00000000-0005-0000-0000-000045050000}"/>
    <cellStyle name="Input 3 2 4 5 2 2" xfId="4319" xr:uid="{00000000-0005-0000-0000-000046050000}"/>
    <cellStyle name="Input 3 2 4 5 3" xfId="3652" xr:uid="{00000000-0005-0000-0000-000047050000}"/>
    <cellStyle name="Input 3 2 4 6" xfId="892" xr:uid="{00000000-0005-0000-0000-000048050000}"/>
    <cellStyle name="Input 3 2 4 6 2" xfId="4594" xr:uid="{00000000-0005-0000-0000-000049050000}"/>
    <cellStyle name="Input 3 2 4 7" xfId="3064" xr:uid="{00000000-0005-0000-0000-00004A050000}"/>
    <cellStyle name="Input 3 2 5" xfId="893" xr:uid="{00000000-0005-0000-0000-00004B050000}"/>
    <cellStyle name="Input 3 2 5 2" xfId="894" xr:uid="{00000000-0005-0000-0000-00004C050000}"/>
    <cellStyle name="Input 3 2 5 2 2" xfId="895" xr:uid="{00000000-0005-0000-0000-00004D050000}"/>
    <cellStyle name="Input 3 2 5 2 2 2" xfId="4000" xr:uid="{00000000-0005-0000-0000-00004E050000}"/>
    <cellStyle name="Input 3 2 5 2 3" xfId="3333" xr:uid="{00000000-0005-0000-0000-00004F050000}"/>
    <cellStyle name="Input 3 2 5 3" xfId="896" xr:uid="{00000000-0005-0000-0000-000050050000}"/>
    <cellStyle name="Input 3 2 5 3 2" xfId="897" xr:uid="{00000000-0005-0000-0000-000051050000}"/>
    <cellStyle name="Input 3 2 5 3 2 2" xfId="4178" xr:uid="{00000000-0005-0000-0000-000052050000}"/>
    <cellStyle name="Input 3 2 5 3 3" xfId="3511" xr:uid="{00000000-0005-0000-0000-000053050000}"/>
    <cellStyle name="Input 3 2 5 4" xfId="898" xr:uid="{00000000-0005-0000-0000-000054050000}"/>
    <cellStyle name="Input 3 2 5 4 2" xfId="899" xr:uid="{00000000-0005-0000-0000-000055050000}"/>
    <cellStyle name="Input 3 2 5 4 2 2" xfId="4367" xr:uid="{00000000-0005-0000-0000-000056050000}"/>
    <cellStyle name="Input 3 2 5 4 3" xfId="3700" xr:uid="{00000000-0005-0000-0000-000057050000}"/>
    <cellStyle name="Input 3 2 5 5" xfId="3104" xr:uid="{00000000-0005-0000-0000-000058050000}"/>
    <cellStyle name="Input 3 2 6" xfId="900" xr:uid="{00000000-0005-0000-0000-000059050000}"/>
    <cellStyle name="Input 3 2 6 2" xfId="901" xr:uid="{00000000-0005-0000-0000-00005A050000}"/>
    <cellStyle name="Input 3 2 6 2 2" xfId="902" xr:uid="{00000000-0005-0000-0000-00005B050000}"/>
    <cellStyle name="Input 3 2 6 2 2 2" xfId="3993" xr:uid="{00000000-0005-0000-0000-00005C050000}"/>
    <cellStyle name="Input 3 2 6 2 3" xfId="3326" xr:uid="{00000000-0005-0000-0000-00005D050000}"/>
    <cellStyle name="Input 3 2 6 3" xfId="903" xr:uid="{00000000-0005-0000-0000-00005E050000}"/>
    <cellStyle name="Input 3 2 6 3 2" xfId="904" xr:uid="{00000000-0005-0000-0000-00005F050000}"/>
    <cellStyle name="Input 3 2 6 3 2 2" xfId="4170" xr:uid="{00000000-0005-0000-0000-000060050000}"/>
    <cellStyle name="Input 3 2 6 3 3" xfId="3503" xr:uid="{00000000-0005-0000-0000-000061050000}"/>
    <cellStyle name="Input 3 2 6 4" xfId="905" xr:uid="{00000000-0005-0000-0000-000062050000}"/>
    <cellStyle name="Input 3 2 6 4 2" xfId="906" xr:uid="{00000000-0005-0000-0000-000063050000}"/>
    <cellStyle name="Input 3 2 6 4 2 2" xfId="4359" xr:uid="{00000000-0005-0000-0000-000064050000}"/>
    <cellStyle name="Input 3 2 6 4 3" xfId="3692" xr:uid="{00000000-0005-0000-0000-000065050000}"/>
    <cellStyle name="Input 3 2 6 5" xfId="3096" xr:uid="{00000000-0005-0000-0000-000066050000}"/>
    <cellStyle name="Input 3 2 7" xfId="907" xr:uid="{00000000-0005-0000-0000-000067050000}"/>
    <cellStyle name="Input 3 2 7 2" xfId="908" xr:uid="{00000000-0005-0000-0000-000068050000}"/>
    <cellStyle name="Input 3 2 7 2 2" xfId="3870" xr:uid="{00000000-0005-0000-0000-000069050000}"/>
    <cellStyle name="Input 3 2 7 3" xfId="2971" xr:uid="{00000000-0005-0000-0000-00006A050000}"/>
    <cellStyle name="Input 3 2 8" xfId="909" xr:uid="{00000000-0005-0000-0000-00006B050000}"/>
    <cellStyle name="Input 3 2 8 2" xfId="910" xr:uid="{00000000-0005-0000-0000-00006C050000}"/>
    <cellStyle name="Input 3 2 8 2 2" xfId="3901" xr:uid="{00000000-0005-0000-0000-00006D050000}"/>
    <cellStyle name="Input 3 2 8 3" xfId="3038" xr:uid="{00000000-0005-0000-0000-00006E050000}"/>
    <cellStyle name="Input 3 2 9" xfId="911" xr:uid="{00000000-0005-0000-0000-00006F050000}"/>
    <cellStyle name="Input 3 2 9 2" xfId="912" xr:uid="{00000000-0005-0000-0000-000070050000}"/>
    <cellStyle name="Input 3 2 9 2 2" xfId="3827" xr:uid="{00000000-0005-0000-0000-000071050000}"/>
    <cellStyle name="Input 3 2 9 3" xfId="2906" xr:uid="{00000000-0005-0000-0000-000072050000}"/>
    <cellStyle name="Input 3 3" xfId="913" xr:uid="{00000000-0005-0000-0000-000073050000}"/>
    <cellStyle name="Input 3 3 10" xfId="914" xr:uid="{00000000-0005-0000-0000-000074050000}"/>
    <cellStyle name="Input 3 3 10 2" xfId="2707" xr:uid="{00000000-0005-0000-0000-000075050000}"/>
    <cellStyle name="Input 3 3 11" xfId="2654" xr:uid="{00000000-0005-0000-0000-000076050000}"/>
    <cellStyle name="Input 3 3 2" xfId="915" xr:uid="{00000000-0005-0000-0000-000077050000}"/>
    <cellStyle name="Input 3 3 2 2" xfId="916" xr:uid="{00000000-0005-0000-0000-000078050000}"/>
    <cellStyle name="Input 3 3 2 2 2" xfId="917" xr:uid="{00000000-0005-0000-0000-000079050000}"/>
    <cellStyle name="Input 3 3 2 2 2 2" xfId="918" xr:uid="{00000000-0005-0000-0000-00007A050000}"/>
    <cellStyle name="Input 3 3 2 2 2 2 2" xfId="4025" xr:uid="{00000000-0005-0000-0000-00007B050000}"/>
    <cellStyle name="Input 3 3 2 2 2 3" xfId="3358" xr:uid="{00000000-0005-0000-0000-00007C050000}"/>
    <cellStyle name="Input 3 3 2 2 3" xfId="919" xr:uid="{00000000-0005-0000-0000-00007D050000}"/>
    <cellStyle name="Input 3 3 2 2 3 2" xfId="920" xr:uid="{00000000-0005-0000-0000-00007E050000}"/>
    <cellStyle name="Input 3 3 2 2 3 2 2" xfId="4203" xr:uid="{00000000-0005-0000-0000-00007F050000}"/>
    <cellStyle name="Input 3 3 2 2 3 3" xfId="3536" xr:uid="{00000000-0005-0000-0000-000080050000}"/>
    <cellStyle name="Input 3 3 2 2 4" xfId="921" xr:uid="{00000000-0005-0000-0000-000081050000}"/>
    <cellStyle name="Input 3 3 2 2 4 2" xfId="922" xr:uid="{00000000-0005-0000-0000-000082050000}"/>
    <cellStyle name="Input 3 3 2 2 4 2 2" xfId="4392" xr:uid="{00000000-0005-0000-0000-000083050000}"/>
    <cellStyle name="Input 3 3 2 2 4 3" xfId="3725" xr:uid="{00000000-0005-0000-0000-000084050000}"/>
    <cellStyle name="Input 3 3 2 2 5" xfId="3130" xr:uid="{00000000-0005-0000-0000-000085050000}"/>
    <cellStyle name="Input 3 3 2 3" xfId="923" xr:uid="{00000000-0005-0000-0000-000086050000}"/>
    <cellStyle name="Input 3 3 2 3 2" xfId="924" xr:uid="{00000000-0005-0000-0000-000087050000}"/>
    <cellStyle name="Input 3 3 2 3 2 2" xfId="925" xr:uid="{00000000-0005-0000-0000-000088050000}"/>
    <cellStyle name="Input 3 3 2 3 2 2 2" xfId="4098" xr:uid="{00000000-0005-0000-0000-000089050000}"/>
    <cellStyle name="Input 3 3 2 3 2 3" xfId="3431" xr:uid="{00000000-0005-0000-0000-00008A050000}"/>
    <cellStyle name="Input 3 3 2 3 3" xfId="926" xr:uid="{00000000-0005-0000-0000-00008B050000}"/>
    <cellStyle name="Input 3 3 2 3 3 2" xfId="927" xr:uid="{00000000-0005-0000-0000-00008C050000}"/>
    <cellStyle name="Input 3 3 2 3 3 2 2" xfId="4276" xr:uid="{00000000-0005-0000-0000-00008D050000}"/>
    <cellStyle name="Input 3 3 2 3 3 3" xfId="3609" xr:uid="{00000000-0005-0000-0000-00008E050000}"/>
    <cellStyle name="Input 3 3 2 3 4" xfId="928" xr:uid="{00000000-0005-0000-0000-00008F050000}"/>
    <cellStyle name="Input 3 3 2 3 4 2" xfId="929" xr:uid="{00000000-0005-0000-0000-000090050000}"/>
    <cellStyle name="Input 3 3 2 3 4 2 2" xfId="4465" xr:uid="{00000000-0005-0000-0000-000091050000}"/>
    <cellStyle name="Input 3 3 2 3 4 3" xfId="3798" xr:uid="{00000000-0005-0000-0000-000092050000}"/>
    <cellStyle name="Input 3 3 2 3 5" xfId="3214" xr:uid="{00000000-0005-0000-0000-000093050000}"/>
    <cellStyle name="Input 3 3 2 4" xfId="930" xr:uid="{00000000-0005-0000-0000-000094050000}"/>
    <cellStyle name="Input 3 3 2 4 2" xfId="931" xr:uid="{00000000-0005-0000-0000-000095050000}"/>
    <cellStyle name="Input 3 3 2 4 2 2" xfId="3923" xr:uid="{00000000-0005-0000-0000-000096050000}"/>
    <cellStyle name="Input 3 3 2 4 3" xfId="3256" xr:uid="{00000000-0005-0000-0000-000097050000}"/>
    <cellStyle name="Input 3 3 2 5" xfId="932" xr:uid="{00000000-0005-0000-0000-000098050000}"/>
    <cellStyle name="Input 3 3 2 5 2" xfId="933" xr:uid="{00000000-0005-0000-0000-000099050000}"/>
    <cellStyle name="Input 3 3 2 5 2 2" xfId="3872" xr:uid="{00000000-0005-0000-0000-00009A050000}"/>
    <cellStyle name="Input 3 3 2 5 3" xfId="2982" xr:uid="{00000000-0005-0000-0000-00009B050000}"/>
    <cellStyle name="Input 3 3 2 6" xfId="934" xr:uid="{00000000-0005-0000-0000-00009C050000}"/>
    <cellStyle name="Input 3 3 2 6 2" xfId="935" xr:uid="{00000000-0005-0000-0000-00009D050000}"/>
    <cellStyle name="Input 3 3 2 6 2 2" xfId="3903" xr:uid="{00000000-0005-0000-0000-00009E050000}"/>
    <cellStyle name="Input 3 3 2 6 3" xfId="3236" xr:uid="{00000000-0005-0000-0000-00009F050000}"/>
    <cellStyle name="Input 3 3 2 7" xfId="936" xr:uid="{00000000-0005-0000-0000-0000A0050000}"/>
    <cellStyle name="Input 3 3 2 7 2" xfId="3035" xr:uid="{00000000-0005-0000-0000-0000A1050000}"/>
    <cellStyle name="Input 3 3 2 8" xfId="937" xr:uid="{00000000-0005-0000-0000-0000A2050000}"/>
    <cellStyle name="Input 3 3 2 8 2" xfId="4554" xr:uid="{00000000-0005-0000-0000-0000A3050000}"/>
    <cellStyle name="Input 3 3 2 9" xfId="2828" xr:uid="{00000000-0005-0000-0000-0000A4050000}"/>
    <cellStyle name="Input 3 3 3" xfId="938" xr:uid="{00000000-0005-0000-0000-0000A5050000}"/>
    <cellStyle name="Input 3 3 3 2" xfId="939" xr:uid="{00000000-0005-0000-0000-0000A6050000}"/>
    <cellStyle name="Input 3 3 3 2 2" xfId="940" xr:uid="{00000000-0005-0000-0000-0000A7050000}"/>
    <cellStyle name="Input 3 3 3 2 2 2" xfId="4012" xr:uid="{00000000-0005-0000-0000-0000A8050000}"/>
    <cellStyle name="Input 3 3 3 2 3" xfId="3345" xr:uid="{00000000-0005-0000-0000-0000A9050000}"/>
    <cellStyle name="Input 3 3 3 3" xfId="941" xr:uid="{00000000-0005-0000-0000-0000AA050000}"/>
    <cellStyle name="Input 3 3 3 3 2" xfId="942" xr:uid="{00000000-0005-0000-0000-0000AB050000}"/>
    <cellStyle name="Input 3 3 3 3 2 2" xfId="4190" xr:uid="{00000000-0005-0000-0000-0000AC050000}"/>
    <cellStyle name="Input 3 3 3 3 3" xfId="3523" xr:uid="{00000000-0005-0000-0000-0000AD050000}"/>
    <cellStyle name="Input 3 3 3 4" xfId="943" xr:uid="{00000000-0005-0000-0000-0000AE050000}"/>
    <cellStyle name="Input 3 3 3 4 2" xfId="944" xr:uid="{00000000-0005-0000-0000-0000AF050000}"/>
    <cellStyle name="Input 3 3 3 4 2 2" xfId="4379" xr:uid="{00000000-0005-0000-0000-0000B0050000}"/>
    <cellStyle name="Input 3 3 3 4 3" xfId="3712" xr:uid="{00000000-0005-0000-0000-0000B1050000}"/>
    <cellStyle name="Input 3 3 3 5" xfId="945" xr:uid="{00000000-0005-0000-0000-0000B2050000}"/>
    <cellStyle name="Input 3 3 3 5 2" xfId="3116" xr:uid="{00000000-0005-0000-0000-0000B3050000}"/>
    <cellStyle name="Input 3 3 3 6" xfId="2789" xr:uid="{00000000-0005-0000-0000-0000B4050000}"/>
    <cellStyle name="Input 3 3 4" xfId="946" xr:uid="{00000000-0005-0000-0000-0000B5050000}"/>
    <cellStyle name="Input 3 3 4 2" xfId="3019" xr:uid="{00000000-0005-0000-0000-0000B6050000}"/>
    <cellStyle name="Input 3 3 5" xfId="947" xr:uid="{00000000-0005-0000-0000-0000B7050000}"/>
    <cellStyle name="Input 3 3 5 2" xfId="948" xr:uid="{00000000-0005-0000-0000-0000B8050000}"/>
    <cellStyle name="Input 3 3 5 2 2" xfId="3908" xr:uid="{00000000-0005-0000-0000-0000B9050000}"/>
    <cellStyle name="Input 3 3 5 3" xfId="3241" xr:uid="{00000000-0005-0000-0000-0000BA050000}"/>
    <cellStyle name="Input 3 3 6" xfId="949" xr:uid="{00000000-0005-0000-0000-0000BB050000}"/>
    <cellStyle name="Input 3 3 6 2" xfId="950" xr:uid="{00000000-0005-0000-0000-0000BC050000}"/>
    <cellStyle name="Input 3 3 6 2 2" xfId="3880" xr:uid="{00000000-0005-0000-0000-0000BD050000}"/>
    <cellStyle name="Input 3 3 6 3" xfId="2990" xr:uid="{00000000-0005-0000-0000-0000BE050000}"/>
    <cellStyle name="Input 3 3 7" xfId="951" xr:uid="{00000000-0005-0000-0000-0000BF050000}"/>
    <cellStyle name="Input 3 3 7 2" xfId="952" xr:uid="{00000000-0005-0000-0000-0000C0050000}"/>
    <cellStyle name="Input 3 3 7 2 2" xfId="3838" xr:uid="{00000000-0005-0000-0000-0000C1050000}"/>
    <cellStyle name="Input 3 3 7 3" xfId="2921" xr:uid="{00000000-0005-0000-0000-0000C2050000}"/>
    <cellStyle name="Input 3 3 8" xfId="953" xr:uid="{00000000-0005-0000-0000-0000C3050000}"/>
    <cellStyle name="Input 3 3 8 2" xfId="2750" xr:uid="{00000000-0005-0000-0000-0000C4050000}"/>
    <cellStyle name="Input 3 3 9" xfId="954" xr:uid="{00000000-0005-0000-0000-0000C5050000}"/>
    <cellStyle name="Input 3 3 9 2" xfId="4537" xr:uid="{00000000-0005-0000-0000-0000C6050000}"/>
    <cellStyle name="Input 3 4" xfId="955" xr:uid="{00000000-0005-0000-0000-0000C7050000}"/>
    <cellStyle name="Input 3 4 2" xfId="956" xr:uid="{00000000-0005-0000-0000-0000C8050000}"/>
    <cellStyle name="Input 3 4 2 2" xfId="957" xr:uid="{00000000-0005-0000-0000-0000C9050000}"/>
    <cellStyle name="Input 3 4 2 2 2" xfId="958" xr:uid="{00000000-0005-0000-0000-0000CA050000}"/>
    <cellStyle name="Input 3 4 2 2 2 2" xfId="4043" xr:uid="{00000000-0005-0000-0000-0000CB050000}"/>
    <cellStyle name="Input 3 4 2 2 3" xfId="3376" xr:uid="{00000000-0005-0000-0000-0000CC050000}"/>
    <cellStyle name="Input 3 4 2 3" xfId="959" xr:uid="{00000000-0005-0000-0000-0000CD050000}"/>
    <cellStyle name="Input 3 4 2 3 2" xfId="960" xr:uid="{00000000-0005-0000-0000-0000CE050000}"/>
    <cellStyle name="Input 3 4 2 3 2 2" xfId="4220" xr:uid="{00000000-0005-0000-0000-0000CF050000}"/>
    <cellStyle name="Input 3 4 2 3 3" xfId="3553" xr:uid="{00000000-0005-0000-0000-0000D0050000}"/>
    <cellStyle name="Input 3 4 2 4" xfId="961" xr:uid="{00000000-0005-0000-0000-0000D1050000}"/>
    <cellStyle name="Input 3 4 2 4 2" xfId="962" xr:uid="{00000000-0005-0000-0000-0000D2050000}"/>
    <cellStyle name="Input 3 4 2 4 2 2" xfId="4409" xr:uid="{00000000-0005-0000-0000-0000D3050000}"/>
    <cellStyle name="Input 3 4 2 4 3" xfId="3742" xr:uid="{00000000-0005-0000-0000-0000D4050000}"/>
    <cellStyle name="Input 3 4 2 5" xfId="3148" xr:uid="{00000000-0005-0000-0000-0000D5050000}"/>
    <cellStyle name="Input 3 4 3" xfId="963" xr:uid="{00000000-0005-0000-0000-0000D6050000}"/>
    <cellStyle name="Input 3 4 3 2" xfId="964" xr:uid="{00000000-0005-0000-0000-0000D7050000}"/>
    <cellStyle name="Input 3 4 3 2 2" xfId="3941" xr:uid="{00000000-0005-0000-0000-0000D8050000}"/>
    <cellStyle name="Input 3 4 3 3" xfId="3274" xr:uid="{00000000-0005-0000-0000-0000D9050000}"/>
    <cellStyle name="Input 3 4 4" xfId="965" xr:uid="{00000000-0005-0000-0000-0000DA050000}"/>
    <cellStyle name="Input 3 4 4 2" xfId="966" xr:uid="{00000000-0005-0000-0000-0000DB050000}"/>
    <cellStyle name="Input 3 4 4 2 2" xfId="4119" xr:uid="{00000000-0005-0000-0000-0000DC050000}"/>
    <cellStyle name="Input 3 4 4 3" xfId="3452" xr:uid="{00000000-0005-0000-0000-0000DD050000}"/>
    <cellStyle name="Input 3 4 5" xfId="967" xr:uid="{00000000-0005-0000-0000-0000DE050000}"/>
    <cellStyle name="Input 3 4 5 2" xfId="968" xr:uid="{00000000-0005-0000-0000-0000DF050000}"/>
    <cellStyle name="Input 3 4 5 2 2" xfId="4308" xr:uid="{00000000-0005-0000-0000-0000E0050000}"/>
    <cellStyle name="Input 3 4 5 3" xfId="3641" xr:uid="{00000000-0005-0000-0000-0000E1050000}"/>
    <cellStyle name="Input 3 4 6" xfId="969" xr:uid="{00000000-0005-0000-0000-0000E2050000}"/>
    <cellStyle name="Input 3 4 6 2" xfId="4578" xr:uid="{00000000-0005-0000-0000-0000E3050000}"/>
    <cellStyle name="Input 3 4 7" xfId="3054" xr:uid="{00000000-0005-0000-0000-0000E4050000}"/>
    <cellStyle name="Input 3 5" xfId="970" xr:uid="{00000000-0005-0000-0000-0000E5050000}"/>
    <cellStyle name="Input 3 5 2" xfId="2928" xr:uid="{00000000-0005-0000-0000-0000E6050000}"/>
    <cellStyle name="Input 3 6" xfId="971" xr:uid="{00000000-0005-0000-0000-0000E7050000}"/>
    <cellStyle name="Input 3 6 2" xfId="2772" xr:uid="{00000000-0005-0000-0000-0000E8050000}"/>
    <cellStyle name="Input 3 7" xfId="972" xr:uid="{00000000-0005-0000-0000-0000E9050000}"/>
    <cellStyle name="Input 3 7 2" xfId="4497" xr:uid="{00000000-0005-0000-0000-0000EA050000}"/>
    <cellStyle name="Input 3_בחירה מרשימה" xfId="973" xr:uid="{00000000-0005-0000-0000-0000EB050000}"/>
    <cellStyle name="Input 4" xfId="974" xr:uid="{00000000-0005-0000-0000-0000EC050000}"/>
    <cellStyle name="Input 4 10" xfId="975" xr:uid="{00000000-0005-0000-0000-0000ED050000}"/>
    <cellStyle name="Input 4 10 2" xfId="2698" xr:uid="{00000000-0005-0000-0000-0000EE050000}"/>
    <cellStyle name="Input 4 11" xfId="2645" xr:uid="{00000000-0005-0000-0000-0000EF050000}"/>
    <cellStyle name="Input 4 2" xfId="976" xr:uid="{00000000-0005-0000-0000-0000F0050000}"/>
    <cellStyle name="Input 4 2 2" xfId="977" xr:uid="{00000000-0005-0000-0000-0000F1050000}"/>
    <cellStyle name="Input 4 2 2 2" xfId="978" xr:uid="{00000000-0005-0000-0000-0000F2050000}"/>
    <cellStyle name="Input 4 2 2 2 2" xfId="979" xr:uid="{00000000-0005-0000-0000-0000F3050000}"/>
    <cellStyle name="Input 4 2 2 2 2 2" xfId="4077" xr:uid="{00000000-0005-0000-0000-0000F4050000}"/>
    <cellStyle name="Input 4 2 2 2 3" xfId="3410" xr:uid="{00000000-0005-0000-0000-0000F5050000}"/>
    <cellStyle name="Input 4 2 2 3" xfId="980" xr:uid="{00000000-0005-0000-0000-0000F6050000}"/>
    <cellStyle name="Input 4 2 2 3 2" xfId="981" xr:uid="{00000000-0005-0000-0000-0000F7050000}"/>
    <cellStyle name="Input 4 2 2 3 2 2" xfId="4254" xr:uid="{00000000-0005-0000-0000-0000F8050000}"/>
    <cellStyle name="Input 4 2 2 3 3" xfId="3587" xr:uid="{00000000-0005-0000-0000-0000F9050000}"/>
    <cellStyle name="Input 4 2 2 4" xfId="982" xr:uid="{00000000-0005-0000-0000-0000FA050000}"/>
    <cellStyle name="Input 4 2 2 4 2" xfId="983" xr:uid="{00000000-0005-0000-0000-0000FB050000}"/>
    <cellStyle name="Input 4 2 2 4 2 2" xfId="4443" xr:uid="{00000000-0005-0000-0000-0000FC050000}"/>
    <cellStyle name="Input 4 2 2 4 3" xfId="3776" xr:uid="{00000000-0005-0000-0000-0000FD050000}"/>
    <cellStyle name="Input 4 2 2 5" xfId="3192" xr:uid="{00000000-0005-0000-0000-0000FE050000}"/>
    <cellStyle name="Input 4 2 3" xfId="984" xr:uid="{00000000-0005-0000-0000-0000FF050000}"/>
    <cellStyle name="Input 4 2 3 2" xfId="985" xr:uid="{00000000-0005-0000-0000-000000060000}"/>
    <cellStyle name="Input 4 2 3 2 2" xfId="986" xr:uid="{00000000-0005-0000-0000-000001060000}"/>
    <cellStyle name="Input 4 2 3 2 2 2" xfId="4105" xr:uid="{00000000-0005-0000-0000-000002060000}"/>
    <cellStyle name="Input 4 2 3 2 3" xfId="3438" xr:uid="{00000000-0005-0000-0000-000003060000}"/>
    <cellStyle name="Input 4 2 3 3" xfId="987" xr:uid="{00000000-0005-0000-0000-000004060000}"/>
    <cellStyle name="Input 4 2 3 3 2" xfId="988" xr:uid="{00000000-0005-0000-0000-000005060000}"/>
    <cellStyle name="Input 4 2 3 3 2 2" xfId="4288" xr:uid="{00000000-0005-0000-0000-000006060000}"/>
    <cellStyle name="Input 4 2 3 3 3" xfId="3621" xr:uid="{00000000-0005-0000-0000-000007060000}"/>
    <cellStyle name="Input 4 2 3 4" xfId="989" xr:uid="{00000000-0005-0000-0000-000008060000}"/>
    <cellStyle name="Input 4 2 3 4 2" xfId="990" xr:uid="{00000000-0005-0000-0000-000009060000}"/>
    <cellStyle name="Input 4 2 3 4 2 2" xfId="4477" xr:uid="{00000000-0005-0000-0000-00000A060000}"/>
    <cellStyle name="Input 4 2 3 4 3" xfId="3810" xr:uid="{00000000-0005-0000-0000-00000B060000}"/>
    <cellStyle name="Input 4 2 3 5" xfId="3226" xr:uid="{00000000-0005-0000-0000-00000C060000}"/>
    <cellStyle name="Input 4 2 4" xfId="991" xr:uid="{00000000-0005-0000-0000-00000D060000}"/>
    <cellStyle name="Input 4 2 4 2" xfId="992" xr:uid="{00000000-0005-0000-0000-00000E060000}"/>
    <cellStyle name="Input 4 2 4 2 2" xfId="3972" xr:uid="{00000000-0005-0000-0000-00000F060000}"/>
    <cellStyle name="Input 4 2 4 3" xfId="3305" xr:uid="{00000000-0005-0000-0000-000010060000}"/>
    <cellStyle name="Input 4 2 5" xfId="993" xr:uid="{00000000-0005-0000-0000-000011060000}"/>
    <cellStyle name="Input 4 2 5 2" xfId="994" xr:uid="{00000000-0005-0000-0000-000012060000}"/>
    <cellStyle name="Input 4 2 5 2 2" xfId="4150" xr:uid="{00000000-0005-0000-0000-000013060000}"/>
    <cellStyle name="Input 4 2 5 3" xfId="3483" xr:uid="{00000000-0005-0000-0000-000014060000}"/>
    <cellStyle name="Input 4 2 6" xfId="995" xr:uid="{00000000-0005-0000-0000-000015060000}"/>
    <cellStyle name="Input 4 2 6 2" xfId="996" xr:uid="{00000000-0005-0000-0000-000016060000}"/>
    <cellStyle name="Input 4 2 6 2 2" xfId="4339" xr:uid="{00000000-0005-0000-0000-000017060000}"/>
    <cellStyle name="Input 4 2 6 3" xfId="3672" xr:uid="{00000000-0005-0000-0000-000018060000}"/>
    <cellStyle name="Input 4 2 7" xfId="997" xr:uid="{00000000-0005-0000-0000-000019060000}"/>
    <cellStyle name="Input 4 2 7 2" xfId="3077" xr:uid="{00000000-0005-0000-0000-00001A060000}"/>
    <cellStyle name="Input 4 2 8" xfId="998" xr:uid="{00000000-0005-0000-0000-00001B060000}"/>
    <cellStyle name="Input 4 2 8 2" xfId="4622" xr:uid="{00000000-0005-0000-0000-00001C060000}"/>
    <cellStyle name="Input 4 2 9" xfId="2829" xr:uid="{00000000-0005-0000-0000-00001D060000}"/>
    <cellStyle name="Input 4 3" xfId="999" xr:uid="{00000000-0005-0000-0000-00001E060000}"/>
    <cellStyle name="Input 4 3 2" xfId="1000" xr:uid="{00000000-0005-0000-0000-00001F060000}"/>
    <cellStyle name="Input 4 3 2 2" xfId="1001" xr:uid="{00000000-0005-0000-0000-000020060000}"/>
    <cellStyle name="Input 4 3 2 2 2" xfId="4004" xr:uid="{00000000-0005-0000-0000-000021060000}"/>
    <cellStyle name="Input 4 3 2 3" xfId="3337" xr:uid="{00000000-0005-0000-0000-000022060000}"/>
    <cellStyle name="Input 4 3 3" xfId="1002" xr:uid="{00000000-0005-0000-0000-000023060000}"/>
    <cellStyle name="Input 4 3 3 2" xfId="1003" xr:uid="{00000000-0005-0000-0000-000024060000}"/>
    <cellStyle name="Input 4 3 3 2 2" xfId="4182" xr:uid="{00000000-0005-0000-0000-000025060000}"/>
    <cellStyle name="Input 4 3 3 3" xfId="3515" xr:uid="{00000000-0005-0000-0000-000026060000}"/>
    <cellStyle name="Input 4 3 4" xfId="1004" xr:uid="{00000000-0005-0000-0000-000027060000}"/>
    <cellStyle name="Input 4 3 4 2" xfId="1005" xr:uid="{00000000-0005-0000-0000-000028060000}"/>
    <cellStyle name="Input 4 3 4 2 2" xfId="4371" xr:uid="{00000000-0005-0000-0000-000029060000}"/>
    <cellStyle name="Input 4 3 4 3" xfId="3704" xr:uid="{00000000-0005-0000-0000-00002A060000}"/>
    <cellStyle name="Input 4 3 5" xfId="1006" xr:uid="{00000000-0005-0000-0000-00002B060000}"/>
    <cellStyle name="Input 4 3 5 2" xfId="3108" xr:uid="{00000000-0005-0000-0000-00002C060000}"/>
    <cellStyle name="Input 4 3 6" xfId="2776" xr:uid="{00000000-0005-0000-0000-00002D060000}"/>
    <cellStyle name="Input 4 4" xfId="1007" xr:uid="{00000000-0005-0000-0000-00002E060000}"/>
    <cellStyle name="Input 4 4 2" xfId="3004" xr:uid="{00000000-0005-0000-0000-00002F060000}"/>
    <cellStyle name="Input 4 5" xfId="1008" xr:uid="{00000000-0005-0000-0000-000030060000}"/>
    <cellStyle name="Input 4 5 2" xfId="1009" xr:uid="{00000000-0005-0000-0000-000031060000}"/>
    <cellStyle name="Input 4 5 2 2" xfId="3853" xr:uid="{00000000-0005-0000-0000-000032060000}"/>
    <cellStyle name="Input 4 5 3" xfId="2951" xr:uid="{00000000-0005-0000-0000-000033060000}"/>
    <cellStyle name="Input 4 6" xfId="1010" xr:uid="{00000000-0005-0000-0000-000034060000}"/>
    <cellStyle name="Input 4 6 2" xfId="1011" xr:uid="{00000000-0005-0000-0000-000035060000}"/>
    <cellStyle name="Input 4 6 2 2" xfId="3914" xr:uid="{00000000-0005-0000-0000-000036060000}"/>
    <cellStyle name="Input 4 6 3" xfId="3247" xr:uid="{00000000-0005-0000-0000-000037060000}"/>
    <cellStyle name="Input 4 7" xfId="1012" xr:uid="{00000000-0005-0000-0000-000038060000}"/>
    <cellStyle name="Input 4 7 2" xfId="1013" xr:uid="{00000000-0005-0000-0000-000039060000}"/>
    <cellStyle name="Input 4 7 2 2" xfId="3988" xr:uid="{00000000-0005-0000-0000-00003A060000}"/>
    <cellStyle name="Input 4 7 3" xfId="3321" xr:uid="{00000000-0005-0000-0000-00003B060000}"/>
    <cellStyle name="Input 4 8" xfId="1014" xr:uid="{00000000-0005-0000-0000-00003C060000}"/>
    <cellStyle name="Input 4 8 2" xfId="2784" xr:uid="{00000000-0005-0000-0000-00003D060000}"/>
    <cellStyle name="Input 4 9" xfId="1015" xr:uid="{00000000-0005-0000-0000-00003E060000}"/>
    <cellStyle name="Input 4 9 2" xfId="4527" xr:uid="{00000000-0005-0000-0000-00003F060000}"/>
    <cellStyle name="Input 5" xfId="1016" xr:uid="{00000000-0005-0000-0000-000040060000}"/>
    <cellStyle name="Input 5 2" xfId="1017" xr:uid="{00000000-0005-0000-0000-000041060000}"/>
    <cellStyle name="Input 5 2 2" xfId="1018" xr:uid="{00000000-0005-0000-0000-000042060000}"/>
    <cellStyle name="Input 5 2 2 2" xfId="1019" xr:uid="{00000000-0005-0000-0000-000043060000}"/>
    <cellStyle name="Input 5 2 2 2 2" xfId="4027" xr:uid="{00000000-0005-0000-0000-000044060000}"/>
    <cellStyle name="Input 5 2 2 3" xfId="3360" xr:uid="{00000000-0005-0000-0000-000045060000}"/>
    <cellStyle name="Input 5 2 3" xfId="1020" xr:uid="{00000000-0005-0000-0000-000046060000}"/>
    <cellStyle name="Input 5 2 3 2" xfId="1021" xr:uid="{00000000-0005-0000-0000-000047060000}"/>
    <cellStyle name="Input 5 2 3 2 2" xfId="4205" xr:uid="{00000000-0005-0000-0000-000048060000}"/>
    <cellStyle name="Input 5 2 3 3" xfId="3538" xr:uid="{00000000-0005-0000-0000-000049060000}"/>
    <cellStyle name="Input 5 2 4" xfId="1022" xr:uid="{00000000-0005-0000-0000-00004A060000}"/>
    <cellStyle name="Input 5 2 4 2" xfId="1023" xr:uid="{00000000-0005-0000-0000-00004B060000}"/>
    <cellStyle name="Input 5 2 4 2 2" xfId="4394" xr:uid="{00000000-0005-0000-0000-00004C060000}"/>
    <cellStyle name="Input 5 2 4 3" xfId="3727" xr:uid="{00000000-0005-0000-0000-00004D060000}"/>
    <cellStyle name="Input 5 2 5" xfId="3132" xr:uid="{00000000-0005-0000-0000-00004E060000}"/>
    <cellStyle name="Input 5 3" xfId="1024" xr:uid="{00000000-0005-0000-0000-00004F060000}"/>
    <cellStyle name="Input 5 3 2" xfId="1025" xr:uid="{00000000-0005-0000-0000-000050060000}"/>
    <cellStyle name="Input 5 3 2 2" xfId="3925" xr:uid="{00000000-0005-0000-0000-000051060000}"/>
    <cellStyle name="Input 5 3 3" xfId="3258" xr:uid="{00000000-0005-0000-0000-000052060000}"/>
    <cellStyle name="Input 5 4" xfId="1026" xr:uid="{00000000-0005-0000-0000-000053060000}"/>
    <cellStyle name="Input 5 4 2" xfId="1027" xr:uid="{00000000-0005-0000-0000-000054060000}"/>
    <cellStyle name="Input 5 4 2 2" xfId="3887" xr:uid="{00000000-0005-0000-0000-000055060000}"/>
    <cellStyle name="Input 5 4 3" xfId="2999" xr:uid="{00000000-0005-0000-0000-000056060000}"/>
    <cellStyle name="Input 5 5" xfId="1028" xr:uid="{00000000-0005-0000-0000-000057060000}"/>
    <cellStyle name="Input 5 5 2" xfId="1029" xr:uid="{00000000-0005-0000-0000-000058060000}"/>
    <cellStyle name="Input 5 5 2 2" xfId="3902" xr:uid="{00000000-0005-0000-0000-000059060000}"/>
    <cellStyle name="Input 5 5 3" xfId="3043" xr:uid="{00000000-0005-0000-0000-00005A060000}"/>
    <cellStyle name="Input 5 6" xfId="1030" xr:uid="{00000000-0005-0000-0000-00005B060000}"/>
    <cellStyle name="Input 5 6 2" xfId="4556" xr:uid="{00000000-0005-0000-0000-00005C060000}"/>
    <cellStyle name="Input 5 7" xfId="3037" xr:uid="{00000000-0005-0000-0000-00005D060000}"/>
    <cellStyle name="Input 6" xfId="1031" xr:uid="{00000000-0005-0000-0000-00005E060000}"/>
    <cellStyle name="Input 6 2" xfId="1032" xr:uid="{00000000-0005-0000-0000-00005F060000}"/>
    <cellStyle name="Input 6 2 2" xfId="1033" xr:uid="{00000000-0005-0000-0000-000060060000}"/>
    <cellStyle name="Input 6 2 2 2" xfId="3995" xr:uid="{00000000-0005-0000-0000-000061060000}"/>
    <cellStyle name="Input 6 2 3" xfId="3328" xr:uid="{00000000-0005-0000-0000-000062060000}"/>
    <cellStyle name="Input 6 3" xfId="1034" xr:uid="{00000000-0005-0000-0000-000063060000}"/>
    <cellStyle name="Input 6 3 2" xfId="1035" xr:uid="{00000000-0005-0000-0000-000064060000}"/>
    <cellStyle name="Input 6 3 2 2" xfId="4173" xr:uid="{00000000-0005-0000-0000-000065060000}"/>
    <cellStyle name="Input 6 3 3" xfId="3506" xr:uid="{00000000-0005-0000-0000-000066060000}"/>
    <cellStyle name="Input 6 4" xfId="1036" xr:uid="{00000000-0005-0000-0000-000067060000}"/>
    <cellStyle name="Input 6 4 2" xfId="1037" xr:uid="{00000000-0005-0000-0000-000068060000}"/>
    <cellStyle name="Input 6 4 2 2" xfId="4362" xr:uid="{00000000-0005-0000-0000-000069060000}"/>
    <cellStyle name="Input 6 4 3" xfId="3695" xr:uid="{00000000-0005-0000-0000-00006A060000}"/>
    <cellStyle name="Input 6 5" xfId="3099" xr:uid="{00000000-0005-0000-0000-00006B060000}"/>
    <cellStyle name="Input 7" xfId="1038" xr:uid="{00000000-0005-0000-0000-00006C060000}"/>
    <cellStyle name="Input 7 2" xfId="4488" xr:uid="{00000000-0005-0000-0000-00006D060000}"/>
    <cellStyle name="Input_בחירה מרשימה" xfId="1039" xr:uid="{00000000-0005-0000-0000-00006E060000}"/>
    <cellStyle name="Linked Cell" xfId="35" xr:uid="{00000000-0005-0000-0000-00006F060000}"/>
    <cellStyle name="Linked Cell 2" xfId="127" xr:uid="{00000000-0005-0000-0000-000070060000}"/>
    <cellStyle name="Linked Cell 3" xfId="1040" xr:uid="{00000000-0005-0000-0000-000071060000}"/>
    <cellStyle name="Neutral" xfId="36" xr:uid="{00000000-0005-0000-0000-000072060000}"/>
    <cellStyle name="Neutral 2" xfId="128" xr:uid="{00000000-0005-0000-0000-000073060000}"/>
    <cellStyle name="Neutral 3" xfId="1041" xr:uid="{00000000-0005-0000-0000-000074060000}"/>
    <cellStyle name="Normal" xfId="0" builtinId="0"/>
    <cellStyle name="Normal 10" xfId="129" xr:uid="{00000000-0005-0000-0000-000076060000}"/>
    <cellStyle name="Normal 10 2" xfId="130" xr:uid="{00000000-0005-0000-0000-000077060000}"/>
    <cellStyle name="Normal 10 2 2" xfId="1042" xr:uid="{00000000-0005-0000-0000-000078060000}"/>
    <cellStyle name="Normal 10 2 3" xfId="1043" xr:uid="{00000000-0005-0000-0000-000079060000}"/>
    <cellStyle name="Normal 10 3" xfId="1044" xr:uid="{00000000-0005-0000-0000-00007A060000}"/>
    <cellStyle name="Normal 10 4" xfId="1045" xr:uid="{00000000-0005-0000-0000-00007B060000}"/>
    <cellStyle name="Normal 10_בחירה מרשימה" xfId="1046" xr:uid="{00000000-0005-0000-0000-00007C060000}"/>
    <cellStyle name="Normal 11" xfId="131" xr:uid="{00000000-0005-0000-0000-00007D060000}"/>
    <cellStyle name="Normal 11 2" xfId="1047" xr:uid="{00000000-0005-0000-0000-00007E060000}"/>
    <cellStyle name="Normal 12" xfId="132" xr:uid="{00000000-0005-0000-0000-00007F060000}"/>
    <cellStyle name="Normal 12 2" xfId="1048" xr:uid="{00000000-0005-0000-0000-000080060000}"/>
    <cellStyle name="Normal 12 3" xfId="1049" xr:uid="{00000000-0005-0000-0000-000081060000}"/>
    <cellStyle name="Normal 12 4" xfId="1050" xr:uid="{00000000-0005-0000-0000-000082060000}"/>
    <cellStyle name="Normal 13" xfId="133" xr:uid="{00000000-0005-0000-0000-000083060000}"/>
    <cellStyle name="Normal 13 2" xfId="1051" xr:uid="{00000000-0005-0000-0000-000084060000}"/>
    <cellStyle name="Normal 13 3" xfId="1052" xr:uid="{00000000-0005-0000-0000-000085060000}"/>
    <cellStyle name="Normal 14" xfId="134" xr:uid="{00000000-0005-0000-0000-000086060000}"/>
    <cellStyle name="Normal 14 2" xfId="1053" xr:uid="{00000000-0005-0000-0000-000087060000}"/>
    <cellStyle name="Normal 14 3" xfId="1054" xr:uid="{00000000-0005-0000-0000-000088060000}"/>
    <cellStyle name="Normal 15" xfId="135" xr:uid="{00000000-0005-0000-0000-000089060000}"/>
    <cellStyle name="Normal 15 2" xfId="1055" xr:uid="{00000000-0005-0000-0000-00008A060000}"/>
    <cellStyle name="Normal 15 3" xfId="1056" xr:uid="{00000000-0005-0000-0000-00008B060000}"/>
    <cellStyle name="Normal 16" xfId="136" xr:uid="{00000000-0005-0000-0000-00008C060000}"/>
    <cellStyle name="Normal 16 2" xfId="1057" xr:uid="{00000000-0005-0000-0000-00008D060000}"/>
    <cellStyle name="Normal 16 3" xfId="1058" xr:uid="{00000000-0005-0000-0000-00008E060000}"/>
    <cellStyle name="Normal 17" xfId="233" xr:uid="{00000000-0005-0000-0000-00008F060000}"/>
    <cellStyle name="Normal 17 2" xfId="1059" xr:uid="{00000000-0005-0000-0000-000090060000}"/>
    <cellStyle name="Normal 17 3" xfId="1060" xr:uid="{00000000-0005-0000-0000-000091060000}"/>
    <cellStyle name="Normal 18" xfId="1061" xr:uid="{00000000-0005-0000-0000-000092060000}"/>
    <cellStyle name="Normal 18 2" xfId="1062" xr:uid="{00000000-0005-0000-0000-000093060000}"/>
    <cellStyle name="Normal 19" xfId="232" xr:uid="{00000000-0005-0000-0000-000094060000}"/>
    <cellStyle name="Normal 2" xfId="44" xr:uid="{00000000-0005-0000-0000-000095060000}"/>
    <cellStyle name="Normal 2 2" xfId="48" xr:uid="{00000000-0005-0000-0000-000096060000}"/>
    <cellStyle name="Normal 2 2 2" xfId="137" xr:uid="{00000000-0005-0000-0000-000097060000}"/>
    <cellStyle name="Normal 2 2 3" xfId="1063" xr:uid="{00000000-0005-0000-0000-000098060000}"/>
    <cellStyle name="Normal 2 2_בחירה מרשימה" xfId="1064" xr:uid="{00000000-0005-0000-0000-000099060000}"/>
    <cellStyle name="Normal 2 3" xfId="83" xr:uid="{00000000-0005-0000-0000-00009A060000}"/>
    <cellStyle name="Normal 2 3 2" xfId="1065" xr:uid="{00000000-0005-0000-0000-00009B060000}"/>
    <cellStyle name="Normal 2 3 3" xfId="2632" xr:uid="{00000000-0005-0000-0000-00009C060000}"/>
    <cellStyle name="Normal 2 4" xfId="1066" xr:uid="{00000000-0005-0000-0000-00009D060000}"/>
    <cellStyle name="Normal 2 5" xfId="138" xr:uid="{00000000-0005-0000-0000-00009E060000}"/>
    <cellStyle name="Normal 2 5 2" xfId="1067" xr:uid="{00000000-0005-0000-0000-00009F060000}"/>
    <cellStyle name="Normal 2 5 3" xfId="1068" xr:uid="{00000000-0005-0000-0000-0000A0060000}"/>
    <cellStyle name="Normal 2_בחירה מרשימה" xfId="1069" xr:uid="{00000000-0005-0000-0000-0000A1060000}"/>
    <cellStyle name="Normal 20" xfId="1070" xr:uid="{00000000-0005-0000-0000-0000A2060000}"/>
    <cellStyle name="Normal 21" xfId="1071" xr:uid="{00000000-0005-0000-0000-0000A3060000}"/>
    <cellStyle name="Normal 22" xfId="1072" xr:uid="{00000000-0005-0000-0000-0000A4060000}"/>
    <cellStyle name="Normal 23" xfId="1073" xr:uid="{00000000-0005-0000-0000-0000A5060000}"/>
    <cellStyle name="Normal 24" xfId="1074" xr:uid="{00000000-0005-0000-0000-0000A6060000}"/>
    <cellStyle name="Normal 25" xfId="234" xr:uid="{00000000-0005-0000-0000-0000A7060000}"/>
    <cellStyle name="Normal 26" xfId="1075" xr:uid="{00000000-0005-0000-0000-0000A8060000}"/>
    <cellStyle name="Normal 27" xfId="1076" xr:uid="{00000000-0005-0000-0000-0000A9060000}"/>
    <cellStyle name="Normal 28" xfId="1077" xr:uid="{00000000-0005-0000-0000-0000AA060000}"/>
    <cellStyle name="Normal 29" xfId="1078" xr:uid="{00000000-0005-0000-0000-0000AB060000}"/>
    <cellStyle name="Normal 3" xfId="45" xr:uid="{00000000-0005-0000-0000-0000AC060000}"/>
    <cellStyle name="Normal 3 10" xfId="1079" xr:uid="{00000000-0005-0000-0000-0000AD060000}"/>
    <cellStyle name="Normal 3 11" xfId="1080" xr:uid="{00000000-0005-0000-0000-0000AE060000}"/>
    <cellStyle name="Normal 3 2" xfId="51" xr:uid="{00000000-0005-0000-0000-0000AF060000}"/>
    <cellStyle name="Normal 3 2 10" xfId="1081" xr:uid="{00000000-0005-0000-0000-0000B0060000}"/>
    <cellStyle name="Normal 3 2 11" xfId="1082" xr:uid="{00000000-0005-0000-0000-0000B1060000}"/>
    <cellStyle name="Normal 3 2 2" xfId="53" xr:uid="{00000000-0005-0000-0000-0000B2060000}"/>
    <cellStyle name="Normal 3 2 2 2" xfId="78" xr:uid="{00000000-0005-0000-0000-0000B3060000}"/>
    <cellStyle name="Normal 3 2 2 2 2" xfId="139" xr:uid="{00000000-0005-0000-0000-0000B4060000}"/>
    <cellStyle name="Normal 3 2 2 2 3" xfId="1083" xr:uid="{00000000-0005-0000-0000-0000B5060000}"/>
    <cellStyle name="Normal 3 2 2 2_בחירה מרשימה" xfId="1084" xr:uid="{00000000-0005-0000-0000-0000B6060000}"/>
    <cellStyle name="Normal 3 2 2 3" xfId="140" xr:uid="{00000000-0005-0000-0000-0000B7060000}"/>
    <cellStyle name="Normal 3 2 2 3 2" xfId="1085" xr:uid="{00000000-0005-0000-0000-0000B8060000}"/>
    <cellStyle name="Normal 3 2 2 3 3" xfId="1086" xr:uid="{00000000-0005-0000-0000-0000B9060000}"/>
    <cellStyle name="Normal 3 2 2 4" xfId="1087" xr:uid="{00000000-0005-0000-0000-0000BA060000}"/>
    <cellStyle name="Normal 3 2 2 4 2" xfId="1088" xr:uid="{00000000-0005-0000-0000-0000BB060000}"/>
    <cellStyle name="Normal 3 2 2 5" xfId="1089" xr:uid="{00000000-0005-0000-0000-0000BC060000}"/>
    <cellStyle name="Normal 3 2 2 6" xfId="1090" xr:uid="{00000000-0005-0000-0000-0000BD060000}"/>
    <cellStyle name="Normal 3 2 2_בחירה מרשימה" xfId="1091" xr:uid="{00000000-0005-0000-0000-0000BE060000}"/>
    <cellStyle name="Normal 3 2 3" xfId="141" xr:uid="{00000000-0005-0000-0000-0000BF060000}"/>
    <cellStyle name="Normal 3 2 3 2" xfId="142" xr:uid="{00000000-0005-0000-0000-0000C0060000}"/>
    <cellStyle name="Normal 3 2 3 3" xfId="1092" xr:uid="{00000000-0005-0000-0000-0000C1060000}"/>
    <cellStyle name="Normal 3 2 3_בחירה מרשימה" xfId="1093" xr:uid="{00000000-0005-0000-0000-0000C2060000}"/>
    <cellStyle name="Normal 3 2 4" xfId="143" xr:uid="{00000000-0005-0000-0000-0000C3060000}"/>
    <cellStyle name="Normal 3 2 5" xfId="1094" xr:uid="{00000000-0005-0000-0000-0000C4060000}"/>
    <cellStyle name="Normal 3 2 6" xfId="1095" xr:uid="{00000000-0005-0000-0000-0000C5060000}"/>
    <cellStyle name="Normal 3 2 7" xfId="1096" xr:uid="{00000000-0005-0000-0000-0000C6060000}"/>
    <cellStyle name="Normal 3 2 8" xfId="1097" xr:uid="{00000000-0005-0000-0000-0000C7060000}"/>
    <cellStyle name="Normal 3 2 9" xfId="1098" xr:uid="{00000000-0005-0000-0000-0000C8060000}"/>
    <cellStyle name="Normal 3 2_בחירה מרשימה" xfId="1099" xr:uid="{00000000-0005-0000-0000-0000C9060000}"/>
    <cellStyle name="Normal 3 3" xfId="69" xr:uid="{00000000-0005-0000-0000-0000CA060000}"/>
    <cellStyle name="Normal 3 3 2" xfId="144" xr:uid="{00000000-0005-0000-0000-0000CB060000}"/>
    <cellStyle name="Normal 3 3 2 2" xfId="145" xr:uid="{00000000-0005-0000-0000-0000CC060000}"/>
    <cellStyle name="Normal 3 3 2 2 2" xfId="1100" xr:uid="{00000000-0005-0000-0000-0000CD060000}"/>
    <cellStyle name="Normal 3 3 2 2 3" xfId="1101" xr:uid="{00000000-0005-0000-0000-0000CE060000}"/>
    <cellStyle name="Normal 3 3 2 3" xfId="1102" xr:uid="{00000000-0005-0000-0000-0000CF060000}"/>
    <cellStyle name="Normal 3 3 2 4" xfId="1103" xr:uid="{00000000-0005-0000-0000-0000D0060000}"/>
    <cellStyle name="Normal 3 3 2_בחירה מרשימה" xfId="1104" xr:uid="{00000000-0005-0000-0000-0000D1060000}"/>
    <cellStyle name="Normal 3 3 3" xfId="146" xr:uid="{00000000-0005-0000-0000-0000D2060000}"/>
    <cellStyle name="Normal 3 3 3 2" xfId="1105" xr:uid="{00000000-0005-0000-0000-0000D3060000}"/>
    <cellStyle name="Normal 3 3 3 3" xfId="1106" xr:uid="{00000000-0005-0000-0000-0000D4060000}"/>
    <cellStyle name="Normal 3 3 4" xfId="1107" xr:uid="{00000000-0005-0000-0000-0000D5060000}"/>
    <cellStyle name="Normal 3 3 5" xfId="1108" xr:uid="{00000000-0005-0000-0000-0000D6060000}"/>
    <cellStyle name="Normal 3 3_בחירה מרשימה" xfId="1109" xr:uid="{00000000-0005-0000-0000-0000D7060000}"/>
    <cellStyle name="Normal 3 4" xfId="147" xr:uid="{00000000-0005-0000-0000-0000D8060000}"/>
    <cellStyle name="Normal 3 5" xfId="1110" xr:uid="{00000000-0005-0000-0000-0000D9060000}"/>
    <cellStyle name="Normal 3 6" xfId="1111" xr:uid="{00000000-0005-0000-0000-0000DA060000}"/>
    <cellStyle name="Normal 3 6 2" xfId="1112" xr:uid="{00000000-0005-0000-0000-0000DB060000}"/>
    <cellStyle name="Normal 3 7" xfId="1113" xr:uid="{00000000-0005-0000-0000-0000DC060000}"/>
    <cellStyle name="Normal 3 8" xfId="1114" xr:uid="{00000000-0005-0000-0000-0000DD060000}"/>
    <cellStyle name="Normal 3 9" xfId="1115" xr:uid="{00000000-0005-0000-0000-0000DE060000}"/>
    <cellStyle name="Normal 3_בחירה מרשימה" xfId="1116" xr:uid="{00000000-0005-0000-0000-0000DF060000}"/>
    <cellStyle name="Normal 30" xfId="1117" xr:uid="{00000000-0005-0000-0000-0000E0060000}"/>
    <cellStyle name="Normal 31" xfId="1118" xr:uid="{00000000-0005-0000-0000-0000E1060000}"/>
    <cellStyle name="Normal 32" xfId="2623" xr:uid="{00000000-0005-0000-0000-0000E2060000}"/>
    <cellStyle name="Normal 33" xfId="4643" xr:uid="{6E3DF494-8E1F-4BBC-B632-D02416F7DD6A}"/>
    <cellStyle name="Normal 4" xfId="46" xr:uid="{00000000-0005-0000-0000-0000E3060000}"/>
    <cellStyle name="Normal 4 10" xfId="1119" xr:uid="{00000000-0005-0000-0000-0000E4060000}"/>
    <cellStyle name="Normal 4 11" xfId="1120" xr:uid="{00000000-0005-0000-0000-0000E5060000}"/>
    <cellStyle name="Normal 4 12" xfId="1121" xr:uid="{00000000-0005-0000-0000-0000E6060000}"/>
    <cellStyle name="Normal 4 13" xfId="1122" xr:uid="{00000000-0005-0000-0000-0000E7060000}"/>
    <cellStyle name="Normal 4 2" xfId="55" xr:uid="{00000000-0005-0000-0000-0000E8060000}"/>
    <cellStyle name="Normal 4 2 2" xfId="148" xr:uid="{00000000-0005-0000-0000-0000E9060000}"/>
    <cellStyle name="Normal 4 2 2 2" xfId="149" xr:uid="{00000000-0005-0000-0000-0000EA060000}"/>
    <cellStyle name="Normal 4 2 2 2 2" xfId="150" xr:uid="{00000000-0005-0000-0000-0000EB060000}"/>
    <cellStyle name="Normal 4 2 2 2 2 2" xfId="151" xr:uid="{00000000-0005-0000-0000-0000EC060000}"/>
    <cellStyle name="Normal 4 2 2 2 2 2 2" xfId="1123" xr:uid="{00000000-0005-0000-0000-0000ED060000}"/>
    <cellStyle name="Normal 4 2 2 2 2 2 3" xfId="1124" xr:uid="{00000000-0005-0000-0000-0000EE060000}"/>
    <cellStyle name="Normal 4 2 2 2 2 3" xfId="1125" xr:uid="{00000000-0005-0000-0000-0000EF060000}"/>
    <cellStyle name="Normal 4 2 2 2 2 4" xfId="1126" xr:uid="{00000000-0005-0000-0000-0000F0060000}"/>
    <cellStyle name="Normal 4 2 2 2 2_בחירה מרשימה" xfId="1127" xr:uid="{00000000-0005-0000-0000-0000F1060000}"/>
    <cellStyle name="Normal 4 2 2 2 3" xfId="152" xr:uid="{00000000-0005-0000-0000-0000F2060000}"/>
    <cellStyle name="Normal 4 2 2 2 3 2" xfId="1128" xr:uid="{00000000-0005-0000-0000-0000F3060000}"/>
    <cellStyle name="Normal 4 2 2 2 3 3" xfId="1129" xr:uid="{00000000-0005-0000-0000-0000F4060000}"/>
    <cellStyle name="Normal 4 2 2 2 4" xfId="1130" xr:uid="{00000000-0005-0000-0000-0000F5060000}"/>
    <cellStyle name="Normal 4 2 2 2 5" xfId="1131" xr:uid="{00000000-0005-0000-0000-0000F6060000}"/>
    <cellStyle name="Normal 4 2 2 2_בחירה מרשימה" xfId="1132" xr:uid="{00000000-0005-0000-0000-0000F7060000}"/>
    <cellStyle name="Normal 4 2 2 3" xfId="153" xr:uid="{00000000-0005-0000-0000-0000F8060000}"/>
    <cellStyle name="Normal 4 2 2 3 2" xfId="154" xr:uid="{00000000-0005-0000-0000-0000F9060000}"/>
    <cellStyle name="Normal 4 2 2 3 2 2" xfId="1133" xr:uid="{00000000-0005-0000-0000-0000FA060000}"/>
    <cellStyle name="Normal 4 2 2 3 2 3" xfId="1134" xr:uid="{00000000-0005-0000-0000-0000FB060000}"/>
    <cellStyle name="Normal 4 2 2 3 3" xfId="1135" xr:uid="{00000000-0005-0000-0000-0000FC060000}"/>
    <cellStyle name="Normal 4 2 2 3 4" xfId="1136" xr:uid="{00000000-0005-0000-0000-0000FD060000}"/>
    <cellStyle name="Normal 4 2 2 3_בחירה מרשימה" xfId="1137" xr:uid="{00000000-0005-0000-0000-0000FE060000}"/>
    <cellStyle name="Normal 4 2 2 4" xfId="155" xr:uid="{00000000-0005-0000-0000-0000FF060000}"/>
    <cellStyle name="Normal 4 2 2 4 2" xfId="1138" xr:uid="{00000000-0005-0000-0000-000000070000}"/>
    <cellStyle name="Normal 4 2 2 4 3" xfId="1139" xr:uid="{00000000-0005-0000-0000-000001070000}"/>
    <cellStyle name="Normal 4 2 2 5" xfId="1140" xr:uid="{00000000-0005-0000-0000-000002070000}"/>
    <cellStyle name="Normal 4 2 2 6" xfId="1141" xr:uid="{00000000-0005-0000-0000-000003070000}"/>
    <cellStyle name="Normal 4 2 2_בחירה מרשימה" xfId="1142" xr:uid="{00000000-0005-0000-0000-000004070000}"/>
    <cellStyle name="Normal 4 2 3" xfId="156" xr:uid="{00000000-0005-0000-0000-000005070000}"/>
    <cellStyle name="Normal 4 2 3 2" xfId="157" xr:uid="{00000000-0005-0000-0000-000006070000}"/>
    <cellStyle name="Normal 4 2 3 2 2" xfId="158" xr:uid="{00000000-0005-0000-0000-000007070000}"/>
    <cellStyle name="Normal 4 2 3 2 2 2" xfId="1143" xr:uid="{00000000-0005-0000-0000-000008070000}"/>
    <cellStyle name="Normal 4 2 3 2 2 3" xfId="1144" xr:uid="{00000000-0005-0000-0000-000009070000}"/>
    <cellStyle name="Normal 4 2 3 2 3" xfId="1145" xr:uid="{00000000-0005-0000-0000-00000A070000}"/>
    <cellStyle name="Normal 4 2 3 2 4" xfId="1146" xr:uid="{00000000-0005-0000-0000-00000B070000}"/>
    <cellStyle name="Normal 4 2 3 2_בחירה מרשימה" xfId="1147" xr:uid="{00000000-0005-0000-0000-00000C070000}"/>
    <cellStyle name="Normal 4 2 3 3" xfId="159" xr:uid="{00000000-0005-0000-0000-00000D070000}"/>
    <cellStyle name="Normal 4 2 3 3 2" xfId="1148" xr:uid="{00000000-0005-0000-0000-00000E070000}"/>
    <cellStyle name="Normal 4 2 3 3 3" xfId="1149" xr:uid="{00000000-0005-0000-0000-00000F070000}"/>
    <cellStyle name="Normal 4 2 3 4" xfId="1150" xr:uid="{00000000-0005-0000-0000-000010070000}"/>
    <cellStyle name="Normal 4 2 3 5" xfId="1151" xr:uid="{00000000-0005-0000-0000-000011070000}"/>
    <cellStyle name="Normal 4 2 3_בחירה מרשימה" xfId="1152" xr:uid="{00000000-0005-0000-0000-000012070000}"/>
    <cellStyle name="Normal 4 2 4" xfId="160" xr:uid="{00000000-0005-0000-0000-000013070000}"/>
    <cellStyle name="Normal 4 2 4 2" xfId="161" xr:uid="{00000000-0005-0000-0000-000014070000}"/>
    <cellStyle name="Normal 4 2 4 2 2" xfId="1153" xr:uid="{00000000-0005-0000-0000-000015070000}"/>
    <cellStyle name="Normal 4 2 4 2 3" xfId="1154" xr:uid="{00000000-0005-0000-0000-000016070000}"/>
    <cellStyle name="Normal 4 2 4 3" xfId="1155" xr:uid="{00000000-0005-0000-0000-000017070000}"/>
    <cellStyle name="Normal 4 2 4 4" xfId="1156" xr:uid="{00000000-0005-0000-0000-000018070000}"/>
    <cellStyle name="Normal 4 2 4_בחירה מרשימה" xfId="1157" xr:uid="{00000000-0005-0000-0000-000019070000}"/>
    <cellStyle name="Normal 4 2 5" xfId="162" xr:uid="{00000000-0005-0000-0000-00001A070000}"/>
    <cellStyle name="Normal 4 2 5 2" xfId="1158" xr:uid="{00000000-0005-0000-0000-00001B070000}"/>
    <cellStyle name="Normal 4 2 5 3" xfId="1159" xr:uid="{00000000-0005-0000-0000-00001C070000}"/>
    <cellStyle name="Normal 4 2 6" xfId="1160" xr:uid="{00000000-0005-0000-0000-00001D070000}"/>
    <cellStyle name="Normal 4 2 7" xfId="1161" xr:uid="{00000000-0005-0000-0000-00001E070000}"/>
    <cellStyle name="Normal 4 2_בחירה מרשימה" xfId="1162" xr:uid="{00000000-0005-0000-0000-00001F070000}"/>
    <cellStyle name="Normal 4 3" xfId="56" xr:uid="{00000000-0005-0000-0000-000020070000}"/>
    <cellStyle name="Normal 4 3 2" xfId="163" xr:uid="{00000000-0005-0000-0000-000021070000}"/>
    <cellStyle name="Normal 4 3 2 2" xfId="164" xr:uid="{00000000-0005-0000-0000-000022070000}"/>
    <cellStyle name="Normal 4 3 2 3" xfId="1163" xr:uid="{00000000-0005-0000-0000-000023070000}"/>
    <cellStyle name="Normal 4 3 2_בחירה מרשימה" xfId="1164" xr:uid="{00000000-0005-0000-0000-000024070000}"/>
    <cellStyle name="Normal 4 3 3" xfId="165" xr:uid="{00000000-0005-0000-0000-000025070000}"/>
    <cellStyle name="Normal 4 3 4" xfId="1165" xr:uid="{00000000-0005-0000-0000-000026070000}"/>
    <cellStyle name="Normal 4 3_בחירה מרשימה" xfId="1166" xr:uid="{00000000-0005-0000-0000-000027070000}"/>
    <cellStyle name="Normal 4 4" xfId="166" xr:uid="{00000000-0005-0000-0000-000028070000}"/>
    <cellStyle name="Normal 4 4 2" xfId="167" xr:uid="{00000000-0005-0000-0000-000029070000}"/>
    <cellStyle name="Normal 4 4 2 2" xfId="168" xr:uid="{00000000-0005-0000-0000-00002A070000}"/>
    <cellStyle name="Normal 4 4 2 2 2" xfId="169" xr:uid="{00000000-0005-0000-0000-00002B070000}"/>
    <cellStyle name="Normal 4 4 2 2 2 2" xfId="1167" xr:uid="{00000000-0005-0000-0000-00002C070000}"/>
    <cellStyle name="Normal 4 4 2 2 2 3" xfId="1168" xr:uid="{00000000-0005-0000-0000-00002D070000}"/>
    <cellStyle name="Normal 4 4 2 2 3" xfId="1169" xr:uid="{00000000-0005-0000-0000-00002E070000}"/>
    <cellStyle name="Normal 4 4 2 2 4" xfId="1170" xr:uid="{00000000-0005-0000-0000-00002F070000}"/>
    <cellStyle name="Normal 4 4 2 2_בחירה מרשימה" xfId="1171" xr:uid="{00000000-0005-0000-0000-000030070000}"/>
    <cellStyle name="Normal 4 4 2 3" xfId="170" xr:uid="{00000000-0005-0000-0000-000031070000}"/>
    <cellStyle name="Normal 4 4 2 3 2" xfId="1172" xr:uid="{00000000-0005-0000-0000-000032070000}"/>
    <cellStyle name="Normal 4 4 2 3 3" xfId="1173" xr:uid="{00000000-0005-0000-0000-000033070000}"/>
    <cellStyle name="Normal 4 4 2 4" xfId="1174" xr:uid="{00000000-0005-0000-0000-000034070000}"/>
    <cellStyle name="Normal 4 4 2 5" xfId="1175" xr:uid="{00000000-0005-0000-0000-000035070000}"/>
    <cellStyle name="Normal 4 4 2_בחירה מרשימה" xfId="1176" xr:uid="{00000000-0005-0000-0000-000036070000}"/>
    <cellStyle name="Normal 4 4 3" xfId="171" xr:uid="{00000000-0005-0000-0000-000037070000}"/>
    <cellStyle name="Normal 4 4 3 2" xfId="172" xr:uid="{00000000-0005-0000-0000-000038070000}"/>
    <cellStyle name="Normal 4 4 3 2 2" xfId="1177" xr:uid="{00000000-0005-0000-0000-000039070000}"/>
    <cellStyle name="Normal 4 4 3 2 3" xfId="1178" xr:uid="{00000000-0005-0000-0000-00003A070000}"/>
    <cellStyle name="Normal 4 4 3 3" xfId="1179" xr:uid="{00000000-0005-0000-0000-00003B070000}"/>
    <cellStyle name="Normal 4 4 3 4" xfId="1180" xr:uid="{00000000-0005-0000-0000-00003C070000}"/>
    <cellStyle name="Normal 4 4 3_בחירה מרשימה" xfId="1181" xr:uid="{00000000-0005-0000-0000-00003D070000}"/>
    <cellStyle name="Normal 4 4 4" xfId="173" xr:uid="{00000000-0005-0000-0000-00003E070000}"/>
    <cellStyle name="Normal 4 4 4 2" xfId="1182" xr:uid="{00000000-0005-0000-0000-00003F070000}"/>
    <cellStyle name="Normal 4 4 4 3" xfId="1183" xr:uid="{00000000-0005-0000-0000-000040070000}"/>
    <cellStyle name="Normal 4 4 5" xfId="1184" xr:uid="{00000000-0005-0000-0000-000041070000}"/>
    <cellStyle name="Normal 4 4 6" xfId="1185" xr:uid="{00000000-0005-0000-0000-000042070000}"/>
    <cellStyle name="Normal 4 4_בחירה מרשימה" xfId="1186" xr:uid="{00000000-0005-0000-0000-000043070000}"/>
    <cellStyle name="Normal 4 5" xfId="174" xr:uid="{00000000-0005-0000-0000-000044070000}"/>
    <cellStyle name="Normal 4 5 2" xfId="175" xr:uid="{00000000-0005-0000-0000-000045070000}"/>
    <cellStyle name="Normal 4 5 2 2" xfId="176" xr:uid="{00000000-0005-0000-0000-000046070000}"/>
    <cellStyle name="Normal 4 5 2 2 2" xfId="1187" xr:uid="{00000000-0005-0000-0000-000047070000}"/>
    <cellStyle name="Normal 4 5 2 2 3" xfId="1188" xr:uid="{00000000-0005-0000-0000-000048070000}"/>
    <cellStyle name="Normal 4 5 2 3" xfId="1189" xr:uid="{00000000-0005-0000-0000-000049070000}"/>
    <cellStyle name="Normal 4 5 2 4" xfId="1190" xr:uid="{00000000-0005-0000-0000-00004A070000}"/>
    <cellStyle name="Normal 4 5 2_בחירה מרשימה" xfId="1191" xr:uid="{00000000-0005-0000-0000-00004B070000}"/>
    <cellStyle name="Normal 4 5 3" xfId="177" xr:uid="{00000000-0005-0000-0000-00004C070000}"/>
    <cellStyle name="Normal 4 5 3 2" xfId="1192" xr:uid="{00000000-0005-0000-0000-00004D070000}"/>
    <cellStyle name="Normal 4 5 3 3" xfId="1193" xr:uid="{00000000-0005-0000-0000-00004E070000}"/>
    <cellStyle name="Normal 4 5 4" xfId="1194" xr:uid="{00000000-0005-0000-0000-00004F070000}"/>
    <cellStyle name="Normal 4 5 5" xfId="1195" xr:uid="{00000000-0005-0000-0000-000050070000}"/>
    <cellStyle name="Normal 4 5_בחירה מרשימה" xfId="1196" xr:uid="{00000000-0005-0000-0000-000051070000}"/>
    <cellStyle name="Normal 4 6" xfId="178" xr:uid="{00000000-0005-0000-0000-000052070000}"/>
    <cellStyle name="Normal 4 6 2" xfId="1197" xr:uid="{00000000-0005-0000-0000-000053070000}"/>
    <cellStyle name="Normal 4 6 2 2" xfId="1198" xr:uid="{00000000-0005-0000-0000-000054070000}"/>
    <cellStyle name="Normal 4 6_בחירה מרשימה" xfId="1199" xr:uid="{00000000-0005-0000-0000-000055070000}"/>
    <cellStyle name="Normal 4 7" xfId="1200" xr:uid="{00000000-0005-0000-0000-000056070000}"/>
    <cellStyle name="Normal 4 8" xfId="1201" xr:uid="{00000000-0005-0000-0000-000057070000}"/>
    <cellStyle name="Normal 4 9" xfId="1202" xr:uid="{00000000-0005-0000-0000-000058070000}"/>
    <cellStyle name="Normal 4_בחירה מרשימה" xfId="1203" xr:uid="{00000000-0005-0000-0000-000059070000}"/>
    <cellStyle name="Normal 5" xfId="47" xr:uid="{00000000-0005-0000-0000-00005A070000}"/>
    <cellStyle name="Normal 5 10" xfId="1204" xr:uid="{00000000-0005-0000-0000-00005B070000}"/>
    <cellStyle name="Normal 5 10 2" xfId="1205" xr:uid="{00000000-0005-0000-0000-00005C070000}"/>
    <cellStyle name="Normal 5 11" xfId="1206" xr:uid="{00000000-0005-0000-0000-00005D070000}"/>
    <cellStyle name="Normal 5 12" xfId="1207" xr:uid="{00000000-0005-0000-0000-00005E070000}"/>
    <cellStyle name="Normal 5 13" xfId="1208" xr:uid="{00000000-0005-0000-0000-00005F070000}"/>
    <cellStyle name="Normal 5 14" xfId="1209" xr:uid="{00000000-0005-0000-0000-000060070000}"/>
    <cellStyle name="Normal 5 2" xfId="50" xr:uid="{00000000-0005-0000-0000-000061070000}"/>
    <cellStyle name="Normal 5 2 10" xfId="1210" xr:uid="{00000000-0005-0000-0000-000062070000}"/>
    <cellStyle name="Normal 5 2 11" xfId="231" xr:uid="{00000000-0005-0000-0000-000063070000}"/>
    <cellStyle name="Normal 5 2 2" xfId="72" xr:uid="{00000000-0005-0000-0000-000064070000}"/>
    <cellStyle name="Normal 5 2 2 2" xfId="75" xr:uid="{00000000-0005-0000-0000-000065070000}"/>
    <cellStyle name="Normal 5 2 2 2 10" xfId="1211" xr:uid="{00000000-0005-0000-0000-000066070000}"/>
    <cellStyle name="Normal 5 2 2 2 11" xfId="1212" xr:uid="{00000000-0005-0000-0000-000067070000}"/>
    <cellStyle name="Normal 5 2 2 2 2" xfId="84" xr:uid="{00000000-0005-0000-0000-000068070000}"/>
    <cellStyle name="Normal 5 2 2 2 2 2" xfId="85" xr:uid="{00000000-0005-0000-0000-000069070000}"/>
    <cellStyle name="Normal 5 2 2 2 2 2 2" xfId="2633" xr:uid="{00000000-0005-0000-0000-00006A070000}"/>
    <cellStyle name="Normal 5 2 2 2 2 3" xfId="1213" xr:uid="{00000000-0005-0000-0000-00006B070000}"/>
    <cellStyle name="Normal 5 2 2 2 2 4" xfId="2626" xr:uid="{00000000-0005-0000-0000-00006C070000}"/>
    <cellStyle name="Normal 5 2 2 2 2_בחירה מרשימה" xfId="1214" xr:uid="{00000000-0005-0000-0000-00006D070000}"/>
    <cellStyle name="Normal 5 2 2 2 3" xfId="179" xr:uid="{00000000-0005-0000-0000-00006E070000}"/>
    <cellStyle name="Normal 5 2 2 2 4" xfId="1215" xr:uid="{00000000-0005-0000-0000-00006F070000}"/>
    <cellStyle name="Normal 5 2 2 2 5" xfId="1216" xr:uid="{00000000-0005-0000-0000-000070070000}"/>
    <cellStyle name="Normal 5 2 2 2 5 2" xfId="1217" xr:uid="{00000000-0005-0000-0000-000071070000}"/>
    <cellStyle name="Normal 5 2 2 2 6" xfId="1218" xr:uid="{00000000-0005-0000-0000-000072070000}"/>
    <cellStyle name="Normal 5 2 2 2 7" xfId="1219" xr:uid="{00000000-0005-0000-0000-000073070000}"/>
    <cellStyle name="Normal 5 2 2 2 8" xfId="1220" xr:uid="{00000000-0005-0000-0000-000074070000}"/>
    <cellStyle name="Normal 5 2 2 2 9" xfId="1221" xr:uid="{00000000-0005-0000-0000-000075070000}"/>
    <cellStyle name="Normal 5 2 2 2_בחירה מרשימה" xfId="1222" xr:uid="{00000000-0005-0000-0000-000076070000}"/>
    <cellStyle name="Normal 5 2 2 3" xfId="180" xr:uid="{00000000-0005-0000-0000-000077070000}"/>
    <cellStyle name="Normal 5 2 2 3 2" xfId="181" xr:uid="{00000000-0005-0000-0000-000078070000}"/>
    <cellStyle name="Normal 5 2 2 3 3" xfId="1223" xr:uid="{00000000-0005-0000-0000-000079070000}"/>
    <cellStyle name="Normal 5 2 2 3_בחירה מרשימה" xfId="1224" xr:uid="{00000000-0005-0000-0000-00007A070000}"/>
    <cellStyle name="Normal 5 2 2 4" xfId="182" xr:uid="{00000000-0005-0000-0000-00007B070000}"/>
    <cellStyle name="Normal 5 2 2 5" xfId="1225" xr:uid="{00000000-0005-0000-0000-00007C070000}"/>
    <cellStyle name="Normal 5 2 2 6" xfId="2625" xr:uid="{00000000-0005-0000-0000-00007D070000}"/>
    <cellStyle name="Normal 5 2 2_בחירה מרשימה" xfId="1226" xr:uid="{00000000-0005-0000-0000-00007E070000}"/>
    <cellStyle name="Normal 5 2 3" xfId="183" xr:uid="{00000000-0005-0000-0000-00007F070000}"/>
    <cellStyle name="Normal 5 2 4" xfId="1227" xr:uid="{00000000-0005-0000-0000-000080070000}"/>
    <cellStyle name="Normal 5 2 5" xfId="1228" xr:uid="{00000000-0005-0000-0000-000081070000}"/>
    <cellStyle name="Normal 5 2 5 2" xfId="1229" xr:uid="{00000000-0005-0000-0000-000082070000}"/>
    <cellStyle name="Normal 5 2 6" xfId="1230" xr:uid="{00000000-0005-0000-0000-000083070000}"/>
    <cellStyle name="Normal 5 2 7" xfId="1231" xr:uid="{00000000-0005-0000-0000-000084070000}"/>
    <cellStyle name="Normal 5 2 8" xfId="1232" xr:uid="{00000000-0005-0000-0000-000085070000}"/>
    <cellStyle name="Normal 5 2 9" xfId="1233" xr:uid="{00000000-0005-0000-0000-000086070000}"/>
    <cellStyle name="Normal 5 2_בחירה מרשימה" xfId="1234" xr:uid="{00000000-0005-0000-0000-000087070000}"/>
    <cellStyle name="Normal 5 3" xfId="62" xr:uid="{00000000-0005-0000-0000-000088070000}"/>
    <cellStyle name="Normal 5 3 2" xfId="73" xr:uid="{00000000-0005-0000-0000-000089070000}"/>
    <cellStyle name="Normal 5 3 2 2" xfId="184" xr:uid="{00000000-0005-0000-0000-00008A070000}"/>
    <cellStyle name="Normal 5 3 2 3" xfId="1235" xr:uid="{00000000-0005-0000-0000-00008B070000}"/>
    <cellStyle name="Normal 5 3 2_בחירה מרשימה" xfId="1236" xr:uid="{00000000-0005-0000-0000-00008C070000}"/>
    <cellStyle name="Normal 5 3 3" xfId="185" xr:uid="{00000000-0005-0000-0000-00008D070000}"/>
    <cellStyle name="Normal 5 3 4" xfId="1237" xr:uid="{00000000-0005-0000-0000-00008E070000}"/>
    <cellStyle name="Normal 5 3_בחירה מרשימה" xfId="1238" xr:uid="{00000000-0005-0000-0000-00008F070000}"/>
    <cellStyle name="Normal 5 4" xfId="66" xr:uid="{00000000-0005-0000-0000-000090070000}"/>
    <cellStyle name="Normal 5 4 2" xfId="74" xr:uid="{00000000-0005-0000-0000-000091070000}"/>
    <cellStyle name="Normal 5 4 2 2" xfId="186" xr:uid="{00000000-0005-0000-0000-000092070000}"/>
    <cellStyle name="Normal 5 4 2 3" xfId="1239" xr:uid="{00000000-0005-0000-0000-000093070000}"/>
    <cellStyle name="Normal 5 4 2_בחירה מרשימה" xfId="1240" xr:uid="{00000000-0005-0000-0000-000094070000}"/>
    <cellStyle name="Normal 5 4 3" xfId="187" xr:uid="{00000000-0005-0000-0000-000095070000}"/>
    <cellStyle name="Normal 5 4 4" xfId="1241" xr:uid="{00000000-0005-0000-0000-000096070000}"/>
    <cellStyle name="Normal 5 4_בחירה מרשימה" xfId="1242" xr:uid="{00000000-0005-0000-0000-000097070000}"/>
    <cellStyle name="Normal 5 5" xfId="68" xr:uid="{00000000-0005-0000-0000-000098070000}"/>
    <cellStyle name="Normal 5 5 2" xfId="188" xr:uid="{00000000-0005-0000-0000-000099070000}"/>
    <cellStyle name="Normal 5 5 3" xfId="1243" xr:uid="{00000000-0005-0000-0000-00009A070000}"/>
    <cellStyle name="Normal 5 5_בחירה מרשימה" xfId="1244" xr:uid="{00000000-0005-0000-0000-00009B070000}"/>
    <cellStyle name="Normal 5 6" xfId="80" xr:uid="{00000000-0005-0000-0000-00009C070000}"/>
    <cellStyle name="Normal 5 6 2" xfId="189" xr:uid="{00000000-0005-0000-0000-00009D070000}"/>
    <cellStyle name="Normal 5 6 3" xfId="1245" xr:uid="{00000000-0005-0000-0000-00009E070000}"/>
    <cellStyle name="Normal 5 6_בחירה מרשימה" xfId="1246" xr:uid="{00000000-0005-0000-0000-00009F070000}"/>
    <cellStyle name="Normal 5 7" xfId="190" xr:uid="{00000000-0005-0000-0000-0000A0070000}"/>
    <cellStyle name="Normal 5 7 2" xfId="191" xr:uid="{00000000-0005-0000-0000-0000A1070000}"/>
    <cellStyle name="Normal 5 7 2 2" xfId="1247" xr:uid="{00000000-0005-0000-0000-0000A2070000}"/>
    <cellStyle name="Normal 5 7 2 3" xfId="1248" xr:uid="{00000000-0005-0000-0000-0000A3070000}"/>
    <cellStyle name="Normal 5 7 3" xfId="1249" xr:uid="{00000000-0005-0000-0000-0000A4070000}"/>
    <cellStyle name="Normal 5 7 4" xfId="1250" xr:uid="{00000000-0005-0000-0000-0000A5070000}"/>
    <cellStyle name="Normal 5 7_בחירה מרשימה" xfId="1251" xr:uid="{00000000-0005-0000-0000-0000A6070000}"/>
    <cellStyle name="Normal 5 8" xfId="192" xr:uid="{00000000-0005-0000-0000-0000A7070000}"/>
    <cellStyle name="Normal 5 8 2" xfId="1252" xr:uid="{00000000-0005-0000-0000-0000A8070000}"/>
    <cellStyle name="Normal 5 8 3" xfId="1253" xr:uid="{00000000-0005-0000-0000-0000A9070000}"/>
    <cellStyle name="Normal 5 9" xfId="1254" xr:uid="{00000000-0005-0000-0000-0000AA070000}"/>
    <cellStyle name="Normal 5_בחירה מרשימה" xfId="1255" xr:uid="{00000000-0005-0000-0000-0000AB070000}"/>
    <cellStyle name="Normal 6" xfId="57" xr:uid="{00000000-0005-0000-0000-0000AC070000}"/>
    <cellStyle name="Normal 6 2" xfId="193" xr:uid="{00000000-0005-0000-0000-0000AD070000}"/>
    <cellStyle name="Normal 6 3" xfId="1256" xr:uid="{00000000-0005-0000-0000-0000AE070000}"/>
    <cellStyle name="Normal 6_בחירה מרשימה" xfId="1257" xr:uid="{00000000-0005-0000-0000-0000AF070000}"/>
    <cellStyle name="Normal 7" xfId="81" xr:uid="{00000000-0005-0000-0000-0000B0070000}"/>
    <cellStyle name="Normal 7 2" xfId="194" xr:uid="{00000000-0005-0000-0000-0000B1070000}"/>
    <cellStyle name="Normal 7 2 2" xfId="195" xr:uid="{00000000-0005-0000-0000-0000B2070000}"/>
    <cellStyle name="Normal 7 2 2 2" xfId="1258" xr:uid="{00000000-0005-0000-0000-0000B3070000}"/>
    <cellStyle name="Normal 7 2 2 3" xfId="1259" xr:uid="{00000000-0005-0000-0000-0000B4070000}"/>
    <cellStyle name="Normal 7 2 3" xfId="1260" xr:uid="{00000000-0005-0000-0000-0000B5070000}"/>
    <cellStyle name="Normal 7 2 4" xfId="1261" xr:uid="{00000000-0005-0000-0000-0000B6070000}"/>
    <cellStyle name="Normal 7 2_בחירה מרשימה" xfId="1262" xr:uid="{00000000-0005-0000-0000-0000B7070000}"/>
    <cellStyle name="Normal 7 3" xfId="196" xr:uid="{00000000-0005-0000-0000-0000B8070000}"/>
    <cellStyle name="Normal 7 3 2" xfId="1263" xr:uid="{00000000-0005-0000-0000-0000B9070000}"/>
    <cellStyle name="Normal 7 3 2 2" xfId="1264" xr:uid="{00000000-0005-0000-0000-0000BA070000}"/>
    <cellStyle name="Normal 7 3 3" xfId="1265" xr:uid="{00000000-0005-0000-0000-0000BB070000}"/>
    <cellStyle name="Normal 7 3 4" xfId="1266" xr:uid="{00000000-0005-0000-0000-0000BC070000}"/>
    <cellStyle name="Normal 7 3_בחירה מרשימה" xfId="1267" xr:uid="{00000000-0005-0000-0000-0000BD070000}"/>
    <cellStyle name="Normal 7 4" xfId="1268" xr:uid="{00000000-0005-0000-0000-0000BE070000}"/>
    <cellStyle name="Normal 7 4 2" xfId="1269" xr:uid="{00000000-0005-0000-0000-0000BF070000}"/>
    <cellStyle name="Normal 7 5" xfId="1270" xr:uid="{00000000-0005-0000-0000-0000C0070000}"/>
    <cellStyle name="Normal 7 5 2" xfId="1271" xr:uid="{00000000-0005-0000-0000-0000C1070000}"/>
    <cellStyle name="Normal 7 6" xfId="1272" xr:uid="{00000000-0005-0000-0000-0000C2070000}"/>
    <cellStyle name="Normal 7 7" xfId="1273" xr:uid="{00000000-0005-0000-0000-0000C3070000}"/>
    <cellStyle name="Normal 7_בחירה מרשימה" xfId="1274" xr:uid="{00000000-0005-0000-0000-0000C4070000}"/>
    <cellStyle name="Normal 8" xfId="82" xr:uid="{00000000-0005-0000-0000-0000C5070000}"/>
    <cellStyle name="Normal 8 2" xfId="197" xr:uid="{00000000-0005-0000-0000-0000C6070000}"/>
    <cellStyle name="Normal 8 2 2" xfId="198" xr:uid="{00000000-0005-0000-0000-0000C7070000}"/>
    <cellStyle name="Normal 8 2 2 2" xfId="1275" xr:uid="{00000000-0005-0000-0000-0000C8070000}"/>
    <cellStyle name="Normal 8 2 2 3" xfId="1276" xr:uid="{00000000-0005-0000-0000-0000C9070000}"/>
    <cellStyle name="Normal 8 2 3" xfId="1277" xr:uid="{00000000-0005-0000-0000-0000CA070000}"/>
    <cellStyle name="Normal 8 2 4" xfId="1278" xr:uid="{00000000-0005-0000-0000-0000CB070000}"/>
    <cellStyle name="Normal 8 2_בחירה מרשימה" xfId="1279" xr:uid="{00000000-0005-0000-0000-0000CC070000}"/>
    <cellStyle name="Normal 8 3" xfId="199" xr:uid="{00000000-0005-0000-0000-0000CD070000}"/>
    <cellStyle name="Normal 8 3 2" xfId="1280" xr:uid="{00000000-0005-0000-0000-0000CE070000}"/>
    <cellStyle name="Normal 8 3 3" xfId="1281" xr:uid="{00000000-0005-0000-0000-0000CF070000}"/>
    <cellStyle name="Normal 8 4" xfId="1282" xr:uid="{00000000-0005-0000-0000-0000D0070000}"/>
    <cellStyle name="Normal 8 5" xfId="1283" xr:uid="{00000000-0005-0000-0000-0000D1070000}"/>
    <cellStyle name="Normal 8_בחירה מרשימה" xfId="1284" xr:uid="{00000000-0005-0000-0000-0000D2070000}"/>
    <cellStyle name="Normal 9" xfId="58" xr:uid="{00000000-0005-0000-0000-0000D3070000}"/>
    <cellStyle name="Normal 9 10" xfId="1285" xr:uid="{00000000-0005-0000-0000-0000D4070000}"/>
    <cellStyle name="Normal 9 10 2" xfId="4489" xr:uid="{00000000-0005-0000-0000-0000D5070000}"/>
    <cellStyle name="Normal 9 11" xfId="1286" xr:uid="{00000000-0005-0000-0000-0000D6070000}"/>
    <cellStyle name="Normal 9 11 2" xfId="2681" xr:uid="{00000000-0005-0000-0000-0000D7070000}"/>
    <cellStyle name="Normal 9 12" xfId="1287" xr:uid="{00000000-0005-0000-0000-0000D8070000}"/>
    <cellStyle name="Normal 9 13" xfId="1288" xr:uid="{00000000-0005-0000-0000-0000D9070000}"/>
    <cellStyle name="Normal 9 14" xfId="2624" xr:uid="{00000000-0005-0000-0000-0000DA070000}"/>
    <cellStyle name="Normal 9 2" xfId="200" xr:uid="{00000000-0005-0000-0000-0000DB070000}"/>
    <cellStyle name="Normal 9 2 10" xfId="1289" xr:uid="{00000000-0005-0000-0000-0000DC070000}"/>
    <cellStyle name="Normal 9 2 10 2" xfId="2682" xr:uid="{00000000-0005-0000-0000-0000DD070000}"/>
    <cellStyle name="Normal 9 2 11" xfId="1290" xr:uid="{00000000-0005-0000-0000-0000DE070000}"/>
    <cellStyle name="Normal 9 2 12" xfId="1291" xr:uid="{00000000-0005-0000-0000-0000DF070000}"/>
    <cellStyle name="Normal 9 2 13" xfId="2627" xr:uid="{00000000-0005-0000-0000-0000E0070000}"/>
    <cellStyle name="Normal 9 2 2" xfId="201" xr:uid="{00000000-0005-0000-0000-0000E1070000}"/>
    <cellStyle name="Normal 9 2 2 10" xfId="1292" xr:uid="{00000000-0005-0000-0000-0000E2070000}"/>
    <cellStyle name="Normal 9 2 2 11" xfId="2631" xr:uid="{00000000-0005-0000-0000-0000E3070000}"/>
    <cellStyle name="Normal 9 2 2 2" xfId="1293" xr:uid="{00000000-0005-0000-0000-0000E4070000}"/>
    <cellStyle name="Normal 9 2 2 2 10" xfId="2641" xr:uid="{00000000-0005-0000-0000-0000E5070000}"/>
    <cellStyle name="Normal 9 2 2 2 2" xfId="1294" xr:uid="{00000000-0005-0000-0000-0000E6070000}"/>
    <cellStyle name="Normal 9 2 2 2 2 2" xfId="1295" xr:uid="{00000000-0005-0000-0000-0000E7070000}"/>
    <cellStyle name="Normal 9 2 2 2 2 2 2" xfId="2831" xr:uid="{00000000-0005-0000-0000-0000E8070000}"/>
    <cellStyle name="Normal 9 2 2 2 2 3" xfId="1296" xr:uid="{00000000-0005-0000-0000-0000E9070000}"/>
    <cellStyle name="Normal 9 2 2 2 2 3 2" xfId="2806" xr:uid="{00000000-0005-0000-0000-0000EA070000}"/>
    <cellStyle name="Normal 9 2 2 2 2 4" xfId="1297" xr:uid="{00000000-0005-0000-0000-0000EB070000}"/>
    <cellStyle name="Normal 9 2 2 2 2 4 2" xfId="4561" xr:uid="{00000000-0005-0000-0000-0000EC070000}"/>
    <cellStyle name="Normal 9 2 2 2 2 5" xfId="1298" xr:uid="{00000000-0005-0000-0000-0000ED070000}"/>
    <cellStyle name="Normal 9 2 2 2 2 5 2" xfId="2722" xr:uid="{00000000-0005-0000-0000-0000EE070000}"/>
    <cellStyle name="Normal 9 2 2 2 2 6" xfId="1299" xr:uid="{00000000-0005-0000-0000-0000EF070000}"/>
    <cellStyle name="Normal 9 2 2 2 2 7" xfId="1300" xr:uid="{00000000-0005-0000-0000-0000F0070000}"/>
    <cellStyle name="Normal 9 2 2 2 2 8" xfId="2669" xr:uid="{00000000-0005-0000-0000-0000F1070000}"/>
    <cellStyle name="Normal 9 2 2 2 3" xfId="1301" xr:uid="{00000000-0005-0000-0000-0000F2070000}"/>
    <cellStyle name="Normal 9 2 2 2 3 2" xfId="1302" xr:uid="{00000000-0005-0000-0000-0000F3070000}"/>
    <cellStyle name="Normal 9 2 2 2 3 2 2" xfId="3173" xr:uid="{00000000-0005-0000-0000-0000F4070000}"/>
    <cellStyle name="Normal 9 2 2 2 3 3" xfId="1303" xr:uid="{00000000-0005-0000-0000-0000F5070000}"/>
    <cellStyle name="Normal 9 2 2 2 3 3 2" xfId="4603" xr:uid="{00000000-0005-0000-0000-0000F6070000}"/>
    <cellStyle name="Normal 9 2 2 2 3 4" xfId="2830" xr:uid="{00000000-0005-0000-0000-0000F7070000}"/>
    <cellStyle name="Normal 9 2 2 2 4" xfId="1304" xr:uid="{00000000-0005-0000-0000-0000F8070000}"/>
    <cellStyle name="Normal 9 2 2 2 4 2" xfId="2762" xr:uid="{00000000-0005-0000-0000-0000F9070000}"/>
    <cellStyle name="Normal 9 2 2 2 5" xfId="1305" xr:uid="{00000000-0005-0000-0000-0000FA070000}"/>
    <cellStyle name="Normal 9 2 2 2 5 2" xfId="2972" xr:uid="{00000000-0005-0000-0000-0000FB070000}"/>
    <cellStyle name="Normal 9 2 2 2 6" xfId="1306" xr:uid="{00000000-0005-0000-0000-0000FC070000}"/>
    <cellStyle name="Normal 9 2 2 2 6 2" xfId="4515" xr:uid="{00000000-0005-0000-0000-0000FD070000}"/>
    <cellStyle name="Normal 9 2 2 2 7" xfId="1307" xr:uid="{00000000-0005-0000-0000-0000FE070000}"/>
    <cellStyle name="Normal 9 2 2 2 7 2" xfId="2694" xr:uid="{00000000-0005-0000-0000-0000FF070000}"/>
    <cellStyle name="Normal 9 2 2 2 8" xfId="1308" xr:uid="{00000000-0005-0000-0000-000000080000}"/>
    <cellStyle name="Normal 9 2 2 2 9" xfId="1309" xr:uid="{00000000-0005-0000-0000-000001080000}"/>
    <cellStyle name="Normal 9 2 2 3" xfId="1310" xr:uid="{00000000-0005-0000-0000-000002080000}"/>
    <cellStyle name="Normal 9 2 2 3 2" xfId="1311" xr:uid="{00000000-0005-0000-0000-000003080000}"/>
    <cellStyle name="Normal 9 2 2 3 2 2" xfId="2832" xr:uid="{00000000-0005-0000-0000-000004080000}"/>
    <cellStyle name="Normal 9 2 2 3 3" xfId="1312" xr:uid="{00000000-0005-0000-0000-000005080000}"/>
    <cellStyle name="Normal 9 2 2 3 3 2" xfId="2799" xr:uid="{00000000-0005-0000-0000-000006080000}"/>
    <cellStyle name="Normal 9 2 2 3 4" xfId="1313" xr:uid="{00000000-0005-0000-0000-000007080000}"/>
    <cellStyle name="Normal 9 2 2 3 4 2" xfId="4545" xr:uid="{00000000-0005-0000-0000-000008080000}"/>
    <cellStyle name="Normal 9 2 2 3 5" xfId="1314" xr:uid="{00000000-0005-0000-0000-000009080000}"/>
    <cellStyle name="Normal 9 2 2 3 5 2" xfId="2715" xr:uid="{00000000-0005-0000-0000-00000A080000}"/>
    <cellStyle name="Normal 9 2 2 3 6" xfId="1315" xr:uid="{00000000-0005-0000-0000-00000B080000}"/>
    <cellStyle name="Normal 9 2 2 3 7" xfId="1316" xr:uid="{00000000-0005-0000-0000-00000C080000}"/>
    <cellStyle name="Normal 9 2 2 3 8" xfId="2662" xr:uid="{00000000-0005-0000-0000-00000D080000}"/>
    <cellStyle name="Normal 9 2 2 4" xfId="1317" xr:uid="{00000000-0005-0000-0000-00000E080000}"/>
    <cellStyle name="Normal 9 2 2 4 2" xfId="1318" xr:uid="{00000000-0005-0000-0000-00000F080000}"/>
    <cellStyle name="Normal 9 2 2 4 2 2" xfId="3157" xr:uid="{00000000-0005-0000-0000-000010080000}"/>
    <cellStyle name="Normal 9 2 2 4 3" xfId="1319" xr:uid="{00000000-0005-0000-0000-000011080000}"/>
    <cellStyle name="Normal 9 2 2 4 3 2" xfId="3059" xr:uid="{00000000-0005-0000-0000-000012080000}"/>
    <cellStyle name="Normal 9 2 2 4 4" xfId="1320" xr:uid="{00000000-0005-0000-0000-000013080000}"/>
    <cellStyle name="Normal 9 2 2 4 4 2" xfId="4587" xr:uid="{00000000-0005-0000-0000-000014080000}"/>
    <cellStyle name="Normal 9 2 2 4 5" xfId="2819" xr:uid="{00000000-0005-0000-0000-000015080000}"/>
    <cellStyle name="Normal 9 2 2 5" xfId="1321" xr:uid="{00000000-0005-0000-0000-000016080000}"/>
    <cellStyle name="Normal 9 2 2 5 2" xfId="2752" xr:uid="{00000000-0005-0000-0000-000017080000}"/>
    <cellStyle name="Normal 9 2 2 6" xfId="1322" xr:uid="{00000000-0005-0000-0000-000018080000}"/>
    <cellStyle name="Normal 9 2 2 6 2" xfId="2943" xr:uid="{00000000-0005-0000-0000-000019080000}"/>
    <cellStyle name="Normal 9 2 2 7" xfId="1323" xr:uid="{00000000-0005-0000-0000-00001A080000}"/>
    <cellStyle name="Normal 9 2 2 7 2" xfId="4505" xr:uid="{00000000-0005-0000-0000-00001B080000}"/>
    <cellStyle name="Normal 9 2 2 8" xfId="1324" xr:uid="{00000000-0005-0000-0000-00001C080000}"/>
    <cellStyle name="Normal 9 2 2 8 2" xfId="2686" xr:uid="{00000000-0005-0000-0000-00001D080000}"/>
    <cellStyle name="Normal 9 2 2 9" xfId="1325" xr:uid="{00000000-0005-0000-0000-00001E080000}"/>
    <cellStyle name="Normal 9 2 2_בחירה מרשימה" xfId="1326" xr:uid="{00000000-0005-0000-0000-00001F080000}"/>
    <cellStyle name="Normal 9 2 3" xfId="202" xr:uid="{00000000-0005-0000-0000-000020080000}"/>
    <cellStyle name="Normal 9 2 3 10" xfId="1327" xr:uid="{00000000-0005-0000-0000-000021080000}"/>
    <cellStyle name="Normal 9 2 3 11" xfId="2629" xr:uid="{00000000-0005-0000-0000-000022080000}"/>
    <cellStyle name="Normal 9 2 3 2" xfId="1328" xr:uid="{00000000-0005-0000-0000-000023080000}"/>
    <cellStyle name="Normal 9 2 3 2 10" xfId="2642" xr:uid="{00000000-0005-0000-0000-000024080000}"/>
    <cellStyle name="Normal 9 2 3 2 2" xfId="1329" xr:uid="{00000000-0005-0000-0000-000025080000}"/>
    <cellStyle name="Normal 9 2 3 2 2 2" xfId="1330" xr:uid="{00000000-0005-0000-0000-000026080000}"/>
    <cellStyle name="Normal 9 2 3 2 2 2 2" xfId="2835" xr:uid="{00000000-0005-0000-0000-000027080000}"/>
    <cellStyle name="Normal 9 2 3 2 2 3" xfId="1331" xr:uid="{00000000-0005-0000-0000-000028080000}"/>
    <cellStyle name="Normal 9 2 3 2 2 3 2" xfId="2807" xr:uid="{00000000-0005-0000-0000-000029080000}"/>
    <cellStyle name="Normal 9 2 3 2 2 4" xfId="1332" xr:uid="{00000000-0005-0000-0000-00002A080000}"/>
    <cellStyle name="Normal 9 2 3 2 2 4 2" xfId="4562" xr:uid="{00000000-0005-0000-0000-00002B080000}"/>
    <cellStyle name="Normal 9 2 3 2 2 5" xfId="1333" xr:uid="{00000000-0005-0000-0000-00002C080000}"/>
    <cellStyle name="Normal 9 2 3 2 2 5 2" xfId="2723" xr:uid="{00000000-0005-0000-0000-00002D080000}"/>
    <cellStyle name="Normal 9 2 3 2 2 6" xfId="1334" xr:uid="{00000000-0005-0000-0000-00002E080000}"/>
    <cellStyle name="Normal 9 2 3 2 2 7" xfId="1335" xr:uid="{00000000-0005-0000-0000-00002F080000}"/>
    <cellStyle name="Normal 9 2 3 2 2 8" xfId="2670" xr:uid="{00000000-0005-0000-0000-000030080000}"/>
    <cellStyle name="Normal 9 2 3 2 3" xfId="1336" xr:uid="{00000000-0005-0000-0000-000031080000}"/>
    <cellStyle name="Normal 9 2 3 2 3 2" xfId="1337" xr:uid="{00000000-0005-0000-0000-000032080000}"/>
    <cellStyle name="Normal 9 2 3 2 3 2 2" xfId="3174" xr:uid="{00000000-0005-0000-0000-000033080000}"/>
    <cellStyle name="Normal 9 2 3 2 3 3" xfId="1338" xr:uid="{00000000-0005-0000-0000-000034080000}"/>
    <cellStyle name="Normal 9 2 3 2 3 3 2" xfId="4604" xr:uid="{00000000-0005-0000-0000-000035080000}"/>
    <cellStyle name="Normal 9 2 3 2 3 4" xfId="2834" xr:uid="{00000000-0005-0000-0000-000036080000}"/>
    <cellStyle name="Normal 9 2 3 2 4" xfId="1339" xr:uid="{00000000-0005-0000-0000-000037080000}"/>
    <cellStyle name="Normal 9 2 3 2 4 2" xfId="2763" xr:uid="{00000000-0005-0000-0000-000038080000}"/>
    <cellStyle name="Normal 9 2 3 2 5" xfId="1340" xr:uid="{00000000-0005-0000-0000-000039080000}"/>
    <cellStyle name="Normal 9 2 3 2 5 2" xfId="2973" xr:uid="{00000000-0005-0000-0000-00003A080000}"/>
    <cellStyle name="Normal 9 2 3 2 6" xfId="1341" xr:uid="{00000000-0005-0000-0000-00003B080000}"/>
    <cellStyle name="Normal 9 2 3 2 6 2" xfId="4516" xr:uid="{00000000-0005-0000-0000-00003C080000}"/>
    <cellStyle name="Normal 9 2 3 2 7" xfId="1342" xr:uid="{00000000-0005-0000-0000-00003D080000}"/>
    <cellStyle name="Normal 9 2 3 2 7 2" xfId="2695" xr:uid="{00000000-0005-0000-0000-00003E080000}"/>
    <cellStyle name="Normal 9 2 3 2 8" xfId="1343" xr:uid="{00000000-0005-0000-0000-00003F080000}"/>
    <cellStyle name="Normal 9 2 3 2 9" xfId="1344" xr:uid="{00000000-0005-0000-0000-000040080000}"/>
    <cellStyle name="Normal 9 2 3 3" xfId="1345" xr:uid="{00000000-0005-0000-0000-000041080000}"/>
    <cellStyle name="Normal 9 2 3 3 2" xfId="1346" xr:uid="{00000000-0005-0000-0000-000042080000}"/>
    <cellStyle name="Normal 9 2 3 3 2 2" xfId="2836" xr:uid="{00000000-0005-0000-0000-000043080000}"/>
    <cellStyle name="Normal 9 2 3 3 3" xfId="1347" xr:uid="{00000000-0005-0000-0000-000044080000}"/>
    <cellStyle name="Normal 9 2 3 3 3 2" xfId="2794" xr:uid="{00000000-0005-0000-0000-000045080000}"/>
    <cellStyle name="Normal 9 2 3 3 4" xfId="1348" xr:uid="{00000000-0005-0000-0000-000046080000}"/>
    <cellStyle name="Normal 9 2 3 3 4 2" xfId="4543" xr:uid="{00000000-0005-0000-0000-000047080000}"/>
    <cellStyle name="Normal 9 2 3 3 5" xfId="1349" xr:uid="{00000000-0005-0000-0000-000048080000}"/>
    <cellStyle name="Normal 9 2 3 3 5 2" xfId="2713" xr:uid="{00000000-0005-0000-0000-000049080000}"/>
    <cellStyle name="Normal 9 2 3 3 6" xfId="1350" xr:uid="{00000000-0005-0000-0000-00004A080000}"/>
    <cellStyle name="Normal 9 2 3 3 7" xfId="1351" xr:uid="{00000000-0005-0000-0000-00004B080000}"/>
    <cellStyle name="Normal 9 2 3 3 8" xfId="2660" xr:uid="{00000000-0005-0000-0000-00004C080000}"/>
    <cellStyle name="Normal 9 2 3 4" xfId="1352" xr:uid="{00000000-0005-0000-0000-00004D080000}"/>
    <cellStyle name="Normal 9 2 3 4 2" xfId="1353" xr:uid="{00000000-0005-0000-0000-00004E080000}"/>
    <cellStyle name="Normal 9 2 3 4 2 2" xfId="3154" xr:uid="{00000000-0005-0000-0000-00004F080000}"/>
    <cellStyle name="Normal 9 2 3 4 3" xfId="1354" xr:uid="{00000000-0005-0000-0000-000050080000}"/>
    <cellStyle name="Normal 9 2 3 4 3 2" xfId="4584" xr:uid="{00000000-0005-0000-0000-000051080000}"/>
    <cellStyle name="Normal 9 2 3 4 4" xfId="2833" xr:uid="{00000000-0005-0000-0000-000052080000}"/>
    <cellStyle name="Normal 9 2 3 5" xfId="1355" xr:uid="{00000000-0005-0000-0000-000053080000}"/>
    <cellStyle name="Normal 9 2 3 5 2" xfId="2747" xr:uid="{00000000-0005-0000-0000-000054080000}"/>
    <cellStyle name="Normal 9 2 3 6" xfId="1356" xr:uid="{00000000-0005-0000-0000-000055080000}"/>
    <cellStyle name="Normal 9 2 3 6 2" xfId="2934" xr:uid="{00000000-0005-0000-0000-000056080000}"/>
    <cellStyle name="Normal 9 2 3 7" xfId="1357" xr:uid="{00000000-0005-0000-0000-000057080000}"/>
    <cellStyle name="Normal 9 2 3 7 2" xfId="4503" xr:uid="{00000000-0005-0000-0000-000058080000}"/>
    <cellStyle name="Normal 9 2 3 8" xfId="1358" xr:uid="{00000000-0005-0000-0000-000059080000}"/>
    <cellStyle name="Normal 9 2 3 8 2" xfId="2684" xr:uid="{00000000-0005-0000-0000-00005A080000}"/>
    <cellStyle name="Normal 9 2 3 9" xfId="1359" xr:uid="{00000000-0005-0000-0000-00005B080000}"/>
    <cellStyle name="Normal 9 2 3_בחירה מרשימה" xfId="1360" xr:uid="{00000000-0005-0000-0000-00005C080000}"/>
    <cellStyle name="Normal 9 2 4" xfId="1361" xr:uid="{00000000-0005-0000-0000-00005D080000}"/>
    <cellStyle name="Normal 9 2 4 10" xfId="2635" xr:uid="{00000000-0005-0000-0000-00005E080000}"/>
    <cellStyle name="Normal 9 2 4 2" xfId="1362" xr:uid="{00000000-0005-0000-0000-00005F080000}"/>
    <cellStyle name="Normal 9 2 4 2 2" xfId="1363" xr:uid="{00000000-0005-0000-0000-000060080000}"/>
    <cellStyle name="Normal 9 2 4 2 2 2" xfId="2838" xr:uid="{00000000-0005-0000-0000-000061080000}"/>
    <cellStyle name="Normal 9 2 4 2 3" xfId="1364" xr:uid="{00000000-0005-0000-0000-000062080000}"/>
    <cellStyle name="Normal 9 2 4 2 3 2" xfId="2808" xr:uid="{00000000-0005-0000-0000-000063080000}"/>
    <cellStyle name="Normal 9 2 4 2 4" xfId="1365" xr:uid="{00000000-0005-0000-0000-000064080000}"/>
    <cellStyle name="Normal 9 2 4 2 4 2" xfId="4563" xr:uid="{00000000-0005-0000-0000-000065080000}"/>
    <cellStyle name="Normal 9 2 4 2 5" xfId="1366" xr:uid="{00000000-0005-0000-0000-000066080000}"/>
    <cellStyle name="Normal 9 2 4 2 5 2" xfId="2724" xr:uid="{00000000-0005-0000-0000-000067080000}"/>
    <cellStyle name="Normal 9 2 4 2 6" xfId="1367" xr:uid="{00000000-0005-0000-0000-000068080000}"/>
    <cellStyle name="Normal 9 2 4 2 7" xfId="1368" xr:uid="{00000000-0005-0000-0000-000069080000}"/>
    <cellStyle name="Normal 9 2 4 2 8" xfId="2671" xr:uid="{00000000-0005-0000-0000-00006A080000}"/>
    <cellStyle name="Normal 9 2 4 3" xfId="1369" xr:uid="{00000000-0005-0000-0000-00006B080000}"/>
    <cellStyle name="Normal 9 2 4 3 2" xfId="1370" xr:uid="{00000000-0005-0000-0000-00006C080000}"/>
    <cellStyle name="Normal 9 2 4 3 2 2" xfId="3167" xr:uid="{00000000-0005-0000-0000-00006D080000}"/>
    <cellStyle name="Normal 9 2 4 3 3" xfId="1371" xr:uid="{00000000-0005-0000-0000-00006E080000}"/>
    <cellStyle name="Normal 9 2 4 3 3 2" xfId="4597" xr:uid="{00000000-0005-0000-0000-00006F080000}"/>
    <cellStyle name="Normal 9 2 4 3 4" xfId="2837" xr:uid="{00000000-0005-0000-0000-000070080000}"/>
    <cellStyle name="Normal 9 2 4 4" xfId="1372" xr:uid="{00000000-0005-0000-0000-000071080000}"/>
    <cellStyle name="Normal 9 2 4 4 2" xfId="2756" xr:uid="{00000000-0005-0000-0000-000072080000}"/>
    <cellStyle name="Normal 9 2 4 5" xfId="1373" xr:uid="{00000000-0005-0000-0000-000073080000}"/>
    <cellStyle name="Normal 9 2 4 5 2" xfId="2964" xr:uid="{00000000-0005-0000-0000-000074080000}"/>
    <cellStyle name="Normal 9 2 4 6" xfId="1374" xr:uid="{00000000-0005-0000-0000-000075080000}"/>
    <cellStyle name="Normal 9 2 4 6 2" xfId="4509" xr:uid="{00000000-0005-0000-0000-000076080000}"/>
    <cellStyle name="Normal 9 2 4 7" xfId="1375" xr:uid="{00000000-0005-0000-0000-000077080000}"/>
    <cellStyle name="Normal 9 2 4 7 2" xfId="2688" xr:uid="{00000000-0005-0000-0000-000078080000}"/>
    <cellStyle name="Normal 9 2 4 8" xfId="1376" xr:uid="{00000000-0005-0000-0000-000079080000}"/>
    <cellStyle name="Normal 9 2 4 9" xfId="1377" xr:uid="{00000000-0005-0000-0000-00007A080000}"/>
    <cellStyle name="Normal 9 2 5" xfId="1378" xr:uid="{00000000-0005-0000-0000-00007B080000}"/>
    <cellStyle name="Normal 9 2 5 2" xfId="1379" xr:uid="{00000000-0005-0000-0000-00007C080000}"/>
    <cellStyle name="Normal 9 2 5 2 2" xfId="2839" xr:uid="{00000000-0005-0000-0000-00007D080000}"/>
    <cellStyle name="Normal 9 2 5 3" xfId="1380" xr:uid="{00000000-0005-0000-0000-00007E080000}"/>
    <cellStyle name="Normal 9 2 5 3 2" xfId="2786" xr:uid="{00000000-0005-0000-0000-00007F080000}"/>
    <cellStyle name="Normal 9 2 5 4" xfId="1381" xr:uid="{00000000-0005-0000-0000-000080080000}"/>
    <cellStyle name="Normal 9 2 5 4 2" xfId="4533" xr:uid="{00000000-0005-0000-0000-000081080000}"/>
    <cellStyle name="Normal 9 2 5 5" xfId="1382" xr:uid="{00000000-0005-0000-0000-000082080000}"/>
    <cellStyle name="Normal 9 2 5 5 2" xfId="2703" xr:uid="{00000000-0005-0000-0000-000083080000}"/>
    <cellStyle name="Normal 9 2 5 6" xfId="1383" xr:uid="{00000000-0005-0000-0000-000084080000}"/>
    <cellStyle name="Normal 9 2 5 7" xfId="1384" xr:uid="{00000000-0005-0000-0000-000085080000}"/>
    <cellStyle name="Normal 9 2 5 8" xfId="2650" xr:uid="{00000000-0005-0000-0000-000086080000}"/>
    <cellStyle name="Normal 9 2 6" xfId="1385" xr:uid="{00000000-0005-0000-0000-000087080000}"/>
    <cellStyle name="Normal 9 2 6 2" xfId="1386" xr:uid="{00000000-0005-0000-0000-000088080000}"/>
    <cellStyle name="Normal 9 2 6 2 2" xfId="3144" xr:uid="{00000000-0005-0000-0000-000089080000}"/>
    <cellStyle name="Normal 9 2 6 3" xfId="1387" xr:uid="{00000000-0005-0000-0000-00008A080000}"/>
    <cellStyle name="Normal 9 2 6 3 2" xfId="3051" xr:uid="{00000000-0005-0000-0000-00008B080000}"/>
    <cellStyle name="Normal 9 2 6 4" xfId="1388" xr:uid="{00000000-0005-0000-0000-00008C080000}"/>
    <cellStyle name="Normal 9 2 6 4 2" xfId="4574" xr:uid="{00000000-0005-0000-0000-00008D080000}"/>
    <cellStyle name="Normal 9 2 6 5" xfId="2817" xr:uid="{00000000-0005-0000-0000-00008E080000}"/>
    <cellStyle name="Normal 9 2 7" xfId="1389" xr:uid="{00000000-0005-0000-0000-00008F080000}"/>
    <cellStyle name="Normal 9 2 7 2" xfId="2740" xr:uid="{00000000-0005-0000-0000-000090080000}"/>
    <cellStyle name="Normal 9 2 8" xfId="1390" xr:uid="{00000000-0005-0000-0000-000091080000}"/>
    <cellStyle name="Normal 9 2 8 2" xfId="2923" xr:uid="{00000000-0005-0000-0000-000092080000}"/>
    <cellStyle name="Normal 9 2 9" xfId="1391" xr:uid="{00000000-0005-0000-0000-000093080000}"/>
    <cellStyle name="Normal 9 2 9 2" xfId="4493" xr:uid="{00000000-0005-0000-0000-000094080000}"/>
    <cellStyle name="Normal 9 2_בחירה מרשימה" xfId="1392" xr:uid="{00000000-0005-0000-0000-000095080000}"/>
    <cellStyle name="Normal 9 3" xfId="203" xr:uid="{00000000-0005-0000-0000-000096080000}"/>
    <cellStyle name="Normal 9 3 10" xfId="1393" xr:uid="{00000000-0005-0000-0000-000097080000}"/>
    <cellStyle name="Normal 9 3 11" xfId="2630" xr:uid="{00000000-0005-0000-0000-000098080000}"/>
    <cellStyle name="Normal 9 3 2" xfId="1394" xr:uid="{00000000-0005-0000-0000-000099080000}"/>
    <cellStyle name="Normal 9 3 2 10" xfId="2636" xr:uid="{00000000-0005-0000-0000-00009A080000}"/>
    <cellStyle name="Normal 9 3 2 2" xfId="1395" xr:uid="{00000000-0005-0000-0000-00009B080000}"/>
    <cellStyle name="Normal 9 3 2 2 2" xfId="1396" xr:uid="{00000000-0005-0000-0000-00009C080000}"/>
    <cellStyle name="Normal 9 3 2 2 2 2" xfId="2841" xr:uid="{00000000-0005-0000-0000-00009D080000}"/>
    <cellStyle name="Normal 9 3 2 2 3" xfId="1397" xr:uid="{00000000-0005-0000-0000-00009E080000}"/>
    <cellStyle name="Normal 9 3 2 2 3 2" xfId="2809" xr:uid="{00000000-0005-0000-0000-00009F080000}"/>
    <cellStyle name="Normal 9 3 2 2 4" xfId="1398" xr:uid="{00000000-0005-0000-0000-0000A0080000}"/>
    <cellStyle name="Normal 9 3 2 2 4 2" xfId="4564" xr:uid="{00000000-0005-0000-0000-0000A1080000}"/>
    <cellStyle name="Normal 9 3 2 2 5" xfId="1399" xr:uid="{00000000-0005-0000-0000-0000A2080000}"/>
    <cellStyle name="Normal 9 3 2 2 5 2" xfId="2725" xr:uid="{00000000-0005-0000-0000-0000A3080000}"/>
    <cellStyle name="Normal 9 3 2 2 6" xfId="1400" xr:uid="{00000000-0005-0000-0000-0000A4080000}"/>
    <cellStyle name="Normal 9 3 2 2 7" xfId="1401" xr:uid="{00000000-0005-0000-0000-0000A5080000}"/>
    <cellStyle name="Normal 9 3 2 2 8" xfId="2672" xr:uid="{00000000-0005-0000-0000-0000A6080000}"/>
    <cellStyle name="Normal 9 3 2 3" xfId="1402" xr:uid="{00000000-0005-0000-0000-0000A7080000}"/>
    <cellStyle name="Normal 9 3 2 3 2" xfId="1403" xr:uid="{00000000-0005-0000-0000-0000A8080000}"/>
    <cellStyle name="Normal 9 3 2 3 2 2" xfId="3168" xr:uid="{00000000-0005-0000-0000-0000A9080000}"/>
    <cellStyle name="Normal 9 3 2 3 3" xfId="1404" xr:uid="{00000000-0005-0000-0000-0000AA080000}"/>
    <cellStyle name="Normal 9 3 2 3 3 2" xfId="4598" xr:uid="{00000000-0005-0000-0000-0000AB080000}"/>
    <cellStyle name="Normal 9 3 2 3 4" xfId="2840" xr:uid="{00000000-0005-0000-0000-0000AC080000}"/>
    <cellStyle name="Normal 9 3 2 4" xfId="1405" xr:uid="{00000000-0005-0000-0000-0000AD080000}"/>
    <cellStyle name="Normal 9 3 2 4 2" xfId="2757" xr:uid="{00000000-0005-0000-0000-0000AE080000}"/>
    <cellStyle name="Normal 9 3 2 5" xfId="1406" xr:uid="{00000000-0005-0000-0000-0000AF080000}"/>
    <cellStyle name="Normal 9 3 2 5 2" xfId="2967" xr:uid="{00000000-0005-0000-0000-0000B0080000}"/>
    <cellStyle name="Normal 9 3 2 6" xfId="1407" xr:uid="{00000000-0005-0000-0000-0000B1080000}"/>
    <cellStyle name="Normal 9 3 2 6 2" xfId="4510" xr:uid="{00000000-0005-0000-0000-0000B2080000}"/>
    <cellStyle name="Normal 9 3 2 7" xfId="1408" xr:uid="{00000000-0005-0000-0000-0000B3080000}"/>
    <cellStyle name="Normal 9 3 2 7 2" xfId="2689" xr:uid="{00000000-0005-0000-0000-0000B4080000}"/>
    <cellStyle name="Normal 9 3 2 8" xfId="1409" xr:uid="{00000000-0005-0000-0000-0000B5080000}"/>
    <cellStyle name="Normal 9 3 2 9" xfId="1410" xr:uid="{00000000-0005-0000-0000-0000B6080000}"/>
    <cellStyle name="Normal 9 3 3" xfId="1411" xr:uid="{00000000-0005-0000-0000-0000B7080000}"/>
    <cellStyle name="Normal 9 3 3 2" xfId="1412" xr:uid="{00000000-0005-0000-0000-0000B8080000}"/>
    <cellStyle name="Normal 9 3 3 2 2" xfId="2842" xr:uid="{00000000-0005-0000-0000-0000B9080000}"/>
    <cellStyle name="Normal 9 3 3 3" xfId="1413" xr:uid="{00000000-0005-0000-0000-0000BA080000}"/>
    <cellStyle name="Normal 9 3 3 3 2" xfId="2795" xr:uid="{00000000-0005-0000-0000-0000BB080000}"/>
    <cellStyle name="Normal 9 3 3 4" xfId="1414" xr:uid="{00000000-0005-0000-0000-0000BC080000}"/>
    <cellStyle name="Normal 9 3 3 4 2" xfId="4544" xr:uid="{00000000-0005-0000-0000-0000BD080000}"/>
    <cellStyle name="Normal 9 3 3 5" xfId="1415" xr:uid="{00000000-0005-0000-0000-0000BE080000}"/>
    <cellStyle name="Normal 9 3 3 5 2" xfId="2714" xr:uid="{00000000-0005-0000-0000-0000BF080000}"/>
    <cellStyle name="Normal 9 3 3 6" xfId="1416" xr:uid="{00000000-0005-0000-0000-0000C0080000}"/>
    <cellStyle name="Normal 9 3 3 7" xfId="1417" xr:uid="{00000000-0005-0000-0000-0000C1080000}"/>
    <cellStyle name="Normal 9 3 3 8" xfId="2661" xr:uid="{00000000-0005-0000-0000-0000C2080000}"/>
    <cellStyle name="Normal 9 3 4" xfId="1418" xr:uid="{00000000-0005-0000-0000-0000C3080000}"/>
    <cellStyle name="Normal 9 3 4 2" xfId="1419" xr:uid="{00000000-0005-0000-0000-0000C4080000}"/>
    <cellStyle name="Normal 9 3 4 2 2" xfId="3155" xr:uid="{00000000-0005-0000-0000-0000C5080000}"/>
    <cellStyle name="Normal 9 3 4 3" xfId="1420" xr:uid="{00000000-0005-0000-0000-0000C6080000}"/>
    <cellStyle name="Normal 9 3 4 3 2" xfId="3057" xr:uid="{00000000-0005-0000-0000-0000C7080000}"/>
    <cellStyle name="Normal 9 3 4 4" xfId="1421" xr:uid="{00000000-0005-0000-0000-0000C8080000}"/>
    <cellStyle name="Normal 9 3 4 4 2" xfId="4585" xr:uid="{00000000-0005-0000-0000-0000C9080000}"/>
    <cellStyle name="Normal 9 3 4 5" xfId="2818" xr:uid="{00000000-0005-0000-0000-0000CA080000}"/>
    <cellStyle name="Normal 9 3 5" xfId="1422" xr:uid="{00000000-0005-0000-0000-0000CB080000}"/>
    <cellStyle name="Normal 9 3 5 2" xfId="2749" xr:uid="{00000000-0005-0000-0000-0000CC080000}"/>
    <cellStyle name="Normal 9 3 6" xfId="1423" xr:uid="{00000000-0005-0000-0000-0000CD080000}"/>
    <cellStyle name="Normal 9 3 6 2" xfId="2936" xr:uid="{00000000-0005-0000-0000-0000CE080000}"/>
    <cellStyle name="Normal 9 3 7" xfId="1424" xr:uid="{00000000-0005-0000-0000-0000CF080000}"/>
    <cellStyle name="Normal 9 3 7 2" xfId="4504" xr:uid="{00000000-0005-0000-0000-0000D0080000}"/>
    <cellStyle name="Normal 9 3 8" xfId="1425" xr:uid="{00000000-0005-0000-0000-0000D1080000}"/>
    <cellStyle name="Normal 9 3 8 2" xfId="2685" xr:uid="{00000000-0005-0000-0000-0000D2080000}"/>
    <cellStyle name="Normal 9 3 9" xfId="1426" xr:uid="{00000000-0005-0000-0000-0000D3080000}"/>
    <cellStyle name="Normal 9 3_בחירה מרשימה" xfId="1427" xr:uid="{00000000-0005-0000-0000-0000D4080000}"/>
    <cellStyle name="Normal 9 4" xfId="204" xr:uid="{00000000-0005-0000-0000-0000D5080000}"/>
    <cellStyle name="Normal 9 4 10" xfId="1428" xr:uid="{00000000-0005-0000-0000-0000D6080000}"/>
    <cellStyle name="Normal 9 4 11" xfId="2628" xr:uid="{00000000-0005-0000-0000-0000D7080000}"/>
    <cellStyle name="Normal 9 4 2" xfId="1429" xr:uid="{00000000-0005-0000-0000-0000D8080000}"/>
    <cellStyle name="Normal 9 4 2 10" xfId="2643" xr:uid="{00000000-0005-0000-0000-0000D9080000}"/>
    <cellStyle name="Normal 9 4 2 2" xfId="1430" xr:uid="{00000000-0005-0000-0000-0000DA080000}"/>
    <cellStyle name="Normal 9 4 2 2 2" xfId="1431" xr:uid="{00000000-0005-0000-0000-0000DB080000}"/>
    <cellStyle name="Normal 9 4 2 2 2 2" xfId="2845" xr:uid="{00000000-0005-0000-0000-0000DC080000}"/>
    <cellStyle name="Normal 9 4 2 2 3" xfId="1432" xr:uid="{00000000-0005-0000-0000-0000DD080000}"/>
    <cellStyle name="Normal 9 4 2 2 3 2" xfId="2810" xr:uid="{00000000-0005-0000-0000-0000DE080000}"/>
    <cellStyle name="Normal 9 4 2 2 4" xfId="1433" xr:uid="{00000000-0005-0000-0000-0000DF080000}"/>
    <cellStyle name="Normal 9 4 2 2 4 2" xfId="4565" xr:uid="{00000000-0005-0000-0000-0000E0080000}"/>
    <cellStyle name="Normal 9 4 2 2 5" xfId="1434" xr:uid="{00000000-0005-0000-0000-0000E1080000}"/>
    <cellStyle name="Normal 9 4 2 2 5 2" xfId="2726" xr:uid="{00000000-0005-0000-0000-0000E2080000}"/>
    <cellStyle name="Normal 9 4 2 2 6" xfId="1435" xr:uid="{00000000-0005-0000-0000-0000E3080000}"/>
    <cellStyle name="Normal 9 4 2 2 7" xfId="1436" xr:uid="{00000000-0005-0000-0000-0000E4080000}"/>
    <cellStyle name="Normal 9 4 2 2 8" xfId="2673" xr:uid="{00000000-0005-0000-0000-0000E5080000}"/>
    <cellStyle name="Normal 9 4 2 3" xfId="1437" xr:uid="{00000000-0005-0000-0000-0000E6080000}"/>
    <cellStyle name="Normal 9 4 2 3 2" xfId="1438" xr:uid="{00000000-0005-0000-0000-0000E7080000}"/>
    <cellStyle name="Normal 9 4 2 3 2 2" xfId="3175" xr:uid="{00000000-0005-0000-0000-0000E8080000}"/>
    <cellStyle name="Normal 9 4 2 3 3" xfId="1439" xr:uid="{00000000-0005-0000-0000-0000E9080000}"/>
    <cellStyle name="Normal 9 4 2 3 3 2" xfId="4605" xr:uid="{00000000-0005-0000-0000-0000EA080000}"/>
    <cellStyle name="Normal 9 4 2 3 4" xfId="2844" xr:uid="{00000000-0005-0000-0000-0000EB080000}"/>
    <cellStyle name="Normal 9 4 2 4" xfId="1440" xr:uid="{00000000-0005-0000-0000-0000EC080000}"/>
    <cellStyle name="Normal 9 4 2 4 2" xfId="2764" xr:uid="{00000000-0005-0000-0000-0000ED080000}"/>
    <cellStyle name="Normal 9 4 2 5" xfId="1441" xr:uid="{00000000-0005-0000-0000-0000EE080000}"/>
    <cellStyle name="Normal 9 4 2 5 2" xfId="2974" xr:uid="{00000000-0005-0000-0000-0000EF080000}"/>
    <cellStyle name="Normal 9 4 2 6" xfId="1442" xr:uid="{00000000-0005-0000-0000-0000F0080000}"/>
    <cellStyle name="Normal 9 4 2 6 2" xfId="4517" xr:uid="{00000000-0005-0000-0000-0000F1080000}"/>
    <cellStyle name="Normal 9 4 2 7" xfId="1443" xr:uid="{00000000-0005-0000-0000-0000F2080000}"/>
    <cellStyle name="Normal 9 4 2 7 2" xfId="2696" xr:uid="{00000000-0005-0000-0000-0000F3080000}"/>
    <cellStyle name="Normal 9 4 2 8" xfId="1444" xr:uid="{00000000-0005-0000-0000-0000F4080000}"/>
    <cellStyle name="Normal 9 4 2 9" xfId="1445" xr:uid="{00000000-0005-0000-0000-0000F5080000}"/>
    <cellStyle name="Normal 9 4 3" xfId="1446" xr:uid="{00000000-0005-0000-0000-0000F6080000}"/>
    <cellStyle name="Normal 9 4 3 2" xfId="1447" xr:uid="{00000000-0005-0000-0000-0000F7080000}"/>
    <cellStyle name="Normal 9 4 3 2 2" xfId="2846" xr:uid="{00000000-0005-0000-0000-0000F8080000}"/>
    <cellStyle name="Normal 9 4 3 3" xfId="1448" xr:uid="{00000000-0005-0000-0000-0000F9080000}"/>
    <cellStyle name="Normal 9 4 3 3 2" xfId="2791" xr:uid="{00000000-0005-0000-0000-0000FA080000}"/>
    <cellStyle name="Normal 9 4 3 4" xfId="1449" xr:uid="{00000000-0005-0000-0000-0000FB080000}"/>
    <cellStyle name="Normal 9 4 3 4 2" xfId="4539" xr:uid="{00000000-0005-0000-0000-0000FC080000}"/>
    <cellStyle name="Normal 9 4 3 5" xfId="1450" xr:uid="{00000000-0005-0000-0000-0000FD080000}"/>
    <cellStyle name="Normal 9 4 3 5 2" xfId="2709" xr:uid="{00000000-0005-0000-0000-0000FE080000}"/>
    <cellStyle name="Normal 9 4 3 6" xfId="1451" xr:uid="{00000000-0005-0000-0000-0000FF080000}"/>
    <cellStyle name="Normal 9 4 3 7" xfId="1452" xr:uid="{00000000-0005-0000-0000-000000090000}"/>
    <cellStyle name="Normal 9 4 3 8" xfId="2656" xr:uid="{00000000-0005-0000-0000-000001090000}"/>
    <cellStyle name="Normal 9 4 4" xfId="1453" xr:uid="{00000000-0005-0000-0000-000002090000}"/>
    <cellStyle name="Normal 9 4 4 2" xfId="1454" xr:uid="{00000000-0005-0000-0000-000003090000}"/>
    <cellStyle name="Normal 9 4 4 2 2" xfId="3150" xr:uid="{00000000-0005-0000-0000-000004090000}"/>
    <cellStyle name="Normal 9 4 4 3" xfId="1455" xr:uid="{00000000-0005-0000-0000-000005090000}"/>
    <cellStyle name="Normal 9 4 4 3 2" xfId="4580" xr:uid="{00000000-0005-0000-0000-000006090000}"/>
    <cellStyle name="Normal 9 4 4 4" xfId="2843" xr:uid="{00000000-0005-0000-0000-000007090000}"/>
    <cellStyle name="Normal 9 4 5" xfId="1456" xr:uid="{00000000-0005-0000-0000-000008090000}"/>
    <cellStyle name="Normal 9 4 5 2" xfId="2743" xr:uid="{00000000-0005-0000-0000-000009090000}"/>
    <cellStyle name="Normal 9 4 6" xfId="1457" xr:uid="{00000000-0005-0000-0000-00000A090000}"/>
    <cellStyle name="Normal 9 4 6 2" xfId="2930" xr:uid="{00000000-0005-0000-0000-00000B090000}"/>
    <cellStyle name="Normal 9 4 7" xfId="1458" xr:uid="{00000000-0005-0000-0000-00000C090000}"/>
    <cellStyle name="Normal 9 4 7 2" xfId="4499" xr:uid="{00000000-0005-0000-0000-00000D090000}"/>
    <cellStyle name="Normal 9 4 8" xfId="1459" xr:uid="{00000000-0005-0000-0000-00000E090000}"/>
    <cellStyle name="Normal 9 4 8 2" xfId="2683" xr:uid="{00000000-0005-0000-0000-00000F090000}"/>
    <cellStyle name="Normal 9 4 9" xfId="1460" xr:uid="{00000000-0005-0000-0000-000010090000}"/>
    <cellStyle name="Normal 9 4_בחירה מרשימה" xfId="1461" xr:uid="{00000000-0005-0000-0000-000011090000}"/>
    <cellStyle name="Normal 9 5" xfId="1462" xr:uid="{00000000-0005-0000-0000-000012090000}"/>
    <cellStyle name="Normal 9 5 10" xfId="2634" xr:uid="{00000000-0005-0000-0000-000013090000}"/>
    <cellStyle name="Normal 9 5 2" xfId="1463" xr:uid="{00000000-0005-0000-0000-000014090000}"/>
    <cellStyle name="Normal 9 5 2 2" xfId="1464" xr:uid="{00000000-0005-0000-0000-000015090000}"/>
    <cellStyle name="Normal 9 5 2 2 2" xfId="2848" xr:uid="{00000000-0005-0000-0000-000016090000}"/>
    <cellStyle name="Normal 9 5 2 3" xfId="1465" xr:uid="{00000000-0005-0000-0000-000017090000}"/>
    <cellStyle name="Normal 9 5 2 3 2" xfId="2811" xr:uid="{00000000-0005-0000-0000-000018090000}"/>
    <cellStyle name="Normal 9 5 2 4" xfId="1466" xr:uid="{00000000-0005-0000-0000-000019090000}"/>
    <cellStyle name="Normal 9 5 2 4 2" xfId="4566" xr:uid="{00000000-0005-0000-0000-00001A090000}"/>
    <cellStyle name="Normal 9 5 2 5" xfId="1467" xr:uid="{00000000-0005-0000-0000-00001B090000}"/>
    <cellStyle name="Normal 9 5 2 5 2" xfId="2727" xr:uid="{00000000-0005-0000-0000-00001C090000}"/>
    <cellStyle name="Normal 9 5 2 6" xfId="1468" xr:uid="{00000000-0005-0000-0000-00001D090000}"/>
    <cellStyle name="Normal 9 5 2 7" xfId="1469" xr:uid="{00000000-0005-0000-0000-00001E090000}"/>
    <cellStyle name="Normal 9 5 2 8" xfId="2674" xr:uid="{00000000-0005-0000-0000-00001F090000}"/>
    <cellStyle name="Normal 9 5 3" xfId="1470" xr:uid="{00000000-0005-0000-0000-000020090000}"/>
    <cellStyle name="Normal 9 5 3 2" xfId="1471" xr:uid="{00000000-0005-0000-0000-000021090000}"/>
    <cellStyle name="Normal 9 5 3 2 2" xfId="3166" xr:uid="{00000000-0005-0000-0000-000022090000}"/>
    <cellStyle name="Normal 9 5 3 3" xfId="1472" xr:uid="{00000000-0005-0000-0000-000023090000}"/>
    <cellStyle name="Normal 9 5 3 3 2" xfId="4596" xr:uid="{00000000-0005-0000-0000-000024090000}"/>
    <cellStyle name="Normal 9 5 3 4" xfId="2847" xr:uid="{00000000-0005-0000-0000-000025090000}"/>
    <cellStyle name="Normal 9 5 4" xfId="1473" xr:uid="{00000000-0005-0000-0000-000026090000}"/>
    <cellStyle name="Normal 9 5 4 2" xfId="2755" xr:uid="{00000000-0005-0000-0000-000027090000}"/>
    <cellStyle name="Normal 9 5 5" xfId="1474" xr:uid="{00000000-0005-0000-0000-000028090000}"/>
    <cellStyle name="Normal 9 5 5 2" xfId="2963" xr:uid="{00000000-0005-0000-0000-000029090000}"/>
    <cellStyle name="Normal 9 5 6" xfId="1475" xr:uid="{00000000-0005-0000-0000-00002A090000}"/>
    <cellStyle name="Normal 9 5 6 2" xfId="4508" xr:uid="{00000000-0005-0000-0000-00002B090000}"/>
    <cellStyle name="Normal 9 5 7" xfId="1476" xr:uid="{00000000-0005-0000-0000-00002C090000}"/>
    <cellStyle name="Normal 9 5 7 2" xfId="2687" xr:uid="{00000000-0005-0000-0000-00002D090000}"/>
    <cellStyle name="Normal 9 5 8" xfId="1477" xr:uid="{00000000-0005-0000-0000-00002E090000}"/>
    <cellStyle name="Normal 9 5 9" xfId="1478" xr:uid="{00000000-0005-0000-0000-00002F090000}"/>
    <cellStyle name="Normal 9 6" xfId="1479" xr:uid="{00000000-0005-0000-0000-000030090000}"/>
    <cellStyle name="Normal 9 6 2" xfId="1480" xr:uid="{00000000-0005-0000-0000-000031090000}"/>
    <cellStyle name="Normal 9 6 2 2" xfId="2849" xr:uid="{00000000-0005-0000-0000-000032090000}"/>
    <cellStyle name="Normal 9 6 3" xfId="1481" xr:uid="{00000000-0005-0000-0000-000033090000}"/>
    <cellStyle name="Normal 9 6 3 2" xfId="2779" xr:uid="{00000000-0005-0000-0000-000034090000}"/>
    <cellStyle name="Normal 9 6 4" xfId="1482" xr:uid="{00000000-0005-0000-0000-000035090000}"/>
    <cellStyle name="Normal 9 6 4 2" xfId="4528" xr:uid="{00000000-0005-0000-0000-000036090000}"/>
    <cellStyle name="Normal 9 6 5" xfId="1483" xr:uid="{00000000-0005-0000-0000-000037090000}"/>
    <cellStyle name="Normal 9 6 5 2" xfId="2699" xr:uid="{00000000-0005-0000-0000-000038090000}"/>
    <cellStyle name="Normal 9 6 6" xfId="1484" xr:uid="{00000000-0005-0000-0000-000039090000}"/>
    <cellStyle name="Normal 9 6 7" xfId="1485" xr:uid="{00000000-0005-0000-0000-00003A090000}"/>
    <cellStyle name="Normal 9 6 8" xfId="2646" xr:uid="{00000000-0005-0000-0000-00003B090000}"/>
    <cellStyle name="Normal 9 7" xfId="1486" xr:uid="{00000000-0005-0000-0000-00003C090000}"/>
    <cellStyle name="Normal 9 7 2" xfId="1487" xr:uid="{00000000-0005-0000-0000-00003D090000}"/>
    <cellStyle name="Normal 9 7 2 2" xfId="3127" xr:uid="{00000000-0005-0000-0000-00003E090000}"/>
    <cellStyle name="Normal 9 7 3" xfId="1488" xr:uid="{00000000-0005-0000-0000-00003F090000}"/>
    <cellStyle name="Normal 9 7 3 2" xfId="3032" xr:uid="{00000000-0005-0000-0000-000040090000}"/>
    <cellStyle name="Normal 9 7 4" xfId="1489" xr:uid="{00000000-0005-0000-0000-000041090000}"/>
    <cellStyle name="Normal 9 7 4 2" xfId="4551" xr:uid="{00000000-0005-0000-0000-000042090000}"/>
    <cellStyle name="Normal 9 7 5" xfId="2816" xr:uid="{00000000-0005-0000-0000-000043090000}"/>
    <cellStyle name="Normal 9 8" xfId="1490" xr:uid="{00000000-0005-0000-0000-000044090000}"/>
    <cellStyle name="Normal 9 8 2" xfId="2735" xr:uid="{00000000-0005-0000-0000-000045090000}"/>
    <cellStyle name="Normal 9 9" xfId="1491" xr:uid="{00000000-0005-0000-0000-000046090000}"/>
    <cellStyle name="Normal 9 9 2" xfId="2909" xr:uid="{00000000-0005-0000-0000-000047090000}"/>
    <cellStyle name="Normal 9_בחירה מרשימה" xfId="1492" xr:uid="{00000000-0005-0000-0000-000048090000}"/>
    <cellStyle name="Note" xfId="37" xr:uid="{00000000-0005-0000-0000-000049090000}"/>
    <cellStyle name="Note 10" xfId="1493" xr:uid="{00000000-0005-0000-0000-00004A090000}"/>
    <cellStyle name="Note 2" xfId="205" xr:uid="{00000000-0005-0000-0000-00004B090000}"/>
    <cellStyle name="Note 2 10" xfId="1494" xr:uid="{00000000-0005-0000-0000-00004C090000}"/>
    <cellStyle name="Note 2 2" xfId="1495" xr:uid="{00000000-0005-0000-0000-00004D090000}"/>
    <cellStyle name="Note 2 2 2" xfId="1496" xr:uid="{00000000-0005-0000-0000-00004E090000}"/>
    <cellStyle name="Note 2 2 2 10" xfId="1497" xr:uid="{00000000-0005-0000-0000-00004F090000}"/>
    <cellStyle name="Note 2 2 2 10 2" xfId="2728" xr:uid="{00000000-0005-0000-0000-000050090000}"/>
    <cellStyle name="Note 2 2 2 11" xfId="2675" xr:uid="{00000000-0005-0000-0000-000051090000}"/>
    <cellStyle name="Note 2 2 2 2" xfId="1498" xr:uid="{00000000-0005-0000-0000-000052090000}"/>
    <cellStyle name="Note 2 2 2 2 2" xfId="1499" xr:uid="{00000000-0005-0000-0000-000053090000}"/>
    <cellStyle name="Note 2 2 2 2 2 2" xfId="1500" xr:uid="{00000000-0005-0000-0000-000054090000}"/>
    <cellStyle name="Note 2 2 2 2 2 2 2" xfId="1501" xr:uid="{00000000-0005-0000-0000-000055090000}"/>
    <cellStyle name="Note 2 2 2 2 2 2 2 2" xfId="4091" xr:uid="{00000000-0005-0000-0000-000056090000}"/>
    <cellStyle name="Note 2 2 2 2 2 2 3" xfId="3424" xr:uid="{00000000-0005-0000-0000-000057090000}"/>
    <cellStyle name="Note 2 2 2 2 2 3" xfId="1502" xr:uid="{00000000-0005-0000-0000-000058090000}"/>
    <cellStyle name="Note 2 2 2 2 2 3 2" xfId="1503" xr:uid="{00000000-0005-0000-0000-000059090000}"/>
    <cellStyle name="Note 2 2 2 2 2 3 2 2" xfId="4268" xr:uid="{00000000-0005-0000-0000-00005A090000}"/>
    <cellStyle name="Note 2 2 2 2 2 3 3" xfId="3601" xr:uid="{00000000-0005-0000-0000-00005B090000}"/>
    <cellStyle name="Note 2 2 2 2 2 4" xfId="1504" xr:uid="{00000000-0005-0000-0000-00005C090000}"/>
    <cellStyle name="Note 2 2 2 2 2 4 2" xfId="1505" xr:uid="{00000000-0005-0000-0000-00005D090000}"/>
    <cellStyle name="Note 2 2 2 2 2 4 2 2" xfId="4457" xr:uid="{00000000-0005-0000-0000-00005E090000}"/>
    <cellStyle name="Note 2 2 2 2 2 4 3" xfId="3790" xr:uid="{00000000-0005-0000-0000-00005F090000}"/>
    <cellStyle name="Note 2 2 2 2 2 5" xfId="3206" xr:uid="{00000000-0005-0000-0000-000060090000}"/>
    <cellStyle name="Note 2 2 2 2 3" xfId="1506" xr:uid="{00000000-0005-0000-0000-000061090000}"/>
    <cellStyle name="Note 2 2 2 2 3 2" xfId="1507" xr:uid="{00000000-0005-0000-0000-000062090000}"/>
    <cellStyle name="Note 2 2 2 2 3 2 2" xfId="1508" xr:uid="{00000000-0005-0000-0000-000063090000}"/>
    <cellStyle name="Note 2 2 2 2 3 2 2 2" xfId="4111" xr:uid="{00000000-0005-0000-0000-000064090000}"/>
    <cellStyle name="Note 2 2 2 2 3 2 3" xfId="3444" xr:uid="{00000000-0005-0000-0000-000065090000}"/>
    <cellStyle name="Note 2 2 2 2 3 3" xfId="1509" xr:uid="{00000000-0005-0000-0000-000066090000}"/>
    <cellStyle name="Note 2 2 2 2 3 3 2" xfId="1510" xr:uid="{00000000-0005-0000-0000-000067090000}"/>
    <cellStyle name="Note 2 2 2 2 3 3 2 2" xfId="4296" xr:uid="{00000000-0005-0000-0000-000068090000}"/>
    <cellStyle name="Note 2 2 2 2 3 3 3" xfId="3629" xr:uid="{00000000-0005-0000-0000-000069090000}"/>
    <cellStyle name="Note 2 2 2 2 3 4" xfId="1511" xr:uid="{00000000-0005-0000-0000-00006A090000}"/>
    <cellStyle name="Note 2 2 2 2 3 4 2" xfId="1512" xr:uid="{00000000-0005-0000-0000-00006B090000}"/>
    <cellStyle name="Note 2 2 2 2 3 4 2 2" xfId="4485" xr:uid="{00000000-0005-0000-0000-00006C090000}"/>
    <cellStyle name="Note 2 2 2 2 3 4 3" xfId="3818" xr:uid="{00000000-0005-0000-0000-00006D090000}"/>
    <cellStyle name="Note 2 2 2 2 3 5" xfId="3234" xr:uid="{00000000-0005-0000-0000-00006E090000}"/>
    <cellStyle name="Note 2 2 2 2 4" xfId="1513" xr:uid="{00000000-0005-0000-0000-00006F090000}"/>
    <cellStyle name="Note 2 2 2 2 4 2" xfId="1514" xr:uid="{00000000-0005-0000-0000-000070090000}"/>
    <cellStyle name="Note 2 2 2 2 4 2 2" xfId="3986" xr:uid="{00000000-0005-0000-0000-000071090000}"/>
    <cellStyle name="Note 2 2 2 2 4 3" xfId="3319" xr:uid="{00000000-0005-0000-0000-000072090000}"/>
    <cellStyle name="Note 2 2 2 2 5" xfId="1515" xr:uid="{00000000-0005-0000-0000-000073090000}"/>
    <cellStyle name="Note 2 2 2 2 5 2" xfId="1516" xr:uid="{00000000-0005-0000-0000-000074090000}"/>
    <cellStyle name="Note 2 2 2 2 5 2 2" xfId="4164" xr:uid="{00000000-0005-0000-0000-000075090000}"/>
    <cellStyle name="Note 2 2 2 2 5 3" xfId="3497" xr:uid="{00000000-0005-0000-0000-000076090000}"/>
    <cellStyle name="Note 2 2 2 2 6" xfId="1517" xr:uid="{00000000-0005-0000-0000-000077090000}"/>
    <cellStyle name="Note 2 2 2 2 6 2" xfId="1518" xr:uid="{00000000-0005-0000-0000-000078090000}"/>
    <cellStyle name="Note 2 2 2 2 6 2 2" xfId="4353" xr:uid="{00000000-0005-0000-0000-000079090000}"/>
    <cellStyle name="Note 2 2 2 2 6 3" xfId="3686" xr:uid="{00000000-0005-0000-0000-00007A090000}"/>
    <cellStyle name="Note 2 2 2 2 7" xfId="1519" xr:uid="{00000000-0005-0000-0000-00007B090000}"/>
    <cellStyle name="Note 2 2 2 2 7 2" xfId="3090" xr:uid="{00000000-0005-0000-0000-00007C090000}"/>
    <cellStyle name="Note 2 2 2 2 8" xfId="1520" xr:uid="{00000000-0005-0000-0000-00007D090000}"/>
    <cellStyle name="Note 2 2 2 2 8 2" xfId="4636" xr:uid="{00000000-0005-0000-0000-00007E090000}"/>
    <cellStyle name="Note 2 2 2 2 9" xfId="2852" xr:uid="{00000000-0005-0000-0000-00007F090000}"/>
    <cellStyle name="Note 2 2 2 3" xfId="1521" xr:uid="{00000000-0005-0000-0000-000080090000}"/>
    <cellStyle name="Note 2 2 2 3 2" xfId="1522" xr:uid="{00000000-0005-0000-0000-000081090000}"/>
    <cellStyle name="Note 2 2 2 3 2 2" xfId="1523" xr:uid="{00000000-0005-0000-0000-000082090000}"/>
    <cellStyle name="Note 2 2 2 3 2 2 2" xfId="4032" xr:uid="{00000000-0005-0000-0000-000083090000}"/>
    <cellStyle name="Note 2 2 2 3 2 3" xfId="3365" xr:uid="{00000000-0005-0000-0000-000084090000}"/>
    <cellStyle name="Note 2 2 2 3 3" xfId="1524" xr:uid="{00000000-0005-0000-0000-000085090000}"/>
    <cellStyle name="Note 2 2 2 3 3 2" xfId="1525" xr:uid="{00000000-0005-0000-0000-000086090000}"/>
    <cellStyle name="Note 2 2 2 3 3 2 2" xfId="4210" xr:uid="{00000000-0005-0000-0000-000087090000}"/>
    <cellStyle name="Note 2 2 2 3 3 3" xfId="3543" xr:uid="{00000000-0005-0000-0000-000088090000}"/>
    <cellStyle name="Note 2 2 2 3 4" xfId="1526" xr:uid="{00000000-0005-0000-0000-000089090000}"/>
    <cellStyle name="Note 2 2 2 3 4 2" xfId="1527" xr:uid="{00000000-0005-0000-0000-00008A090000}"/>
    <cellStyle name="Note 2 2 2 3 4 2 2" xfId="4399" xr:uid="{00000000-0005-0000-0000-00008B090000}"/>
    <cellStyle name="Note 2 2 2 3 4 3" xfId="3732" xr:uid="{00000000-0005-0000-0000-00008C090000}"/>
    <cellStyle name="Note 2 2 2 3 5" xfId="1528" xr:uid="{00000000-0005-0000-0000-00008D090000}"/>
    <cellStyle name="Note 2 2 2 3 5 2" xfId="3137" xr:uid="{00000000-0005-0000-0000-00008E090000}"/>
    <cellStyle name="Note 2 2 2 3 6" xfId="2812" xr:uid="{00000000-0005-0000-0000-00008F090000}"/>
    <cellStyle name="Note 2 2 2 4" xfId="1529" xr:uid="{00000000-0005-0000-0000-000090090000}"/>
    <cellStyle name="Note 2 2 2 4 2" xfId="3044" xr:uid="{00000000-0005-0000-0000-000091090000}"/>
    <cellStyle name="Note 2 2 2 5" xfId="1530" xr:uid="{00000000-0005-0000-0000-000092090000}"/>
    <cellStyle name="Note 2 2 2 5 2" xfId="1531" xr:uid="{00000000-0005-0000-0000-000093090000}"/>
    <cellStyle name="Note 2 2 2 5 2 2" xfId="3931" xr:uid="{00000000-0005-0000-0000-000094090000}"/>
    <cellStyle name="Note 2 2 2 5 3" xfId="3264" xr:uid="{00000000-0005-0000-0000-000095090000}"/>
    <cellStyle name="Note 2 2 2 6" xfId="1532" xr:uid="{00000000-0005-0000-0000-000096090000}"/>
    <cellStyle name="Note 2 2 2 6 2" xfId="1533" xr:uid="{00000000-0005-0000-0000-000097090000}"/>
    <cellStyle name="Note 2 2 2 6 2 2" xfId="3849" xr:uid="{00000000-0005-0000-0000-000098090000}"/>
    <cellStyle name="Note 2 2 2 6 3" xfId="2945" xr:uid="{00000000-0005-0000-0000-000099090000}"/>
    <cellStyle name="Note 2 2 2 7" xfId="1534" xr:uid="{00000000-0005-0000-0000-00009A090000}"/>
    <cellStyle name="Note 2 2 2 7 2" xfId="1535" xr:uid="{00000000-0005-0000-0000-00009B090000}"/>
    <cellStyle name="Note 2 2 2 7 2 2" xfId="4298" xr:uid="{00000000-0005-0000-0000-00009C090000}"/>
    <cellStyle name="Note 2 2 2 7 3" xfId="3631" xr:uid="{00000000-0005-0000-0000-00009D090000}"/>
    <cellStyle name="Note 2 2 2 8" xfId="1536" xr:uid="{00000000-0005-0000-0000-00009E090000}"/>
    <cellStyle name="Note 2 2 2 8 2" xfId="2874" xr:uid="{00000000-0005-0000-0000-00009F090000}"/>
    <cellStyle name="Note 2 2 2 9" xfId="1537" xr:uid="{00000000-0005-0000-0000-0000A0090000}"/>
    <cellStyle name="Note 2 2 2 9 2" xfId="4567" xr:uid="{00000000-0005-0000-0000-0000A1090000}"/>
    <cellStyle name="Note 2 2 3" xfId="1538" xr:uid="{00000000-0005-0000-0000-0000A2090000}"/>
    <cellStyle name="Note 2 2 3 2" xfId="1539" xr:uid="{00000000-0005-0000-0000-0000A3090000}"/>
    <cellStyle name="Note 2 2 3 2 2" xfId="1540" xr:uid="{00000000-0005-0000-0000-0000A4090000}"/>
    <cellStyle name="Note 2 2 3 2 2 2" xfId="1541" xr:uid="{00000000-0005-0000-0000-0000A5090000}"/>
    <cellStyle name="Note 2 2 3 2 2 2 2" xfId="4061" xr:uid="{00000000-0005-0000-0000-0000A6090000}"/>
    <cellStyle name="Note 2 2 3 2 2 3" xfId="3394" xr:uid="{00000000-0005-0000-0000-0000A7090000}"/>
    <cellStyle name="Note 2 2 3 2 3" xfId="1542" xr:uid="{00000000-0005-0000-0000-0000A8090000}"/>
    <cellStyle name="Note 2 2 3 2 3 2" xfId="1543" xr:uid="{00000000-0005-0000-0000-0000A9090000}"/>
    <cellStyle name="Note 2 2 3 2 3 2 2" xfId="4238" xr:uid="{00000000-0005-0000-0000-0000AA090000}"/>
    <cellStyle name="Note 2 2 3 2 3 3" xfId="3571" xr:uid="{00000000-0005-0000-0000-0000AB090000}"/>
    <cellStyle name="Note 2 2 3 2 4" xfId="1544" xr:uid="{00000000-0005-0000-0000-0000AC090000}"/>
    <cellStyle name="Note 2 2 3 2 4 2" xfId="1545" xr:uid="{00000000-0005-0000-0000-0000AD090000}"/>
    <cellStyle name="Note 2 2 3 2 4 2 2" xfId="4427" xr:uid="{00000000-0005-0000-0000-0000AE090000}"/>
    <cellStyle name="Note 2 2 3 2 4 3" xfId="3760" xr:uid="{00000000-0005-0000-0000-0000AF090000}"/>
    <cellStyle name="Note 2 2 3 2 5" xfId="3176" xr:uid="{00000000-0005-0000-0000-0000B0090000}"/>
    <cellStyle name="Note 2 2 3 3" xfId="1546" xr:uid="{00000000-0005-0000-0000-0000B1090000}"/>
    <cellStyle name="Note 2 2 3 3 2" xfId="1547" xr:uid="{00000000-0005-0000-0000-0000B2090000}"/>
    <cellStyle name="Note 2 2 3 3 2 2" xfId="3958" xr:uid="{00000000-0005-0000-0000-0000B3090000}"/>
    <cellStyle name="Note 2 2 3 3 3" xfId="3291" xr:uid="{00000000-0005-0000-0000-0000B4090000}"/>
    <cellStyle name="Note 2 2 3 4" xfId="1548" xr:uid="{00000000-0005-0000-0000-0000B5090000}"/>
    <cellStyle name="Note 2 2 3 4 2" xfId="1549" xr:uid="{00000000-0005-0000-0000-0000B6090000}"/>
    <cellStyle name="Note 2 2 3 4 2 2" xfId="4136" xr:uid="{00000000-0005-0000-0000-0000B7090000}"/>
    <cellStyle name="Note 2 2 3 4 3" xfId="3469" xr:uid="{00000000-0005-0000-0000-0000B8090000}"/>
    <cellStyle name="Note 2 2 3 5" xfId="1550" xr:uid="{00000000-0005-0000-0000-0000B9090000}"/>
    <cellStyle name="Note 2 2 3 5 2" xfId="1551" xr:uid="{00000000-0005-0000-0000-0000BA090000}"/>
    <cellStyle name="Note 2 2 3 5 2 2" xfId="4325" xr:uid="{00000000-0005-0000-0000-0000BB090000}"/>
    <cellStyle name="Note 2 2 3 5 3" xfId="3658" xr:uid="{00000000-0005-0000-0000-0000BC090000}"/>
    <cellStyle name="Note 2 2 3 6" xfId="1552" xr:uid="{00000000-0005-0000-0000-0000BD090000}"/>
    <cellStyle name="Note 2 2 3 6 2" xfId="4606" xr:uid="{00000000-0005-0000-0000-0000BE090000}"/>
    <cellStyle name="Note 2 2 3 7" xfId="2851" xr:uid="{00000000-0005-0000-0000-0000BF090000}"/>
    <cellStyle name="Note 2 2 4" xfId="1553" xr:uid="{00000000-0005-0000-0000-0000C0090000}"/>
    <cellStyle name="Note 2 2 4 2" xfId="1554" xr:uid="{00000000-0005-0000-0000-0000C1090000}"/>
    <cellStyle name="Note 2 2 4 2 2" xfId="1555" xr:uid="{00000000-0005-0000-0000-0000C2090000}"/>
    <cellStyle name="Note 2 2 4 2 2 2" xfId="1556" xr:uid="{00000000-0005-0000-0000-0000C3090000}"/>
    <cellStyle name="Note 2 2 4 2 2 2 2" xfId="4068" xr:uid="{00000000-0005-0000-0000-0000C4090000}"/>
    <cellStyle name="Note 2 2 4 2 2 3" xfId="3401" xr:uid="{00000000-0005-0000-0000-0000C5090000}"/>
    <cellStyle name="Note 2 2 4 2 3" xfId="1557" xr:uid="{00000000-0005-0000-0000-0000C6090000}"/>
    <cellStyle name="Note 2 2 4 2 3 2" xfId="1558" xr:uid="{00000000-0005-0000-0000-0000C7090000}"/>
    <cellStyle name="Note 2 2 4 2 3 2 2" xfId="4245" xr:uid="{00000000-0005-0000-0000-0000C8090000}"/>
    <cellStyle name="Note 2 2 4 2 3 3" xfId="3578" xr:uid="{00000000-0005-0000-0000-0000C9090000}"/>
    <cellStyle name="Note 2 2 4 2 4" xfId="1559" xr:uid="{00000000-0005-0000-0000-0000CA090000}"/>
    <cellStyle name="Note 2 2 4 2 4 2" xfId="1560" xr:uid="{00000000-0005-0000-0000-0000CB090000}"/>
    <cellStyle name="Note 2 2 4 2 4 2 2" xfId="4434" xr:uid="{00000000-0005-0000-0000-0000CC090000}"/>
    <cellStyle name="Note 2 2 4 2 4 3" xfId="3767" xr:uid="{00000000-0005-0000-0000-0000CD090000}"/>
    <cellStyle name="Note 2 2 4 2 5" xfId="3183" xr:uid="{00000000-0005-0000-0000-0000CE090000}"/>
    <cellStyle name="Note 2 2 4 3" xfId="1561" xr:uid="{00000000-0005-0000-0000-0000CF090000}"/>
    <cellStyle name="Note 2 2 4 3 2" xfId="1562" xr:uid="{00000000-0005-0000-0000-0000D0090000}"/>
    <cellStyle name="Note 2 2 4 3 2 2" xfId="3965" xr:uid="{00000000-0005-0000-0000-0000D1090000}"/>
    <cellStyle name="Note 2 2 4 3 3" xfId="3298" xr:uid="{00000000-0005-0000-0000-0000D2090000}"/>
    <cellStyle name="Note 2 2 4 4" xfId="1563" xr:uid="{00000000-0005-0000-0000-0000D3090000}"/>
    <cellStyle name="Note 2 2 4 4 2" xfId="1564" xr:uid="{00000000-0005-0000-0000-0000D4090000}"/>
    <cellStyle name="Note 2 2 4 4 2 2" xfId="4143" xr:uid="{00000000-0005-0000-0000-0000D5090000}"/>
    <cellStyle name="Note 2 2 4 4 3" xfId="3476" xr:uid="{00000000-0005-0000-0000-0000D6090000}"/>
    <cellStyle name="Note 2 2 4 5" xfId="1565" xr:uid="{00000000-0005-0000-0000-0000D7090000}"/>
    <cellStyle name="Note 2 2 4 5 2" xfId="1566" xr:uid="{00000000-0005-0000-0000-0000D8090000}"/>
    <cellStyle name="Note 2 2 4 5 2 2" xfId="4332" xr:uid="{00000000-0005-0000-0000-0000D9090000}"/>
    <cellStyle name="Note 2 2 4 5 3" xfId="3665" xr:uid="{00000000-0005-0000-0000-0000DA090000}"/>
    <cellStyle name="Note 2 2 4 6" xfId="1567" xr:uid="{00000000-0005-0000-0000-0000DB090000}"/>
    <cellStyle name="Note 2 2 4 6 2" xfId="3069" xr:uid="{00000000-0005-0000-0000-0000DC090000}"/>
    <cellStyle name="Note 2 2 4 7" xfId="1568" xr:uid="{00000000-0005-0000-0000-0000DD090000}"/>
    <cellStyle name="Note 2 2 4 7 2" xfId="4613" xr:uid="{00000000-0005-0000-0000-0000DE090000}"/>
    <cellStyle name="Note 2 2 4 8" xfId="2765" xr:uid="{00000000-0005-0000-0000-0000DF090000}"/>
    <cellStyle name="Note 2 2 5" xfId="1569" xr:uid="{00000000-0005-0000-0000-0000E0090000}"/>
    <cellStyle name="Note 2 2 5 2" xfId="2975" xr:uid="{00000000-0005-0000-0000-0000E1090000}"/>
    <cellStyle name="Note 2 2 6" xfId="1570" xr:uid="{00000000-0005-0000-0000-0000E2090000}"/>
    <cellStyle name="Note 2 2 6 2" xfId="1571" xr:uid="{00000000-0005-0000-0000-0000E3090000}"/>
    <cellStyle name="Note 2 2 6 2 2" xfId="3882" xr:uid="{00000000-0005-0000-0000-0000E4090000}"/>
    <cellStyle name="Note 2 2 6 3" xfId="2994" xr:uid="{00000000-0005-0000-0000-0000E5090000}"/>
    <cellStyle name="Note 2 2 7" xfId="1572" xr:uid="{00000000-0005-0000-0000-0000E6090000}"/>
    <cellStyle name="Note 2 2 7 2" xfId="2873" xr:uid="{00000000-0005-0000-0000-0000E7090000}"/>
    <cellStyle name="Note 2 2 8" xfId="1573" xr:uid="{00000000-0005-0000-0000-0000E8090000}"/>
    <cellStyle name="Note 2 2 8 2" xfId="4518" xr:uid="{00000000-0005-0000-0000-0000E9090000}"/>
    <cellStyle name="Note 2 2 9" xfId="1574" xr:uid="{00000000-0005-0000-0000-0000EA090000}"/>
    <cellStyle name="Note 2 3" xfId="1575" xr:uid="{00000000-0005-0000-0000-0000EB090000}"/>
    <cellStyle name="Note 2 3 10" xfId="1576" xr:uid="{00000000-0005-0000-0000-0000EC090000}"/>
    <cellStyle name="Note 2 3 10 2" xfId="2710" xr:uid="{00000000-0005-0000-0000-0000ED090000}"/>
    <cellStyle name="Note 2 3 11" xfId="2657" xr:uid="{00000000-0005-0000-0000-0000EE090000}"/>
    <cellStyle name="Note 2 3 2" xfId="1577" xr:uid="{00000000-0005-0000-0000-0000EF090000}"/>
    <cellStyle name="Note 2 3 2 2" xfId="1578" xr:uid="{00000000-0005-0000-0000-0000F0090000}"/>
    <cellStyle name="Note 2 3 2 2 2" xfId="1579" xr:uid="{00000000-0005-0000-0000-0000F1090000}"/>
    <cellStyle name="Note 2 3 2 2 2 2" xfId="1580" xr:uid="{00000000-0005-0000-0000-0000F2090000}"/>
    <cellStyle name="Note 2 3 2 2 2 2 2" xfId="4001" xr:uid="{00000000-0005-0000-0000-0000F3090000}"/>
    <cellStyle name="Note 2 3 2 2 2 3" xfId="3334" xr:uid="{00000000-0005-0000-0000-0000F4090000}"/>
    <cellStyle name="Note 2 3 2 2 3" xfId="1581" xr:uid="{00000000-0005-0000-0000-0000F5090000}"/>
    <cellStyle name="Note 2 3 2 2 3 2" xfId="1582" xr:uid="{00000000-0005-0000-0000-0000F6090000}"/>
    <cellStyle name="Note 2 3 2 2 3 2 2" xfId="4179" xr:uid="{00000000-0005-0000-0000-0000F7090000}"/>
    <cellStyle name="Note 2 3 2 2 3 3" xfId="3512" xr:uid="{00000000-0005-0000-0000-0000F8090000}"/>
    <cellStyle name="Note 2 3 2 2 4" xfId="1583" xr:uid="{00000000-0005-0000-0000-0000F9090000}"/>
    <cellStyle name="Note 2 3 2 2 4 2" xfId="1584" xr:uid="{00000000-0005-0000-0000-0000FA090000}"/>
    <cellStyle name="Note 2 3 2 2 4 2 2" xfId="4368" xr:uid="{00000000-0005-0000-0000-0000FB090000}"/>
    <cellStyle name="Note 2 3 2 2 4 3" xfId="3701" xr:uid="{00000000-0005-0000-0000-0000FC090000}"/>
    <cellStyle name="Note 2 3 2 2 5" xfId="3105" xr:uid="{00000000-0005-0000-0000-0000FD090000}"/>
    <cellStyle name="Note 2 3 2 3" xfId="1585" xr:uid="{00000000-0005-0000-0000-0000FE090000}"/>
    <cellStyle name="Note 2 3 2 3 2" xfId="1586" xr:uid="{00000000-0005-0000-0000-0000FF090000}"/>
    <cellStyle name="Note 2 3 2 3 2 2" xfId="1587" xr:uid="{00000000-0005-0000-0000-0000000A0000}"/>
    <cellStyle name="Note 2 3 2 3 2 2 2" xfId="3992" xr:uid="{00000000-0005-0000-0000-0000010A0000}"/>
    <cellStyle name="Note 2 3 2 3 2 3" xfId="3325" xr:uid="{00000000-0005-0000-0000-0000020A0000}"/>
    <cellStyle name="Note 2 3 2 3 3" xfId="1588" xr:uid="{00000000-0005-0000-0000-0000030A0000}"/>
    <cellStyle name="Note 2 3 2 3 3 2" xfId="1589" xr:uid="{00000000-0005-0000-0000-0000040A0000}"/>
    <cellStyle name="Note 2 3 2 3 3 2 2" xfId="4169" xr:uid="{00000000-0005-0000-0000-0000050A0000}"/>
    <cellStyle name="Note 2 3 2 3 3 3" xfId="3502" xr:uid="{00000000-0005-0000-0000-0000060A0000}"/>
    <cellStyle name="Note 2 3 2 3 4" xfId="1590" xr:uid="{00000000-0005-0000-0000-0000070A0000}"/>
    <cellStyle name="Note 2 3 2 3 4 2" xfId="1591" xr:uid="{00000000-0005-0000-0000-0000080A0000}"/>
    <cellStyle name="Note 2 3 2 3 4 2 2" xfId="4358" xr:uid="{00000000-0005-0000-0000-0000090A0000}"/>
    <cellStyle name="Note 2 3 2 3 4 3" xfId="3691" xr:uid="{00000000-0005-0000-0000-00000A0A0000}"/>
    <cellStyle name="Note 2 3 2 3 5" xfId="3095" xr:uid="{00000000-0005-0000-0000-00000B0A0000}"/>
    <cellStyle name="Note 2 3 2 4" xfId="1592" xr:uid="{00000000-0005-0000-0000-00000C0A0000}"/>
    <cellStyle name="Note 2 3 2 4 2" xfId="1593" xr:uid="{00000000-0005-0000-0000-00000D0A0000}"/>
    <cellStyle name="Note 2 3 2 4 2 2" xfId="3890" xr:uid="{00000000-0005-0000-0000-00000E0A0000}"/>
    <cellStyle name="Note 2 3 2 4 3" xfId="3002" xr:uid="{00000000-0005-0000-0000-00000F0A0000}"/>
    <cellStyle name="Note 2 3 2 5" xfId="1594" xr:uid="{00000000-0005-0000-0000-0000100A0000}"/>
    <cellStyle name="Note 2 3 2 5 2" xfId="1595" xr:uid="{00000000-0005-0000-0000-0000110A0000}"/>
    <cellStyle name="Note 2 3 2 5 2 2" xfId="3894" xr:uid="{00000000-0005-0000-0000-0000120A0000}"/>
    <cellStyle name="Note 2 3 2 5 3" xfId="3012" xr:uid="{00000000-0005-0000-0000-0000130A0000}"/>
    <cellStyle name="Note 2 3 2 6" xfId="1596" xr:uid="{00000000-0005-0000-0000-0000140A0000}"/>
    <cellStyle name="Note 2 3 2 6 2" xfId="1597" xr:uid="{00000000-0005-0000-0000-0000150A0000}"/>
    <cellStyle name="Note 2 3 2 6 2 2" xfId="3900" xr:uid="{00000000-0005-0000-0000-0000160A0000}"/>
    <cellStyle name="Note 2 3 2 6 3" xfId="3026" xr:uid="{00000000-0005-0000-0000-0000170A0000}"/>
    <cellStyle name="Note 2 3 2 7" xfId="1598" xr:uid="{00000000-0005-0000-0000-0000180A0000}"/>
    <cellStyle name="Note 2 3 2 7 2" xfId="2992" xr:uid="{00000000-0005-0000-0000-0000190A0000}"/>
    <cellStyle name="Note 2 3 2 8" xfId="1599" xr:uid="{00000000-0005-0000-0000-00001A0A0000}"/>
    <cellStyle name="Note 2 3 2 8 2" xfId="4524" xr:uid="{00000000-0005-0000-0000-00001B0A0000}"/>
    <cellStyle name="Note 2 3 2 9" xfId="2853" xr:uid="{00000000-0005-0000-0000-00001C0A0000}"/>
    <cellStyle name="Note 2 3 3" xfId="1600" xr:uid="{00000000-0005-0000-0000-00001D0A0000}"/>
    <cellStyle name="Note 2 3 3 2" xfId="1601" xr:uid="{00000000-0005-0000-0000-00001E0A0000}"/>
    <cellStyle name="Note 2 3 3 2 2" xfId="1602" xr:uid="{00000000-0005-0000-0000-00001F0A0000}"/>
    <cellStyle name="Note 2 3 3 2 2 2" xfId="4014" xr:uid="{00000000-0005-0000-0000-0000200A0000}"/>
    <cellStyle name="Note 2 3 3 2 3" xfId="3347" xr:uid="{00000000-0005-0000-0000-0000210A0000}"/>
    <cellStyle name="Note 2 3 3 3" xfId="1603" xr:uid="{00000000-0005-0000-0000-0000220A0000}"/>
    <cellStyle name="Note 2 3 3 3 2" xfId="1604" xr:uid="{00000000-0005-0000-0000-0000230A0000}"/>
    <cellStyle name="Note 2 3 3 3 2 2" xfId="4192" xr:uid="{00000000-0005-0000-0000-0000240A0000}"/>
    <cellStyle name="Note 2 3 3 3 3" xfId="3525" xr:uid="{00000000-0005-0000-0000-0000250A0000}"/>
    <cellStyle name="Note 2 3 3 4" xfId="1605" xr:uid="{00000000-0005-0000-0000-0000260A0000}"/>
    <cellStyle name="Note 2 3 3 4 2" xfId="1606" xr:uid="{00000000-0005-0000-0000-0000270A0000}"/>
    <cellStyle name="Note 2 3 3 4 2 2" xfId="4381" xr:uid="{00000000-0005-0000-0000-0000280A0000}"/>
    <cellStyle name="Note 2 3 3 4 3" xfId="3714" xr:uid="{00000000-0005-0000-0000-0000290A0000}"/>
    <cellStyle name="Note 2 3 3 5" xfId="1607" xr:uid="{00000000-0005-0000-0000-00002A0A0000}"/>
    <cellStyle name="Note 2 3 3 5 2" xfId="3118" xr:uid="{00000000-0005-0000-0000-00002B0A0000}"/>
    <cellStyle name="Note 2 3 3 6" xfId="2792" xr:uid="{00000000-0005-0000-0000-00002C0A0000}"/>
    <cellStyle name="Note 2 3 4" xfId="1608" xr:uid="{00000000-0005-0000-0000-00002D0A0000}"/>
    <cellStyle name="Note 2 3 4 2" xfId="3021" xr:uid="{00000000-0005-0000-0000-00002E0A0000}"/>
    <cellStyle name="Note 2 3 5" xfId="1609" xr:uid="{00000000-0005-0000-0000-00002F0A0000}"/>
    <cellStyle name="Note 2 3 5 2" xfId="1610" xr:uid="{00000000-0005-0000-0000-0000300A0000}"/>
    <cellStyle name="Note 2 3 5 2 2" xfId="3910" xr:uid="{00000000-0005-0000-0000-0000310A0000}"/>
    <cellStyle name="Note 2 3 5 3" xfId="3243" xr:uid="{00000000-0005-0000-0000-0000320A0000}"/>
    <cellStyle name="Note 2 3 6" xfId="1611" xr:uid="{00000000-0005-0000-0000-0000330A0000}"/>
    <cellStyle name="Note 2 3 6 2" xfId="1612" xr:uid="{00000000-0005-0000-0000-0000340A0000}"/>
    <cellStyle name="Note 2 3 6 2 2" xfId="3881" xr:uid="{00000000-0005-0000-0000-0000350A0000}"/>
    <cellStyle name="Note 2 3 6 3" xfId="2991" xr:uid="{00000000-0005-0000-0000-0000360A0000}"/>
    <cellStyle name="Note 2 3 7" xfId="1613" xr:uid="{00000000-0005-0000-0000-0000370A0000}"/>
    <cellStyle name="Note 2 3 7 2" xfId="1614" xr:uid="{00000000-0005-0000-0000-0000380A0000}"/>
    <cellStyle name="Note 2 3 7 2 2" xfId="3915" xr:uid="{00000000-0005-0000-0000-0000390A0000}"/>
    <cellStyle name="Note 2 3 7 3" xfId="3248" xr:uid="{00000000-0005-0000-0000-00003A0A0000}"/>
    <cellStyle name="Note 2 3 8" xfId="1615" xr:uid="{00000000-0005-0000-0000-00003B0A0000}"/>
    <cellStyle name="Note 2 3 8 2" xfId="2875" xr:uid="{00000000-0005-0000-0000-00003C0A0000}"/>
    <cellStyle name="Note 2 3 9" xfId="1616" xr:uid="{00000000-0005-0000-0000-00003D0A0000}"/>
    <cellStyle name="Note 2 3 9 2" xfId="4540" xr:uid="{00000000-0005-0000-0000-00003E0A0000}"/>
    <cellStyle name="Note 2 4" xfId="1617" xr:uid="{00000000-0005-0000-0000-00003F0A0000}"/>
    <cellStyle name="Note 2 4 2" xfId="1618" xr:uid="{00000000-0005-0000-0000-0000400A0000}"/>
    <cellStyle name="Note 2 4 2 2" xfId="1619" xr:uid="{00000000-0005-0000-0000-0000410A0000}"/>
    <cellStyle name="Note 2 4 2 2 2" xfId="1620" xr:uid="{00000000-0005-0000-0000-0000420A0000}"/>
    <cellStyle name="Note 2 4 2 2 2 2" xfId="4045" xr:uid="{00000000-0005-0000-0000-0000430A0000}"/>
    <cellStyle name="Note 2 4 2 2 3" xfId="3378" xr:uid="{00000000-0005-0000-0000-0000440A0000}"/>
    <cellStyle name="Note 2 4 2 3" xfId="1621" xr:uid="{00000000-0005-0000-0000-0000450A0000}"/>
    <cellStyle name="Note 2 4 2 3 2" xfId="1622" xr:uid="{00000000-0005-0000-0000-0000460A0000}"/>
    <cellStyle name="Note 2 4 2 3 2 2" xfId="4222" xr:uid="{00000000-0005-0000-0000-0000470A0000}"/>
    <cellStyle name="Note 2 4 2 3 3" xfId="3555" xr:uid="{00000000-0005-0000-0000-0000480A0000}"/>
    <cellStyle name="Note 2 4 2 4" xfId="1623" xr:uid="{00000000-0005-0000-0000-0000490A0000}"/>
    <cellStyle name="Note 2 4 2 4 2" xfId="1624" xr:uid="{00000000-0005-0000-0000-00004A0A0000}"/>
    <cellStyle name="Note 2 4 2 4 2 2" xfId="4411" xr:uid="{00000000-0005-0000-0000-00004B0A0000}"/>
    <cellStyle name="Note 2 4 2 4 3" xfId="3744" xr:uid="{00000000-0005-0000-0000-00004C0A0000}"/>
    <cellStyle name="Note 2 4 2 5" xfId="3151" xr:uid="{00000000-0005-0000-0000-00004D0A0000}"/>
    <cellStyle name="Note 2 4 3" xfId="1625" xr:uid="{00000000-0005-0000-0000-00004E0A0000}"/>
    <cellStyle name="Note 2 4 3 2" xfId="1626" xr:uid="{00000000-0005-0000-0000-00004F0A0000}"/>
    <cellStyle name="Note 2 4 3 2 2" xfId="3943" xr:uid="{00000000-0005-0000-0000-0000500A0000}"/>
    <cellStyle name="Note 2 4 3 3" xfId="3276" xr:uid="{00000000-0005-0000-0000-0000510A0000}"/>
    <cellStyle name="Note 2 4 4" xfId="1627" xr:uid="{00000000-0005-0000-0000-0000520A0000}"/>
    <cellStyle name="Note 2 4 4 2" xfId="1628" xr:uid="{00000000-0005-0000-0000-0000530A0000}"/>
    <cellStyle name="Note 2 4 4 2 2" xfId="4121" xr:uid="{00000000-0005-0000-0000-0000540A0000}"/>
    <cellStyle name="Note 2 4 4 3" xfId="3454" xr:uid="{00000000-0005-0000-0000-0000550A0000}"/>
    <cellStyle name="Note 2 4 5" xfId="1629" xr:uid="{00000000-0005-0000-0000-0000560A0000}"/>
    <cellStyle name="Note 2 4 5 2" xfId="1630" xr:uid="{00000000-0005-0000-0000-0000570A0000}"/>
    <cellStyle name="Note 2 4 5 2 2" xfId="4310" xr:uid="{00000000-0005-0000-0000-0000580A0000}"/>
    <cellStyle name="Note 2 4 5 3" xfId="3643" xr:uid="{00000000-0005-0000-0000-0000590A0000}"/>
    <cellStyle name="Note 2 4 6" xfId="1631" xr:uid="{00000000-0005-0000-0000-00005A0A0000}"/>
    <cellStyle name="Note 2 4 6 2" xfId="4581" xr:uid="{00000000-0005-0000-0000-00005B0A0000}"/>
    <cellStyle name="Note 2 4 7" xfId="2850" xr:uid="{00000000-0005-0000-0000-00005C0A0000}"/>
    <cellStyle name="Note 2 5" xfId="1632" xr:uid="{00000000-0005-0000-0000-00005D0A0000}"/>
    <cellStyle name="Note 2 5 2" xfId="1633" xr:uid="{00000000-0005-0000-0000-00005E0A0000}"/>
    <cellStyle name="Note 2 5 2 2" xfId="1634" xr:uid="{00000000-0005-0000-0000-00005F0A0000}"/>
    <cellStyle name="Note 2 5 2 2 2" xfId="1635" xr:uid="{00000000-0005-0000-0000-0000600A0000}"/>
    <cellStyle name="Note 2 5 2 2 2 2" xfId="4078" xr:uid="{00000000-0005-0000-0000-0000610A0000}"/>
    <cellStyle name="Note 2 5 2 2 3" xfId="3411" xr:uid="{00000000-0005-0000-0000-0000620A0000}"/>
    <cellStyle name="Note 2 5 2 3" xfId="1636" xr:uid="{00000000-0005-0000-0000-0000630A0000}"/>
    <cellStyle name="Note 2 5 2 3 2" xfId="1637" xr:uid="{00000000-0005-0000-0000-0000640A0000}"/>
    <cellStyle name="Note 2 5 2 3 2 2" xfId="4255" xr:uid="{00000000-0005-0000-0000-0000650A0000}"/>
    <cellStyle name="Note 2 5 2 3 3" xfId="3588" xr:uid="{00000000-0005-0000-0000-0000660A0000}"/>
    <cellStyle name="Note 2 5 2 4" xfId="1638" xr:uid="{00000000-0005-0000-0000-0000670A0000}"/>
    <cellStyle name="Note 2 5 2 4 2" xfId="1639" xr:uid="{00000000-0005-0000-0000-0000680A0000}"/>
    <cellStyle name="Note 2 5 2 4 2 2" xfId="4444" xr:uid="{00000000-0005-0000-0000-0000690A0000}"/>
    <cellStyle name="Note 2 5 2 4 3" xfId="3777" xr:uid="{00000000-0005-0000-0000-00006A0A0000}"/>
    <cellStyle name="Note 2 5 2 5" xfId="3193" xr:uid="{00000000-0005-0000-0000-00006B0A0000}"/>
    <cellStyle name="Note 2 5 3" xfId="1640" xr:uid="{00000000-0005-0000-0000-00006C0A0000}"/>
    <cellStyle name="Note 2 5 3 2" xfId="1641" xr:uid="{00000000-0005-0000-0000-00006D0A0000}"/>
    <cellStyle name="Note 2 5 3 2 2" xfId="3973" xr:uid="{00000000-0005-0000-0000-00006E0A0000}"/>
    <cellStyle name="Note 2 5 3 3" xfId="3306" xr:uid="{00000000-0005-0000-0000-00006F0A0000}"/>
    <cellStyle name="Note 2 5 4" xfId="1642" xr:uid="{00000000-0005-0000-0000-0000700A0000}"/>
    <cellStyle name="Note 2 5 4 2" xfId="1643" xr:uid="{00000000-0005-0000-0000-0000710A0000}"/>
    <cellStyle name="Note 2 5 4 2 2" xfId="4151" xr:uid="{00000000-0005-0000-0000-0000720A0000}"/>
    <cellStyle name="Note 2 5 4 3" xfId="3484" xr:uid="{00000000-0005-0000-0000-0000730A0000}"/>
    <cellStyle name="Note 2 5 5" xfId="1644" xr:uid="{00000000-0005-0000-0000-0000740A0000}"/>
    <cellStyle name="Note 2 5 5 2" xfId="1645" xr:uid="{00000000-0005-0000-0000-0000750A0000}"/>
    <cellStyle name="Note 2 5 5 2 2" xfId="4340" xr:uid="{00000000-0005-0000-0000-0000760A0000}"/>
    <cellStyle name="Note 2 5 5 3" xfId="3673" xr:uid="{00000000-0005-0000-0000-0000770A0000}"/>
    <cellStyle name="Note 2 5 6" xfId="1646" xr:uid="{00000000-0005-0000-0000-0000780A0000}"/>
    <cellStyle name="Note 2 5 6 2" xfId="3078" xr:uid="{00000000-0005-0000-0000-0000790A0000}"/>
    <cellStyle name="Note 2 5 7" xfId="1647" xr:uid="{00000000-0005-0000-0000-00007A0A0000}"/>
    <cellStyle name="Note 2 5 7 2" xfId="4623" xr:uid="{00000000-0005-0000-0000-00007B0A0000}"/>
    <cellStyle name="Note 2 5 8" xfId="2744" xr:uid="{00000000-0005-0000-0000-00007C0A0000}"/>
    <cellStyle name="Note 2 6" xfId="1648" xr:uid="{00000000-0005-0000-0000-00007D0A0000}"/>
    <cellStyle name="Note 2 6 2" xfId="2931" xr:uid="{00000000-0005-0000-0000-00007E0A0000}"/>
    <cellStyle name="Note 2 7" xfId="1649" xr:uid="{00000000-0005-0000-0000-00007F0A0000}"/>
    <cellStyle name="Note 2 7 2" xfId="1650" xr:uid="{00000000-0005-0000-0000-0000800A0000}"/>
    <cellStyle name="Note 2 7 2 2" xfId="3860" xr:uid="{00000000-0005-0000-0000-0000810A0000}"/>
    <cellStyle name="Note 2 7 3" xfId="2958" xr:uid="{00000000-0005-0000-0000-0000820A0000}"/>
    <cellStyle name="Note 2 8" xfId="1651" xr:uid="{00000000-0005-0000-0000-0000830A0000}"/>
    <cellStyle name="Note 2 8 2" xfId="2872" xr:uid="{00000000-0005-0000-0000-0000840A0000}"/>
    <cellStyle name="Note 2 9" xfId="1652" xr:uid="{00000000-0005-0000-0000-0000850A0000}"/>
    <cellStyle name="Note 2 9 2" xfId="4500" xr:uid="{00000000-0005-0000-0000-0000860A0000}"/>
    <cellStyle name="Note 2_בחירה מרשימה" xfId="1653" xr:uid="{00000000-0005-0000-0000-0000870A0000}"/>
    <cellStyle name="Note 3" xfId="206" xr:uid="{00000000-0005-0000-0000-0000880A0000}"/>
    <cellStyle name="Note 3 10" xfId="1654" xr:uid="{00000000-0005-0000-0000-0000890A0000}"/>
    <cellStyle name="Note 3 2" xfId="1655" xr:uid="{00000000-0005-0000-0000-00008A0A0000}"/>
    <cellStyle name="Note 3 2 2" xfId="1656" xr:uid="{00000000-0005-0000-0000-00008B0A0000}"/>
    <cellStyle name="Note 3 2 2 10" xfId="1657" xr:uid="{00000000-0005-0000-0000-00008C0A0000}"/>
    <cellStyle name="Note 3 2 2 10 2" xfId="2729" xr:uid="{00000000-0005-0000-0000-00008D0A0000}"/>
    <cellStyle name="Note 3 2 2 11" xfId="2676" xr:uid="{00000000-0005-0000-0000-00008E0A0000}"/>
    <cellStyle name="Note 3 2 2 2" xfId="1658" xr:uid="{00000000-0005-0000-0000-00008F0A0000}"/>
    <cellStyle name="Note 3 2 2 2 2" xfId="1659" xr:uid="{00000000-0005-0000-0000-0000900A0000}"/>
    <cellStyle name="Note 3 2 2 2 2 2" xfId="1660" xr:uid="{00000000-0005-0000-0000-0000910A0000}"/>
    <cellStyle name="Note 3 2 2 2 2 2 2" xfId="1661" xr:uid="{00000000-0005-0000-0000-0000920A0000}"/>
    <cellStyle name="Note 3 2 2 2 2 2 2 2" xfId="4092" xr:uid="{00000000-0005-0000-0000-0000930A0000}"/>
    <cellStyle name="Note 3 2 2 2 2 2 3" xfId="3425" xr:uid="{00000000-0005-0000-0000-0000940A0000}"/>
    <cellStyle name="Note 3 2 2 2 2 3" xfId="1662" xr:uid="{00000000-0005-0000-0000-0000950A0000}"/>
    <cellStyle name="Note 3 2 2 2 2 3 2" xfId="1663" xr:uid="{00000000-0005-0000-0000-0000960A0000}"/>
    <cellStyle name="Note 3 2 2 2 2 3 2 2" xfId="4269" xr:uid="{00000000-0005-0000-0000-0000970A0000}"/>
    <cellStyle name="Note 3 2 2 2 2 3 3" xfId="3602" xr:uid="{00000000-0005-0000-0000-0000980A0000}"/>
    <cellStyle name="Note 3 2 2 2 2 4" xfId="1664" xr:uid="{00000000-0005-0000-0000-0000990A0000}"/>
    <cellStyle name="Note 3 2 2 2 2 4 2" xfId="1665" xr:uid="{00000000-0005-0000-0000-00009A0A0000}"/>
    <cellStyle name="Note 3 2 2 2 2 4 2 2" xfId="4458" xr:uid="{00000000-0005-0000-0000-00009B0A0000}"/>
    <cellStyle name="Note 3 2 2 2 2 4 3" xfId="3791" xr:uid="{00000000-0005-0000-0000-00009C0A0000}"/>
    <cellStyle name="Note 3 2 2 2 2 5" xfId="3207" xr:uid="{00000000-0005-0000-0000-00009D0A0000}"/>
    <cellStyle name="Note 3 2 2 2 3" xfId="1666" xr:uid="{00000000-0005-0000-0000-00009E0A0000}"/>
    <cellStyle name="Note 3 2 2 2 3 2" xfId="1667" xr:uid="{00000000-0005-0000-0000-00009F0A0000}"/>
    <cellStyle name="Note 3 2 2 2 3 2 2" xfId="1668" xr:uid="{00000000-0005-0000-0000-0000A00A0000}"/>
    <cellStyle name="Note 3 2 2 2 3 2 2 2" xfId="4112" xr:uid="{00000000-0005-0000-0000-0000A10A0000}"/>
    <cellStyle name="Note 3 2 2 2 3 2 3" xfId="3445" xr:uid="{00000000-0005-0000-0000-0000A20A0000}"/>
    <cellStyle name="Note 3 2 2 2 3 3" xfId="1669" xr:uid="{00000000-0005-0000-0000-0000A30A0000}"/>
    <cellStyle name="Note 3 2 2 2 3 3 2" xfId="1670" xr:uid="{00000000-0005-0000-0000-0000A40A0000}"/>
    <cellStyle name="Note 3 2 2 2 3 3 2 2" xfId="4297" xr:uid="{00000000-0005-0000-0000-0000A50A0000}"/>
    <cellStyle name="Note 3 2 2 2 3 3 3" xfId="3630" xr:uid="{00000000-0005-0000-0000-0000A60A0000}"/>
    <cellStyle name="Note 3 2 2 2 3 4" xfId="1671" xr:uid="{00000000-0005-0000-0000-0000A70A0000}"/>
    <cellStyle name="Note 3 2 2 2 3 4 2" xfId="1672" xr:uid="{00000000-0005-0000-0000-0000A80A0000}"/>
    <cellStyle name="Note 3 2 2 2 3 4 2 2" xfId="4486" xr:uid="{00000000-0005-0000-0000-0000A90A0000}"/>
    <cellStyle name="Note 3 2 2 2 3 4 3" xfId="3819" xr:uid="{00000000-0005-0000-0000-0000AA0A0000}"/>
    <cellStyle name="Note 3 2 2 2 3 5" xfId="3235" xr:uid="{00000000-0005-0000-0000-0000AB0A0000}"/>
    <cellStyle name="Note 3 2 2 2 4" xfId="1673" xr:uid="{00000000-0005-0000-0000-0000AC0A0000}"/>
    <cellStyle name="Note 3 2 2 2 4 2" xfId="1674" xr:uid="{00000000-0005-0000-0000-0000AD0A0000}"/>
    <cellStyle name="Note 3 2 2 2 4 2 2" xfId="3987" xr:uid="{00000000-0005-0000-0000-0000AE0A0000}"/>
    <cellStyle name="Note 3 2 2 2 4 3" xfId="3320" xr:uid="{00000000-0005-0000-0000-0000AF0A0000}"/>
    <cellStyle name="Note 3 2 2 2 5" xfId="1675" xr:uid="{00000000-0005-0000-0000-0000B00A0000}"/>
    <cellStyle name="Note 3 2 2 2 5 2" xfId="1676" xr:uid="{00000000-0005-0000-0000-0000B10A0000}"/>
    <cellStyle name="Note 3 2 2 2 5 2 2" xfId="4165" xr:uid="{00000000-0005-0000-0000-0000B20A0000}"/>
    <cellStyle name="Note 3 2 2 2 5 3" xfId="3498" xr:uid="{00000000-0005-0000-0000-0000B30A0000}"/>
    <cellStyle name="Note 3 2 2 2 6" xfId="1677" xr:uid="{00000000-0005-0000-0000-0000B40A0000}"/>
    <cellStyle name="Note 3 2 2 2 6 2" xfId="1678" xr:uid="{00000000-0005-0000-0000-0000B50A0000}"/>
    <cellStyle name="Note 3 2 2 2 6 2 2" xfId="4354" xr:uid="{00000000-0005-0000-0000-0000B60A0000}"/>
    <cellStyle name="Note 3 2 2 2 6 3" xfId="3687" xr:uid="{00000000-0005-0000-0000-0000B70A0000}"/>
    <cellStyle name="Note 3 2 2 2 7" xfId="1679" xr:uid="{00000000-0005-0000-0000-0000B80A0000}"/>
    <cellStyle name="Note 3 2 2 2 7 2" xfId="3091" xr:uid="{00000000-0005-0000-0000-0000B90A0000}"/>
    <cellStyle name="Note 3 2 2 2 8" xfId="1680" xr:uid="{00000000-0005-0000-0000-0000BA0A0000}"/>
    <cellStyle name="Note 3 2 2 2 8 2" xfId="4637" xr:uid="{00000000-0005-0000-0000-0000BB0A0000}"/>
    <cellStyle name="Note 3 2 2 2 9" xfId="2856" xr:uid="{00000000-0005-0000-0000-0000BC0A0000}"/>
    <cellStyle name="Note 3 2 2 3" xfId="1681" xr:uid="{00000000-0005-0000-0000-0000BD0A0000}"/>
    <cellStyle name="Note 3 2 2 3 2" xfId="1682" xr:uid="{00000000-0005-0000-0000-0000BE0A0000}"/>
    <cellStyle name="Note 3 2 2 3 2 2" xfId="1683" xr:uid="{00000000-0005-0000-0000-0000BF0A0000}"/>
    <cellStyle name="Note 3 2 2 3 2 2 2" xfId="4033" xr:uid="{00000000-0005-0000-0000-0000C00A0000}"/>
    <cellStyle name="Note 3 2 2 3 2 3" xfId="3366" xr:uid="{00000000-0005-0000-0000-0000C10A0000}"/>
    <cellStyle name="Note 3 2 2 3 3" xfId="1684" xr:uid="{00000000-0005-0000-0000-0000C20A0000}"/>
    <cellStyle name="Note 3 2 2 3 3 2" xfId="1685" xr:uid="{00000000-0005-0000-0000-0000C30A0000}"/>
    <cellStyle name="Note 3 2 2 3 3 2 2" xfId="4211" xr:uid="{00000000-0005-0000-0000-0000C40A0000}"/>
    <cellStyle name="Note 3 2 2 3 3 3" xfId="3544" xr:uid="{00000000-0005-0000-0000-0000C50A0000}"/>
    <cellStyle name="Note 3 2 2 3 4" xfId="1686" xr:uid="{00000000-0005-0000-0000-0000C60A0000}"/>
    <cellStyle name="Note 3 2 2 3 4 2" xfId="1687" xr:uid="{00000000-0005-0000-0000-0000C70A0000}"/>
    <cellStyle name="Note 3 2 2 3 4 2 2" xfId="4400" xr:uid="{00000000-0005-0000-0000-0000C80A0000}"/>
    <cellStyle name="Note 3 2 2 3 4 3" xfId="3733" xr:uid="{00000000-0005-0000-0000-0000C90A0000}"/>
    <cellStyle name="Note 3 2 2 3 5" xfId="1688" xr:uid="{00000000-0005-0000-0000-0000CA0A0000}"/>
    <cellStyle name="Note 3 2 2 3 5 2" xfId="3138" xr:uid="{00000000-0005-0000-0000-0000CB0A0000}"/>
    <cellStyle name="Note 3 2 2 3 6" xfId="2813" xr:uid="{00000000-0005-0000-0000-0000CC0A0000}"/>
    <cellStyle name="Note 3 2 2 4" xfId="1689" xr:uid="{00000000-0005-0000-0000-0000CD0A0000}"/>
    <cellStyle name="Note 3 2 2 4 2" xfId="3045" xr:uid="{00000000-0005-0000-0000-0000CE0A0000}"/>
    <cellStyle name="Note 3 2 2 5" xfId="1690" xr:uid="{00000000-0005-0000-0000-0000CF0A0000}"/>
    <cellStyle name="Note 3 2 2 5 2" xfId="1691" xr:uid="{00000000-0005-0000-0000-0000D00A0000}"/>
    <cellStyle name="Note 3 2 2 5 2 2" xfId="3932" xr:uid="{00000000-0005-0000-0000-0000D10A0000}"/>
    <cellStyle name="Note 3 2 2 5 3" xfId="3265" xr:uid="{00000000-0005-0000-0000-0000D20A0000}"/>
    <cellStyle name="Note 3 2 2 6" xfId="1692" xr:uid="{00000000-0005-0000-0000-0000D30A0000}"/>
    <cellStyle name="Note 3 2 2 6 2" xfId="1693" xr:uid="{00000000-0005-0000-0000-0000D40A0000}"/>
    <cellStyle name="Note 3 2 2 6 2 2" xfId="3856" xr:uid="{00000000-0005-0000-0000-0000D50A0000}"/>
    <cellStyle name="Note 3 2 2 6 3" xfId="2954" xr:uid="{00000000-0005-0000-0000-0000D60A0000}"/>
    <cellStyle name="Note 3 2 2 7" xfId="1694" xr:uid="{00000000-0005-0000-0000-0000D70A0000}"/>
    <cellStyle name="Note 3 2 2 7 2" xfId="1695" xr:uid="{00000000-0005-0000-0000-0000D80A0000}"/>
    <cellStyle name="Note 3 2 2 7 2 2" xfId="4299" xr:uid="{00000000-0005-0000-0000-0000D90A0000}"/>
    <cellStyle name="Note 3 2 2 7 3" xfId="3632" xr:uid="{00000000-0005-0000-0000-0000DA0A0000}"/>
    <cellStyle name="Note 3 2 2 8" xfId="1696" xr:uid="{00000000-0005-0000-0000-0000DB0A0000}"/>
    <cellStyle name="Note 3 2 2 8 2" xfId="2878" xr:uid="{00000000-0005-0000-0000-0000DC0A0000}"/>
    <cellStyle name="Note 3 2 2 9" xfId="1697" xr:uid="{00000000-0005-0000-0000-0000DD0A0000}"/>
    <cellStyle name="Note 3 2 2 9 2" xfId="4568" xr:uid="{00000000-0005-0000-0000-0000DE0A0000}"/>
    <cellStyle name="Note 3 2 3" xfId="1698" xr:uid="{00000000-0005-0000-0000-0000DF0A0000}"/>
    <cellStyle name="Note 3 2 3 2" xfId="1699" xr:uid="{00000000-0005-0000-0000-0000E00A0000}"/>
    <cellStyle name="Note 3 2 3 2 2" xfId="1700" xr:uid="{00000000-0005-0000-0000-0000E10A0000}"/>
    <cellStyle name="Note 3 2 3 2 2 2" xfId="1701" xr:uid="{00000000-0005-0000-0000-0000E20A0000}"/>
    <cellStyle name="Note 3 2 3 2 2 2 2" xfId="4062" xr:uid="{00000000-0005-0000-0000-0000E30A0000}"/>
    <cellStyle name="Note 3 2 3 2 2 3" xfId="3395" xr:uid="{00000000-0005-0000-0000-0000E40A0000}"/>
    <cellStyle name="Note 3 2 3 2 3" xfId="1702" xr:uid="{00000000-0005-0000-0000-0000E50A0000}"/>
    <cellStyle name="Note 3 2 3 2 3 2" xfId="1703" xr:uid="{00000000-0005-0000-0000-0000E60A0000}"/>
    <cellStyle name="Note 3 2 3 2 3 2 2" xfId="4239" xr:uid="{00000000-0005-0000-0000-0000E70A0000}"/>
    <cellStyle name="Note 3 2 3 2 3 3" xfId="3572" xr:uid="{00000000-0005-0000-0000-0000E80A0000}"/>
    <cellStyle name="Note 3 2 3 2 4" xfId="1704" xr:uid="{00000000-0005-0000-0000-0000E90A0000}"/>
    <cellStyle name="Note 3 2 3 2 4 2" xfId="1705" xr:uid="{00000000-0005-0000-0000-0000EA0A0000}"/>
    <cellStyle name="Note 3 2 3 2 4 2 2" xfId="4428" xr:uid="{00000000-0005-0000-0000-0000EB0A0000}"/>
    <cellStyle name="Note 3 2 3 2 4 3" xfId="3761" xr:uid="{00000000-0005-0000-0000-0000EC0A0000}"/>
    <cellStyle name="Note 3 2 3 2 5" xfId="3177" xr:uid="{00000000-0005-0000-0000-0000ED0A0000}"/>
    <cellStyle name="Note 3 2 3 3" xfId="1706" xr:uid="{00000000-0005-0000-0000-0000EE0A0000}"/>
    <cellStyle name="Note 3 2 3 3 2" xfId="1707" xr:uid="{00000000-0005-0000-0000-0000EF0A0000}"/>
    <cellStyle name="Note 3 2 3 3 2 2" xfId="3959" xr:uid="{00000000-0005-0000-0000-0000F00A0000}"/>
    <cellStyle name="Note 3 2 3 3 3" xfId="3292" xr:uid="{00000000-0005-0000-0000-0000F10A0000}"/>
    <cellStyle name="Note 3 2 3 4" xfId="1708" xr:uid="{00000000-0005-0000-0000-0000F20A0000}"/>
    <cellStyle name="Note 3 2 3 4 2" xfId="1709" xr:uid="{00000000-0005-0000-0000-0000F30A0000}"/>
    <cellStyle name="Note 3 2 3 4 2 2" xfId="4137" xr:uid="{00000000-0005-0000-0000-0000F40A0000}"/>
    <cellStyle name="Note 3 2 3 4 3" xfId="3470" xr:uid="{00000000-0005-0000-0000-0000F50A0000}"/>
    <cellStyle name="Note 3 2 3 5" xfId="1710" xr:uid="{00000000-0005-0000-0000-0000F60A0000}"/>
    <cellStyle name="Note 3 2 3 5 2" xfId="1711" xr:uid="{00000000-0005-0000-0000-0000F70A0000}"/>
    <cellStyle name="Note 3 2 3 5 2 2" xfId="4326" xr:uid="{00000000-0005-0000-0000-0000F80A0000}"/>
    <cellStyle name="Note 3 2 3 5 3" xfId="3659" xr:uid="{00000000-0005-0000-0000-0000F90A0000}"/>
    <cellStyle name="Note 3 2 3 6" xfId="1712" xr:uid="{00000000-0005-0000-0000-0000FA0A0000}"/>
    <cellStyle name="Note 3 2 3 6 2" xfId="4607" xr:uid="{00000000-0005-0000-0000-0000FB0A0000}"/>
    <cellStyle name="Note 3 2 3 7" xfId="2855" xr:uid="{00000000-0005-0000-0000-0000FC0A0000}"/>
    <cellStyle name="Note 3 2 4" xfId="1713" xr:uid="{00000000-0005-0000-0000-0000FD0A0000}"/>
    <cellStyle name="Note 3 2 4 2" xfId="1714" xr:uid="{00000000-0005-0000-0000-0000FE0A0000}"/>
    <cellStyle name="Note 3 2 4 2 2" xfId="1715" xr:uid="{00000000-0005-0000-0000-0000FF0A0000}"/>
    <cellStyle name="Note 3 2 4 2 2 2" xfId="1716" xr:uid="{00000000-0005-0000-0000-0000000B0000}"/>
    <cellStyle name="Note 3 2 4 2 2 2 2" xfId="4079" xr:uid="{00000000-0005-0000-0000-0000010B0000}"/>
    <cellStyle name="Note 3 2 4 2 2 3" xfId="3412" xr:uid="{00000000-0005-0000-0000-0000020B0000}"/>
    <cellStyle name="Note 3 2 4 2 3" xfId="1717" xr:uid="{00000000-0005-0000-0000-0000030B0000}"/>
    <cellStyle name="Note 3 2 4 2 3 2" xfId="1718" xr:uid="{00000000-0005-0000-0000-0000040B0000}"/>
    <cellStyle name="Note 3 2 4 2 3 2 2" xfId="4256" xr:uid="{00000000-0005-0000-0000-0000050B0000}"/>
    <cellStyle name="Note 3 2 4 2 3 3" xfId="3589" xr:uid="{00000000-0005-0000-0000-0000060B0000}"/>
    <cellStyle name="Note 3 2 4 2 4" xfId="1719" xr:uid="{00000000-0005-0000-0000-0000070B0000}"/>
    <cellStyle name="Note 3 2 4 2 4 2" xfId="1720" xr:uid="{00000000-0005-0000-0000-0000080B0000}"/>
    <cellStyle name="Note 3 2 4 2 4 2 2" xfId="4445" xr:uid="{00000000-0005-0000-0000-0000090B0000}"/>
    <cellStyle name="Note 3 2 4 2 4 3" xfId="3778" xr:uid="{00000000-0005-0000-0000-00000A0B0000}"/>
    <cellStyle name="Note 3 2 4 2 5" xfId="3194" xr:uid="{00000000-0005-0000-0000-00000B0B0000}"/>
    <cellStyle name="Note 3 2 4 3" xfId="1721" xr:uid="{00000000-0005-0000-0000-00000C0B0000}"/>
    <cellStyle name="Note 3 2 4 3 2" xfId="1722" xr:uid="{00000000-0005-0000-0000-00000D0B0000}"/>
    <cellStyle name="Note 3 2 4 3 2 2" xfId="3974" xr:uid="{00000000-0005-0000-0000-00000E0B0000}"/>
    <cellStyle name="Note 3 2 4 3 3" xfId="3307" xr:uid="{00000000-0005-0000-0000-00000F0B0000}"/>
    <cellStyle name="Note 3 2 4 4" xfId="1723" xr:uid="{00000000-0005-0000-0000-0000100B0000}"/>
    <cellStyle name="Note 3 2 4 4 2" xfId="1724" xr:uid="{00000000-0005-0000-0000-0000110B0000}"/>
    <cellStyle name="Note 3 2 4 4 2 2" xfId="4152" xr:uid="{00000000-0005-0000-0000-0000120B0000}"/>
    <cellStyle name="Note 3 2 4 4 3" xfId="3485" xr:uid="{00000000-0005-0000-0000-0000130B0000}"/>
    <cellStyle name="Note 3 2 4 5" xfId="1725" xr:uid="{00000000-0005-0000-0000-0000140B0000}"/>
    <cellStyle name="Note 3 2 4 5 2" xfId="1726" xr:uid="{00000000-0005-0000-0000-0000150B0000}"/>
    <cellStyle name="Note 3 2 4 5 2 2" xfId="4341" xr:uid="{00000000-0005-0000-0000-0000160B0000}"/>
    <cellStyle name="Note 3 2 4 5 3" xfId="3674" xr:uid="{00000000-0005-0000-0000-0000170B0000}"/>
    <cellStyle name="Note 3 2 4 6" xfId="1727" xr:uid="{00000000-0005-0000-0000-0000180B0000}"/>
    <cellStyle name="Note 3 2 4 6 2" xfId="3079" xr:uid="{00000000-0005-0000-0000-0000190B0000}"/>
    <cellStyle name="Note 3 2 4 7" xfId="1728" xr:uid="{00000000-0005-0000-0000-00001A0B0000}"/>
    <cellStyle name="Note 3 2 4 7 2" xfId="4624" xr:uid="{00000000-0005-0000-0000-00001B0B0000}"/>
    <cellStyle name="Note 3 2 4 8" xfId="2766" xr:uid="{00000000-0005-0000-0000-00001C0B0000}"/>
    <cellStyle name="Note 3 2 5" xfId="1729" xr:uid="{00000000-0005-0000-0000-00001D0B0000}"/>
    <cellStyle name="Note 3 2 5 2" xfId="2976" xr:uid="{00000000-0005-0000-0000-00001E0B0000}"/>
    <cellStyle name="Note 3 2 6" xfId="1730" xr:uid="{00000000-0005-0000-0000-00001F0B0000}"/>
    <cellStyle name="Note 3 2 6 2" xfId="1731" xr:uid="{00000000-0005-0000-0000-0000200B0000}"/>
    <cellStyle name="Note 3 2 6 2 2" xfId="3858" xr:uid="{00000000-0005-0000-0000-0000210B0000}"/>
    <cellStyle name="Note 3 2 6 3" xfId="2956" xr:uid="{00000000-0005-0000-0000-0000220B0000}"/>
    <cellStyle name="Note 3 2 7" xfId="1732" xr:uid="{00000000-0005-0000-0000-0000230B0000}"/>
    <cellStyle name="Note 3 2 7 2" xfId="2877" xr:uid="{00000000-0005-0000-0000-0000240B0000}"/>
    <cellStyle name="Note 3 2 8" xfId="1733" xr:uid="{00000000-0005-0000-0000-0000250B0000}"/>
    <cellStyle name="Note 3 2 8 2" xfId="4519" xr:uid="{00000000-0005-0000-0000-0000260B0000}"/>
    <cellStyle name="Note 3 2 9" xfId="1734" xr:uid="{00000000-0005-0000-0000-0000270B0000}"/>
    <cellStyle name="Note 3 3" xfId="1735" xr:uid="{00000000-0005-0000-0000-0000280B0000}"/>
    <cellStyle name="Note 3 3 10" xfId="1736" xr:uid="{00000000-0005-0000-0000-0000290B0000}"/>
    <cellStyle name="Note 3 3 10 2" xfId="2704" xr:uid="{00000000-0005-0000-0000-00002A0B0000}"/>
    <cellStyle name="Note 3 3 11" xfId="2651" xr:uid="{00000000-0005-0000-0000-00002B0B0000}"/>
    <cellStyle name="Note 3 3 2" xfId="1737" xr:uid="{00000000-0005-0000-0000-00002C0B0000}"/>
    <cellStyle name="Note 3 3 2 2" xfId="1738" xr:uid="{00000000-0005-0000-0000-00002D0B0000}"/>
    <cellStyle name="Note 3 3 2 2 2" xfId="1739" xr:uid="{00000000-0005-0000-0000-00002E0B0000}"/>
    <cellStyle name="Note 3 3 2 2 2 2" xfId="1740" xr:uid="{00000000-0005-0000-0000-00002F0B0000}"/>
    <cellStyle name="Note 3 3 2 2 2 2 2" xfId="4024" xr:uid="{00000000-0005-0000-0000-0000300B0000}"/>
    <cellStyle name="Note 3 3 2 2 2 3" xfId="3357" xr:uid="{00000000-0005-0000-0000-0000310B0000}"/>
    <cellStyle name="Note 3 3 2 2 3" xfId="1741" xr:uid="{00000000-0005-0000-0000-0000320B0000}"/>
    <cellStyle name="Note 3 3 2 2 3 2" xfId="1742" xr:uid="{00000000-0005-0000-0000-0000330B0000}"/>
    <cellStyle name="Note 3 3 2 2 3 2 2" xfId="4202" xr:uid="{00000000-0005-0000-0000-0000340B0000}"/>
    <cellStyle name="Note 3 3 2 2 3 3" xfId="3535" xr:uid="{00000000-0005-0000-0000-0000350B0000}"/>
    <cellStyle name="Note 3 3 2 2 4" xfId="1743" xr:uid="{00000000-0005-0000-0000-0000360B0000}"/>
    <cellStyle name="Note 3 3 2 2 4 2" xfId="1744" xr:uid="{00000000-0005-0000-0000-0000370B0000}"/>
    <cellStyle name="Note 3 3 2 2 4 2 2" xfId="4391" xr:uid="{00000000-0005-0000-0000-0000380B0000}"/>
    <cellStyle name="Note 3 3 2 2 4 3" xfId="3724" xr:uid="{00000000-0005-0000-0000-0000390B0000}"/>
    <cellStyle name="Note 3 3 2 2 5" xfId="3129" xr:uid="{00000000-0005-0000-0000-00003A0B0000}"/>
    <cellStyle name="Note 3 3 2 3" xfId="1745" xr:uid="{00000000-0005-0000-0000-00003B0B0000}"/>
    <cellStyle name="Note 3 3 2 3 2" xfId="1746" xr:uid="{00000000-0005-0000-0000-00003C0B0000}"/>
    <cellStyle name="Note 3 3 2 3 2 2" xfId="1747" xr:uid="{00000000-0005-0000-0000-00003D0B0000}"/>
    <cellStyle name="Note 3 3 2 3 2 2 2" xfId="4097" xr:uid="{00000000-0005-0000-0000-00003E0B0000}"/>
    <cellStyle name="Note 3 3 2 3 2 3" xfId="3430" xr:uid="{00000000-0005-0000-0000-00003F0B0000}"/>
    <cellStyle name="Note 3 3 2 3 3" xfId="1748" xr:uid="{00000000-0005-0000-0000-0000400B0000}"/>
    <cellStyle name="Note 3 3 2 3 3 2" xfId="1749" xr:uid="{00000000-0005-0000-0000-0000410B0000}"/>
    <cellStyle name="Note 3 3 2 3 3 2 2" xfId="4275" xr:uid="{00000000-0005-0000-0000-0000420B0000}"/>
    <cellStyle name="Note 3 3 2 3 3 3" xfId="3608" xr:uid="{00000000-0005-0000-0000-0000430B0000}"/>
    <cellStyle name="Note 3 3 2 3 4" xfId="1750" xr:uid="{00000000-0005-0000-0000-0000440B0000}"/>
    <cellStyle name="Note 3 3 2 3 4 2" xfId="1751" xr:uid="{00000000-0005-0000-0000-0000450B0000}"/>
    <cellStyle name="Note 3 3 2 3 4 2 2" xfId="4464" xr:uid="{00000000-0005-0000-0000-0000460B0000}"/>
    <cellStyle name="Note 3 3 2 3 4 3" xfId="3797" xr:uid="{00000000-0005-0000-0000-0000470B0000}"/>
    <cellStyle name="Note 3 3 2 3 5" xfId="3213" xr:uid="{00000000-0005-0000-0000-0000480B0000}"/>
    <cellStyle name="Note 3 3 2 4" xfId="1752" xr:uid="{00000000-0005-0000-0000-0000490B0000}"/>
    <cellStyle name="Note 3 3 2 4 2" xfId="1753" xr:uid="{00000000-0005-0000-0000-00004A0B0000}"/>
    <cellStyle name="Note 3 3 2 4 2 2" xfId="3922" xr:uid="{00000000-0005-0000-0000-00004B0B0000}"/>
    <cellStyle name="Note 3 3 2 4 3" xfId="3255" xr:uid="{00000000-0005-0000-0000-00004C0B0000}"/>
    <cellStyle name="Note 3 3 2 5" xfId="1754" xr:uid="{00000000-0005-0000-0000-00004D0B0000}"/>
    <cellStyle name="Note 3 3 2 5 2" xfId="1755" xr:uid="{00000000-0005-0000-0000-00004E0B0000}"/>
    <cellStyle name="Note 3 3 2 5 2 2" xfId="3855" xr:uid="{00000000-0005-0000-0000-00004F0B0000}"/>
    <cellStyle name="Note 3 3 2 5 3" xfId="2953" xr:uid="{00000000-0005-0000-0000-0000500B0000}"/>
    <cellStyle name="Note 3 3 2 6" xfId="1756" xr:uid="{00000000-0005-0000-0000-0000510B0000}"/>
    <cellStyle name="Note 3 3 2 6 2" xfId="1757" xr:uid="{00000000-0005-0000-0000-0000520B0000}"/>
    <cellStyle name="Note 3 3 2 6 2 2" xfId="3874" xr:uid="{00000000-0005-0000-0000-0000530B0000}"/>
    <cellStyle name="Note 3 3 2 6 3" xfId="2984" xr:uid="{00000000-0005-0000-0000-0000540B0000}"/>
    <cellStyle name="Note 3 3 2 7" xfId="1758" xr:uid="{00000000-0005-0000-0000-0000550B0000}"/>
    <cellStyle name="Note 3 3 2 7 2" xfId="3034" xr:uid="{00000000-0005-0000-0000-0000560B0000}"/>
    <cellStyle name="Note 3 3 2 8" xfId="1759" xr:uid="{00000000-0005-0000-0000-0000570B0000}"/>
    <cellStyle name="Note 3 3 2 8 2" xfId="4553" xr:uid="{00000000-0005-0000-0000-0000580B0000}"/>
    <cellStyle name="Note 3 3 2 9" xfId="2857" xr:uid="{00000000-0005-0000-0000-0000590B0000}"/>
    <cellStyle name="Note 3 3 3" xfId="1760" xr:uid="{00000000-0005-0000-0000-00005A0B0000}"/>
    <cellStyle name="Note 3 3 3 2" xfId="1761" xr:uid="{00000000-0005-0000-0000-00005B0B0000}"/>
    <cellStyle name="Note 3 3 3 2 2" xfId="1762" xr:uid="{00000000-0005-0000-0000-00005C0B0000}"/>
    <cellStyle name="Note 3 3 3 2 2 2" xfId="4009" xr:uid="{00000000-0005-0000-0000-00005D0B0000}"/>
    <cellStyle name="Note 3 3 3 2 3" xfId="3342" xr:uid="{00000000-0005-0000-0000-00005E0B0000}"/>
    <cellStyle name="Note 3 3 3 3" xfId="1763" xr:uid="{00000000-0005-0000-0000-00005F0B0000}"/>
    <cellStyle name="Note 3 3 3 3 2" xfId="1764" xr:uid="{00000000-0005-0000-0000-0000600B0000}"/>
    <cellStyle name="Note 3 3 3 3 2 2" xfId="4187" xr:uid="{00000000-0005-0000-0000-0000610B0000}"/>
    <cellStyle name="Note 3 3 3 3 3" xfId="3520" xr:uid="{00000000-0005-0000-0000-0000620B0000}"/>
    <cellStyle name="Note 3 3 3 4" xfId="1765" xr:uid="{00000000-0005-0000-0000-0000630B0000}"/>
    <cellStyle name="Note 3 3 3 4 2" xfId="1766" xr:uid="{00000000-0005-0000-0000-0000640B0000}"/>
    <cellStyle name="Note 3 3 3 4 2 2" xfId="4376" xr:uid="{00000000-0005-0000-0000-0000650B0000}"/>
    <cellStyle name="Note 3 3 3 4 3" xfId="3709" xr:uid="{00000000-0005-0000-0000-0000660B0000}"/>
    <cellStyle name="Note 3 3 3 5" xfId="1767" xr:uid="{00000000-0005-0000-0000-0000670B0000}"/>
    <cellStyle name="Note 3 3 3 5 2" xfId="3113" xr:uid="{00000000-0005-0000-0000-0000680B0000}"/>
    <cellStyle name="Note 3 3 3 6" xfId="2787" xr:uid="{00000000-0005-0000-0000-0000690B0000}"/>
    <cellStyle name="Note 3 3 4" xfId="1768" xr:uid="{00000000-0005-0000-0000-00006A0B0000}"/>
    <cellStyle name="Note 3 3 4 2" xfId="3016" xr:uid="{00000000-0005-0000-0000-00006B0B0000}"/>
    <cellStyle name="Note 3 3 5" xfId="1769" xr:uid="{00000000-0005-0000-0000-00006C0B0000}"/>
    <cellStyle name="Note 3 3 5 2" xfId="1770" xr:uid="{00000000-0005-0000-0000-00006D0B0000}"/>
    <cellStyle name="Note 3 3 5 2 2" xfId="3905" xr:uid="{00000000-0005-0000-0000-00006E0B0000}"/>
    <cellStyle name="Note 3 3 5 3" xfId="3238" xr:uid="{00000000-0005-0000-0000-00006F0B0000}"/>
    <cellStyle name="Note 3 3 6" xfId="1771" xr:uid="{00000000-0005-0000-0000-0000700B0000}"/>
    <cellStyle name="Note 3 3 6 2" xfId="1772" xr:uid="{00000000-0005-0000-0000-0000710B0000}"/>
    <cellStyle name="Note 3 3 6 2 2" xfId="3879" xr:uid="{00000000-0005-0000-0000-0000720B0000}"/>
    <cellStyle name="Note 3 3 6 3" xfId="2989" xr:uid="{00000000-0005-0000-0000-0000730B0000}"/>
    <cellStyle name="Note 3 3 7" xfId="1773" xr:uid="{00000000-0005-0000-0000-0000740B0000}"/>
    <cellStyle name="Note 3 3 7 2" xfId="1774" xr:uid="{00000000-0005-0000-0000-0000750B0000}"/>
    <cellStyle name="Note 3 3 7 2 2" xfId="3833" xr:uid="{00000000-0005-0000-0000-0000760B0000}"/>
    <cellStyle name="Note 3 3 7 3" xfId="2916" xr:uid="{00000000-0005-0000-0000-0000770B0000}"/>
    <cellStyle name="Note 3 3 8" xfId="1775" xr:uid="{00000000-0005-0000-0000-0000780B0000}"/>
    <cellStyle name="Note 3 3 8 2" xfId="2879" xr:uid="{00000000-0005-0000-0000-0000790B0000}"/>
    <cellStyle name="Note 3 3 9" xfId="1776" xr:uid="{00000000-0005-0000-0000-00007A0B0000}"/>
    <cellStyle name="Note 3 3 9 2" xfId="4534" xr:uid="{00000000-0005-0000-0000-00007B0B0000}"/>
    <cellStyle name="Note 3 4" xfId="1777" xr:uid="{00000000-0005-0000-0000-00007C0B0000}"/>
    <cellStyle name="Note 3 4 2" xfId="1778" xr:uid="{00000000-0005-0000-0000-00007D0B0000}"/>
    <cellStyle name="Note 3 4 2 2" xfId="1779" xr:uid="{00000000-0005-0000-0000-00007E0B0000}"/>
    <cellStyle name="Note 3 4 2 2 2" xfId="1780" xr:uid="{00000000-0005-0000-0000-00007F0B0000}"/>
    <cellStyle name="Note 3 4 2 2 2 2" xfId="4040" xr:uid="{00000000-0005-0000-0000-0000800B0000}"/>
    <cellStyle name="Note 3 4 2 2 3" xfId="3373" xr:uid="{00000000-0005-0000-0000-0000810B0000}"/>
    <cellStyle name="Note 3 4 2 3" xfId="1781" xr:uid="{00000000-0005-0000-0000-0000820B0000}"/>
    <cellStyle name="Note 3 4 2 3 2" xfId="1782" xr:uid="{00000000-0005-0000-0000-0000830B0000}"/>
    <cellStyle name="Note 3 4 2 3 2 2" xfId="4217" xr:uid="{00000000-0005-0000-0000-0000840B0000}"/>
    <cellStyle name="Note 3 4 2 3 3" xfId="3550" xr:uid="{00000000-0005-0000-0000-0000850B0000}"/>
    <cellStyle name="Note 3 4 2 4" xfId="1783" xr:uid="{00000000-0005-0000-0000-0000860B0000}"/>
    <cellStyle name="Note 3 4 2 4 2" xfId="1784" xr:uid="{00000000-0005-0000-0000-0000870B0000}"/>
    <cellStyle name="Note 3 4 2 4 2 2" xfId="4406" xr:uid="{00000000-0005-0000-0000-0000880B0000}"/>
    <cellStyle name="Note 3 4 2 4 3" xfId="3739" xr:uid="{00000000-0005-0000-0000-0000890B0000}"/>
    <cellStyle name="Note 3 4 2 5" xfId="3145" xr:uid="{00000000-0005-0000-0000-00008A0B0000}"/>
    <cellStyle name="Note 3 4 3" xfId="1785" xr:uid="{00000000-0005-0000-0000-00008B0B0000}"/>
    <cellStyle name="Note 3 4 3 2" xfId="1786" xr:uid="{00000000-0005-0000-0000-00008C0B0000}"/>
    <cellStyle name="Note 3 4 3 2 2" xfId="3938" xr:uid="{00000000-0005-0000-0000-00008D0B0000}"/>
    <cellStyle name="Note 3 4 3 3" xfId="3271" xr:uid="{00000000-0005-0000-0000-00008E0B0000}"/>
    <cellStyle name="Note 3 4 4" xfId="1787" xr:uid="{00000000-0005-0000-0000-00008F0B0000}"/>
    <cellStyle name="Note 3 4 4 2" xfId="1788" xr:uid="{00000000-0005-0000-0000-0000900B0000}"/>
    <cellStyle name="Note 3 4 4 2 2" xfId="4116" xr:uid="{00000000-0005-0000-0000-0000910B0000}"/>
    <cellStyle name="Note 3 4 4 3" xfId="3449" xr:uid="{00000000-0005-0000-0000-0000920B0000}"/>
    <cellStyle name="Note 3 4 5" xfId="1789" xr:uid="{00000000-0005-0000-0000-0000930B0000}"/>
    <cellStyle name="Note 3 4 5 2" xfId="1790" xr:uid="{00000000-0005-0000-0000-0000940B0000}"/>
    <cellStyle name="Note 3 4 5 2 2" xfId="4305" xr:uid="{00000000-0005-0000-0000-0000950B0000}"/>
    <cellStyle name="Note 3 4 5 3" xfId="3638" xr:uid="{00000000-0005-0000-0000-0000960B0000}"/>
    <cellStyle name="Note 3 4 6" xfId="1791" xr:uid="{00000000-0005-0000-0000-0000970B0000}"/>
    <cellStyle name="Note 3 4 6 2" xfId="4575" xr:uid="{00000000-0005-0000-0000-0000980B0000}"/>
    <cellStyle name="Note 3 4 7" xfId="2854" xr:uid="{00000000-0005-0000-0000-0000990B0000}"/>
    <cellStyle name="Note 3 5" xfId="1792" xr:uid="{00000000-0005-0000-0000-00009A0B0000}"/>
    <cellStyle name="Note 3 5 2" xfId="1793" xr:uid="{00000000-0005-0000-0000-00009B0B0000}"/>
    <cellStyle name="Note 3 5 2 2" xfId="1794" xr:uid="{00000000-0005-0000-0000-00009C0B0000}"/>
    <cellStyle name="Note 3 5 2 2 2" xfId="1795" xr:uid="{00000000-0005-0000-0000-00009D0B0000}"/>
    <cellStyle name="Note 3 5 2 2 2 2" xfId="4002" xr:uid="{00000000-0005-0000-0000-00009E0B0000}"/>
    <cellStyle name="Note 3 5 2 2 3" xfId="3335" xr:uid="{00000000-0005-0000-0000-00009F0B0000}"/>
    <cellStyle name="Note 3 5 2 3" xfId="1796" xr:uid="{00000000-0005-0000-0000-0000A00B0000}"/>
    <cellStyle name="Note 3 5 2 3 2" xfId="1797" xr:uid="{00000000-0005-0000-0000-0000A10B0000}"/>
    <cellStyle name="Note 3 5 2 3 2 2" xfId="4180" xr:uid="{00000000-0005-0000-0000-0000A20B0000}"/>
    <cellStyle name="Note 3 5 2 3 3" xfId="3513" xr:uid="{00000000-0005-0000-0000-0000A30B0000}"/>
    <cellStyle name="Note 3 5 2 4" xfId="1798" xr:uid="{00000000-0005-0000-0000-0000A40B0000}"/>
    <cellStyle name="Note 3 5 2 4 2" xfId="1799" xr:uid="{00000000-0005-0000-0000-0000A50B0000}"/>
    <cellStyle name="Note 3 5 2 4 2 2" xfId="4369" xr:uid="{00000000-0005-0000-0000-0000A60B0000}"/>
    <cellStyle name="Note 3 5 2 4 3" xfId="3702" xr:uid="{00000000-0005-0000-0000-0000A70B0000}"/>
    <cellStyle name="Note 3 5 2 5" xfId="3106" xr:uid="{00000000-0005-0000-0000-0000A80B0000}"/>
    <cellStyle name="Note 3 5 3" xfId="1800" xr:uid="{00000000-0005-0000-0000-0000A90B0000}"/>
    <cellStyle name="Note 3 5 3 2" xfId="1801" xr:uid="{00000000-0005-0000-0000-0000AA0B0000}"/>
    <cellStyle name="Note 3 5 3 2 2" xfId="3889" xr:uid="{00000000-0005-0000-0000-0000AB0B0000}"/>
    <cellStyle name="Note 3 5 3 3" xfId="3001" xr:uid="{00000000-0005-0000-0000-0000AC0B0000}"/>
    <cellStyle name="Note 3 5 4" xfId="1802" xr:uid="{00000000-0005-0000-0000-0000AD0B0000}"/>
    <cellStyle name="Note 3 5 4 2" xfId="1803" xr:uid="{00000000-0005-0000-0000-0000AE0B0000}"/>
    <cellStyle name="Note 3 5 4 2 2" xfId="3899" xr:uid="{00000000-0005-0000-0000-0000AF0B0000}"/>
    <cellStyle name="Note 3 5 4 3" xfId="3025" xr:uid="{00000000-0005-0000-0000-0000B00B0000}"/>
    <cellStyle name="Note 3 5 5" xfId="1804" xr:uid="{00000000-0005-0000-0000-0000B10B0000}"/>
    <cellStyle name="Note 3 5 5 2" xfId="1805" xr:uid="{00000000-0005-0000-0000-0000B20B0000}"/>
    <cellStyle name="Note 3 5 5 2 2" xfId="3857" xr:uid="{00000000-0005-0000-0000-0000B30B0000}"/>
    <cellStyle name="Note 3 5 5 3" xfId="2955" xr:uid="{00000000-0005-0000-0000-0000B40B0000}"/>
    <cellStyle name="Note 3 5 6" xfId="1806" xr:uid="{00000000-0005-0000-0000-0000B50B0000}"/>
    <cellStyle name="Note 3 5 6 2" xfId="2993" xr:uid="{00000000-0005-0000-0000-0000B60B0000}"/>
    <cellStyle name="Note 3 5 7" xfId="1807" xr:uid="{00000000-0005-0000-0000-0000B70B0000}"/>
    <cellStyle name="Note 3 5 7 2" xfId="4525" xr:uid="{00000000-0005-0000-0000-0000B80B0000}"/>
    <cellStyle name="Note 3 5 8" xfId="2741" xr:uid="{00000000-0005-0000-0000-0000B90B0000}"/>
    <cellStyle name="Note 3 6" xfId="1808" xr:uid="{00000000-0005-0000-0000-0000BA0B0000}"/>
    <cellStyle name="Note 3 6 2" xfId="2925" xr:uid="{00000000-0005-0000-0000-0000BB0B0000}"/>
    <cellStyle name="Note 3 7" xfId="1809" xr:uid="{00000000-0005-0000-0000-0000BC0B0000}"/>
    <cellStyle name="Note 3 7 2" xfId="1810" xr:uid="{00000000-0005-0000-0000-0000BD0B0000}"/>
    <cellStyle name="Note 3 7 2 2" xfId="3877" xr:uid="{00000000-0005-0000-0000-0000BE0B0000}"/>
    <cellStyle name="Note 3 7 3" xfId="2987" xr:uid="{00000000-0005-0000-0000-0000BF0B0000}"/>
    <cellStyle name="Note 3 8" xfId="1811" xr:uid="{00000000-0005-0000-0000-0000C00B0000}"/>
    <cellStyle name="Note 3 8 2" xfId="2876" xr:uid="{00000000-0005-0000-0000-0000C10B0000}"/>
    <cellStyle name="Note 3 9" xfId="1812" xr:uid="{00000000-0005-0000-0000-0000C20B0000}"/>
    <cellStyle name="Note 3 9 2" xfId="4494" xr:uid="{00000000-0005-0000-0000-0000C30B0000}"/>
    <cellStyle name="Note 3_בחירה מרשימה" xfId="1813" xr:uid="{00000000-0005-0000-0000-0000C40B0000}"/>
    <cellStyle name="Note 4" xfId="1814" xr:uid="{00000000-0005-0000-0000-0000C50B0000}"/>
    <cellStyle name="Note 4 10" xfId="1815" xr:uid="{00000000-0005-0000-0000-0000C60B0000}"/>
    <cellStyle name="Note 4 10 2" xfId="2700" xr:uid="{00000000-0005-0000-0000-0000C70B0000}"/>
    <cellStyle name="Note 4 11" xfId="2647" xr:uid="{00000000-0005-0000-0000-0000C80B0000}"/>
    <cellStyle name="Note 4 2" xfId="1816" xr:uid="{00000000-0005-0000-0000-0000C90B0000}"/>
    <cellStyle name="Note 4 2 2" xfId="1817" xr:uid="{00000000-0005-0000-0000-0000CA0B0000}"/>
    <cellStyle name="Note 4 2 2 2" xfId="1818" xr:uid="{00000000-0005-0000-0000-0000CB0B0000}"/>
    <cellStyle name="Note 4 2 2 2 2" xfId="1819" xr:uid="{00000000-0005-0000-0000-0000CC0B0000}"/>
    <cellStyle name="Note 4 2 2 2 2 2" xfId="4076" xr:uid="{00000000-0005-0000-0000-0000CD0B0000}"/>
    <cellStyle name="Note 4 2 2 2 3" xfId="3409" xr:uid="{00000000-0005-0000-0000-0000CE0B0000}"/>
    <cellStyle name="Note 4 2 2 3" xfId="1820" xr:uid="{00000000-0005-0000-0000-0000CF0B0000}"/>
    <cellStyle name="Note 4 2 2 3 2" xfId="1821" xr:uid="{00000000-0005-0000-0000-0000D00B0000}"/>
    <cellStyle name="Note 4 2 2 3 2 2" xfId="4253" xr:uid="{00000000-0005-0000-0000-0000D10B0000}"/>
    <cellStyle name="Note 4 2 2 3 3" xfId="3586" xr:uid="{00000000-0005-0000-0000-0000D20B0000}"/>
    <cellStyle name="Note 4 2 2 4" xfId="1822" xr:uid="{00000000-0005-0000-0000-0000D30B0000}"/>
    <cellStyle name="Note 4 2 2 4 2" xfId="1823" xr:uid="{00000000-0005-0000-0000-0000D40B0000}"/>
    <cellStyle name="Note 4 2 2 4 2 2" xfId="4442" xr:uid="{00000000-0005-0000-0000-0000D50B0000}"/>
    <cellStyle name="Note 4 2 2 4 3" xfId="3775" xr:uid="{00000000-0005-0000-0000-0000D60B0000}"/>
    <cellStyle name="Note 4 2 2 5" xfId="3191" xr:uid="{00000000-0005-0000-0000-0000D70B0000}"/>
    <cellStyle name="Note 4 2 3" xfId="1824" xr:uid="{00000000-0005-0000-0000-0000D80B0000}"/>
    <cellStyle name="Note 4 2 3 2" xfId="1825" xr:uid="{00000000-0005-0000-0000-0000D90B0000}"/>
    <cellStyle name="Note 4 2 3 2 2" xfId="1826" xr:uid="{00000000-0005-0000-0000-0000DA0B0000}"/>
    <cellStyle name="Note 4 2 3 2 2 2" xfId="4104" xr:uid="{00000000-0005-0000-0000-0000DB0B0000}"/>
    <cellStyle name="Note 4 2 3 2 3" xfId="3437" xr:uid="{00000000-0005-0000-0000-0000DC0B0000}"/>
    <cellStyle name="Note 4 2 3 3" xfId="1827" xr:uid="{00000000-0005-0000-0000-0000DD0B0000}"/>
    <cellStyle name="Note 4 2 3 3 2" xfId="1828" xr:uid="{00000000-0005-0000-0000-0000DE0B0000}"/>
    <cellStyle name="Note 4 2 3 3 2 2" xfId="4287" xr:uid="{00000000-0005-0000-0000-0000DF0B0000}"/>
    <cellStyle name="Note 4 2 3 3 3" xfId="3620" xr:uid="{00000000-0005-0000-0000-0000E00B0000}"/>
    <cellStyle name="Note 4 2 3 4" xfId="1829" xr:uid="{00000000-0005-0000-0000-0000E10B0000}"/>
    <cellStyle name="Note 4 2 3 4 2" xfId="1830" xr:uid="{00000000-0005-0000-0000-0000E20B0000}"/>
    <cellStyle name="Note 4 2 3 4 2 2" xfId="4476" xr:uid="{00000000-0005-0000-0000-0000E30B0000}"/>
    <cellStyle name="Note 4 2 3 4 3" xfId="3809" xr:uid="{00000000-0005-0000-0000-0000E40B0000}"/>
    <cellStyle name="Note 4 2 3 5" xfId="3225" xr:uid="{00000000-0005-0000-0000-0000E50B0000}"/>
    <cellStyle name="Note 4 2 4" xfId="1831" xr:uid="{00000000-0005-0000-0000-0000E60B0000}"/>
    <cellStyle name="Note 4 2 4 2" xfId="1832" xr:uid="{00000000-0005-0000-0000-0000E70B0000}"/>
    <cellStyle name="Note 4 2 4 2 2" xfId="3971" xr:uid="{00000000-0005-0000-0000-0000E80B0000}"/>
    <cellStyle name="Note 4 2 4 3" xfId="3304" xr:uid="{00000000-0005-0000-0000-0000E90B0000}"/>
    <cellStyle name="Note 4 2 5" xfId="1833" xr:uid="{00000000-0005-0000-0000-0000EA0B0000}"/>
    <cellStyle name="Note 4 2 5 2" xfId="1834" xr:uid="{00000000-0005-0000-0000-0000EB0B0000}"/>
    <cellStyle name="Note 4 2 5 2 2" xfId="4149" xr:uid="{00000000-0005-0000-0000-0000EC0B0000}"/>
    <cellStyle name="Note 4 2 5 3" xfId="3482" xr:uid="{00000000-0005-0000-0000-0000ED0B0000}"/>
    <cellStyle name="Note 4 2 6" xfId="1835" xr:uid="{00000000-0005-0000-0000-0000EE0B0000}"/>
    <cellStyle name="Note 4 2 6 2" xfId="1836" xr:uid="{00000000-0005-0000-0000-0000EF0B0000}"/>
    <cellStyle name="Note 4 2 6 2 2" xfId="4338" xr:uid="{00000000-0005-0000-0000-0000F00B0000}"/>
    <cellStyle name="Note 4 2 6 3" xfId="3671" xr:uid="{00000000-0005-0000-0000-0000F10B0000}"/>
    <cellStyle name="Note 4 2 7" xfId="1837" xr:uid="{00000000-0005-0000-0000-0000F20B0000}"/>
    <cellStyle name="Note 4 2 7 2" xfId="3076" xr:uid="{00000000-0005-0000-0000-0000F30B0000}"/>
    <cellStyle name="Note 4 2 8" xfId="1838" xr:uid="{00000000-0005-0000-0000-0000F40B0000}"/>
    <cellStyle name="Note 4 2 8 2" xfId="4621" xr:uid="{00000000-0005-0000-0000-0000F50B0000}"/>
    <cellStyle name="Note 4 2 9" xfId="2858" xr:uid="{00000000-0005-0000-0000-0000F60B0000}"/>
    <cellStyle name="Note 4 3" xfId="1839" xr:uid="{00000000-0005-0000-0000-0000F70B0000}"/>
    <cellStyle name="Note 4 3 2" xfId="1840" xr:uid="{00000000-0005-0000-0000-0000F80B0000}"/>
    <cellStyle name="Note 4 3 2 2" xfId="1841" xr:uid="{00000000-0005-0000-0000-0000F90B0000}"/>
    <cellStyle name="Note 4 3 2 2 2" xfId="4005" xr:uid="{00000000-0005-0000-0000-0000FA0B0000}"/>
    <cellStyle name="Note 4 3 2 3" xfId="3338" xr:uid="{00000000-0005-0000-0000-0000FB0B0000}"/>
    <cellStyle name="Note 4 3 3" xfId="1842" xr:uid="{00000000-0005-0000-0000-0000FC0B0000}"/>
    <cellStyle name="Note 4 3 3 2" xfId="1843" xr:uid="{00000000-0005-0000-0000-0000FD0B0000}"/>
    <cellStyle name="Note 4 3 3 2 2" xfId="4183" xr:uid="{00000000-0005-0000-0000-0000FE0B0000}"/>
    <cellStyle name="Note 4 3 3 3" xfId="3516" xr:uid="{00000000-0005-0000-0000-0000FF0B0000}"/>
    <cellStyle name="Note 4 3 4" xfId="1844" xr:uid="{00000000-0005-0000-0000-0000000C0000}"/>
    <cellStyle name="Note 4 3 4 2" xfId="1845" xr:uid="{00000000-0005-0000-0000-0000010C0000}"/>
    <cellStyle name="Note 4 3 4 2 2" xfId="4372" xr:uid="{00000000-0005-0000-0000-0000020C0000}"/>
    <cellStyle name="Note 4 3 4 3" xfId="3705" xr:uid="{00000000-0005-0000-0000-0000030C0000}"/>
    <cellStyle name="Note 4 3 5" xfId="1846" xr:uid="{00000000-0005-0000-0000-0000040C0000}"/>
    <cellStyle name="Note 4 3 5 2" xfId="3109" xr:uid="{00000000-0005-0000-0000-0000050C0000}"/>
    <cellStyle name="Note 4 3 6" xfId="2780" xr:uid="{00000000-0005-0000-0000-0000060C0000}"/>
    <cellStyle name="Note 4 4" xfId="1847" xr:uid="{00000000-0005-0000-0000-0000070C0000}"/>
    <cellStyle name="Note 4 4 2" xfId="3007" xr:uid="{00000000-0005-0000-0000-0000080C0000}"/>
    <cellStyle name="Note 4 5" xfId="1848" xr:uid="{00000000-0005-0000-0000-0000090C0000}"/>
    <cellStyle name="Note 4 5 2" xfId="1849" xr:uid="{00000000-0005-0000-0000-00000A0C0000}"/>
    <cellStyle name="Note 4 5 2 2" xfId="3852" xr:uid="{00000000-0005-0000-0000-00000B0C0000}"/>
    <cellStyle name="Note 4 5 3" xfId="2950" xr:uid="{00000000-0005-0000-0000-00000C0C0000}"/>
    <cellStyle name="Note 4 6" xfId="1850" xr:uid="{00000000-0005-0000-0000-00000D0C0000}"/>
    <cellStyle name="Note 4 6 2" xfId="1851" xr:uid="{00000000-0005-0000-0000-00000E0C0000}"/>
    <cellStyle name="Note 4 6 2 2" xfId="3884" xr:uid="{00000000-0005-0000-0000-00000F0C0000}"/>
    <cellStyle name="Note 4 6 3" xfId="2996" xr:uid="{00000000-0005-0000-0000-0000100C0000}"/>
    <cellStyle name="Note 4 7" xfId="1852" xr:uid="{00000000-0005-0000-0000-0000110C0000}"/>
    <cellStyle name="Note 4 7 2" xfId="1853" xr:uid="{00000000-0005-0000-0000-0000120C0000}"/>
    <cellStyle name="Note 4 7 2 2" xfId="4099" xr:uid="{00000000-0005-0000-0000-0000130C0000}"/>
    <cellStyle name="Note 4 7 3" xfId="3432" xr:uid="{00000000-0005-0000-0000-0000140C0000}"/>
    <cellStyle name="Note 4 8" xfId="1854" xr:uid="{00000000-0005-0000-0000-0000150C0000}"/>
    <cellStyle name="Note 4 8 2" xfId="2880" xr:uid="{00000000-0005-0000-0000-0000160C0000}"/>
    <cellStyle name="Note 4 9" xfId="1855" xr:uid="{00000000-0005-0000-0000-0000170C0000}"/>
    <cellStyle name="Note 4 9 2" xfId="4529" xr:uid="{00000000-0005-0000-0000-0000180C0000}"/>
    <cellStyle name="Note 5" xfId="1856" xr:uid="{00000000-0005-0000-0000-0000190C0000}"/>
    <cellStyle name="Note 5 2" xfId="1857" xr:uid="{00000000-0005-0000-0000-00001A0C0000}"/>
    <cellStyle name="Note 5 2 2" xfId="1858" xr:uid="{00000000-0005-0000-0000-00001B0C0000}"/>
    <cellStyle name="Note 5 2 2 2" xfId="1859" xr:uid="{00000000-0005-0000-0000-00001C0C0000}"/>
    <cellStyle name="Note 5 2 2 2 2" xfId="4022" xr:uid="{00000000-0005-0000-0000-00001D0C0000}"/>
    <cellStyle name="Note 5 2 2 3" xfId="3355" xr:uid="{00000000-0005-0000-0000-00001E0C0000}"/>
    <cellStyle name="Note 5 2 3" xfId="1860" xr:uid="{00000000-0005-0000-0000-00001F0C0000}"/>
    <cellStyle name="Note 5 2 3 2" xfId="1861" xr:uid="{00000000-0005-0000-0000-0000200C0000}"/>
    <cellStyle name="Note 5 2 3 2 2" xfId="4200" xr:uid="{00000000-0005-0000-0000-0000210C0000}"/>
    <cellStyle name="Note 5 2 3 3" xfId="3533" xr:uid="{00000000-0005-0000-0000-0000220C0000}"/>
    <cellStyle name="Note 5 2 4" xfId="1862" xr:uid="{00000000-0005-0000-0000-0000230C0000}"/>
    <cellStyle name="Note 5 2 4 2" xfId="1863" xr:uid="{00000000-0005-0000-0000-0000240C0000}"/>
    <cellStyle name="Note 5 2 4 2 2" xfId="4389" xr:uid="{00000000-0005-0000-0000-0000250C0000}"/>
    <cellStyle name="Note 5 2 4 3" xfId="3722" xr:uid="{00000000-0005-0000-0000-0000260C0000}"/>
    <cellStyle name="Note 5 2 5" xfId="3126" xr:uid="{00000000-0005-0000-0000-0000270C0000}"/>
    <cellStyle name="Note 5 3" xfId="1864" xr:uid="{00000000-0005-0000-0000-0000280C0000}"/>
    <cellStyle name="Note 5 3 2" xfId="1865" xr:uid="{00000000-0005-0000-0000-0000290C0000}"/>
    <cellStyle name="Note 5 3 2 2" xfId="3920" xr:uid="{00000000-0005-0000-0000-00002A0C0000}"/>
    <cellStyle name="Note 5 3 3" xfId="3253" xr:uid="{00000000-0005-0000-0000-00002B0C0000}"/>
    <cellStyle name="Note 5 4" xfId="1866" xr:uid="{00000000-0005-0000-0000-00002C0C0000}"/>
    <cellStyle name="Note 5 4 2" xfId="1867" xr:uid="{00000000-0005-0000-0000-00002D0C0000}"/>
    <cellStyle name="Note 5 4 2 2" xfId="3824" xr:uid="{00000000-0005-0000-0000-00002E0C0000}"/>
    <cellStyle name="Note 5 4 3" xfId="2903" xr:uid="{00000000-0005-0000-0000-00002F0C0000}"/>
    <cellStyle name="Note 5 5" xfId="1868" xr:uid="{00000000-0005-0000-0000-0000300C0000}"/>
    <cellStyle name="Note 5 5 2" xfId="1869" xr:uid="{00000000-0005-0000-0000-0000310C0000}"/>
    <cellStyle name="Note 5 5 2 2" xfId="3876" xr:uid="{00000000-0005-0000-0000-0000320C0000}"/>
    <cellStyle name="Note 5 5 3" xfId="2986" xr:uid="{00000000-0005-0000-0000-0000330C0000}"/>
    <cellStyle name="Note 5 6" xfId="1870" xr:uid="{00000000-0005-0000-0000-0000340C0000}"/>
    <cellStyle name="Note 5 6 2" xfId="3031" xr:uid="{00000000-0005-0000-0000-0000350C0000}"/>
    <cellStyle name="Note 5 7" xfId="1871" xr:uid="{00000000-0005-0000-0000-0000360C0000}"/>
    <cellStyle name="Note 5 7 2" xfId="4550" xr:uid="{00000000-0005-0000-0000-0000370C0000}"/>
    <cellStyle name="Note 5 8" xfId="2736" xr:uid="{00000000-0005-0000-0000-0000380C0000}"/>
    <cellStyle name="Note 6" xfId="1872" xr:uid="{00000000-0005-0000-0000-0000390C0000}"/>
    <cellStyle name="Note 6 2" xfId="1873" xr:uid="{00000000-0005-0000-0000-00003A0C0000}"/>
    <cellStyle name="Note 6 2 2" xfId="1874" xr:uid="{00000000-0005-0000-0000-00003B0C0000}"/>
    <cellStyle name="Note 6 2 2 2" xfId="1875" xr:uid="{00000000-0005-0000-0000-00003C0C0000}"/>
    <cellStyle name="Note 6 2 2 2 2" xfId="4080" xr:uid="{00000000-0005-0000-0000-00003D0C0000}"/>
    <cellStyle name="Note 6 2 2 3" xfId="3413" xr:uid="{00000000-0005-0000-0000-00003E0C0000}"/>
    <cellStyle name="Note 6 2 3" xfId="1876" xr:uid="{00000000-0005-0000-0000-00003F0C0000}"/>
    <cellStyle name="Note 6 2 3 2" xfId="1877" xr:uid="{00000000-0005-0000-0000-0000400C0000}"/>
    <cellStyle name="Note 6 2 3 2 2" xfId="4257" xr:uid="{00000000-0005-0000-0000-0000410C0000}"/>
    <cellStyle name="Note 6 2 3 3" xfId="3590" xr:uid="{00000000-0005-0000-0000-0000420C0000}"/>
    <cellStyle name="Note 6 2 4" xfId="1878" xr:uid="{00000000-0005-0000-0000-0000430C0000}"/>
    <cellStyle name="Note 6 2 4 2" xfId="1879" xr:uid="{00000000-0005-0000-0000-0000440C0000}"/>
    <cellStyle name="Note 6 2 4 2 2" xfId="4446" xr:uid="{00000000-0005-0000-0000-0000450C0000}"/>
    <cellStyle name="Note 6 2 4 3" xfId="3779" xr:uid="{00000000-0005-0000-0000-0000460C0000}"/>
    <cellStyle name="Note 6 2 5" xfId="3195" xr:uid="{00000000-0005-0000-0000-0000470C0000}"/>
    <cellStyle name="Note 6 3" xfId="1880" xr:uid="{00000000-0005-0000-0000-0000480C0000}"/>
    <cellStyle name="Note 6 3 2" xfId="1881" xr:uid="{00000000-0005-0000-0000-0000490C0000}"/>
    <cellStyle name="Note 6 3 2 2" xfId="3975" xr:uid="{00000000-0005-0000-0000-00004A0C0000}"/>
    <cellStyle name="Note 6 3 3" xfId="3308" xr:uid="{00000000-0005-0000-0000-00004B0C0000}"/>
    <cellStyle name="Note 6 4" xfId="1882" xr:uid="{00000000-0005-0000-0000-00004C0C0000}"/>
    <cellStyle name="Note 6 4 2" xfId="1883" xr:uid="{00000000-0005-0000-0000-00004D0C0000}"/>
    <cellStyle name="Note 6 4 2 2" xfId="4153" xr:uid="{00000000-0005-0000-0000-00004E0C0000}"/>
    <cellStyle name="Note 6 4 3" xfId="3486" xr:uid="{00000000-0005-0000-0000-00004F0C0000}"/>
    <cellStyle name="Note 6 5" xfId="1884" xr:uid="{00000000-0005-0000-0000-0000500C0000}"/>
    <cellStyle name="Note 6 5 2" xfId="1885" xr:uid="{00000000-0005-0000-0000-0000510C0000}"/>
    <cellStyle name="Note 6 5 2 2" xfId="4342" xr:uid="{00000000-0005-0000-0000-0000520C0000}"/>
    <cellStyle name="Note 6 5 3" xfId="3675" xr:uid="{00000000-0005-0000-0000-0000530C0000}"/>
    <cellStyle name="Note 6 6" xfId="1886" xr:uid="{00000000-0005-0000-0000-0000540C0000}"/>
    <cellStyle name="Note 6 6 2" xfId="4625" xr:uid="{00000000-0005-0000-0000-0000550C0000}"/>
    <cellStyle name="Note 6 7" xfId="3080" xr:uid="{00000000-0005-0000-0000-0000560C0000}"/>
    <cellStyle name="Note 7" xfId="1887" xr:uid="{00000000-0005-0000-0000-0000570C0000}"/>
    <cellStyle name="Note 7 2" xfId="2910" xr:uid="{00000000-0005-0000-0000-0000580C0000}"/>
    <cellStyle name="Note 8" xfId="1888" xr:uid="{00000000-0005-0000-0000-0000590C0000}"/>
    <cellStyle name="Note 8 2" xfId="1889" xr:uid="{00000000-0005-0000-0000-00005A0C0000}"/>
    <cellStyle name="Note 8 2 2" xfId="3866" xr:uid="{00000000-0005-0000-0000-00005B0C0000}"/>
    <cellStyle name="Note 8 3" xfId="2966" xr:uid="{00000000-0005-0000-0000-00005C0C0000}"/>
    <cellStyle name="Note 9" xfId="1890" xr:uid="{00000000-0005-0000-0000-00005D0C0000}"/>
    <cellStyle name="Note 9 2" xfId="4490" xr:uid="{00000000-0005-0000-0000-00005E0C0000}"/>
    <cellStyle name="Note_בחירה מרשימה" xfId="1891" xr:uid="{00000000-0005-0000-0000-00005F0C0000}"/>
    <cellStyle name="Output" xfId="38" xr:uid="{00000000-0005-0000-0000-0000600C0000}"/>
    <cellStyle name="Output 10" xfId="1892" xr:uid="{00000000-0005-0000-0000-0000610C0000}"/>
    <cellStyle name="Output 2" xfId="207" xr:uid="{00000000-0005-0000-0000-0000620C0000}"/>
    <cellStyle name="Output 2 10" xfId="1893" xr:uid="{00000000-0005-0000-0000-0000630C0000}"/>
    <cellStyle name="Output 2 2" xfId="1894" xr:uid="{00000000-0005-0000-0000-0000640C0000}"/>
    <cellStyle name="Output 2 2 2" xfId="1895" xr:uid="{00000000-0005-0000-0000-0000650C0000}"/>
    <cellStyle name="Output 2 2 2 10" xfId="1896" xr:uid="{00000000-0005-0000-0000-0000660C0000}"/>
    <cellStyle name="Output 2 2 2 10 2" xfId="2730" xr:uid="{00000000-0005-0000-0000-0000670C0000}"/>
    <cellStyle name="Output 2 2 2 11" xfId="2677" xr:uid="{00000000-0005-0000-0000-0000680C0000}"/>
    <cellStyle name="Output 2 2 2 2" xfId="1897" xr:uid="{00000000-0005-0000-0000-0000690C0000}"/>
    <cellStyle name="Output 2 2 2 2 2" xfId="1898" xr:uid="{00000000-0005-0000-0000-00006A0C0000}"/>
    <cellStyle name="Output 2 2 2 2 2 2" xfId="1899" xr:uid="{00000000-0005-0000-0000-00006B0C0000}"/>
    <cellStyle name="Output 2 2 2 2 2 2 2" xfId="1900" xr:uid="{00000000-0005-0000-0000-00006C0C0000}"/>
    <cellStyle name="Output 2 2 2 2 2 2 2 2" xfId="4093" xr:uid="{00000000-0005-0000-0000-00006D0C0000}"/>
    <cellStyle name="Output 2 2 2 2 2 2 3" xfId="3426" xr:uid="{00000000-0005-0000-0000-00006E0C0000}"/>
    <cellStyle name="Output 2 2 2 2 2 3" xfId="1901" xr:uid="{00000000-0005-0000-0000-00006F0C0000}"/>
    <cellStyle name="Output 2 2 2 2 2 3 2" xfId="1902" xr:uid="{00000000-0005-0000-0000-0000700C0000}"/>
    <cellStyle name="Output 2 2 2 2 2 3 2 2" xfId="4270" xr:uid="{00000000-0005-0000-0000-0000710C0000}"/>
    <cellStyle name="Output 2 2 2 2 2 3 3" xfId="3603" xr:uid="{00000000-0005-0000-0000-0000720C0000}"/>
    <cellStyle name="Output 2 2 2 2 2 4" xfId="1903" xr:uid="{00000000-0005-0000-0000-0000730C0000}"/>
    <cellStyle name="Output 2 2 2 2 2 4 2" xfId="1904" xr:uid="{00000000-0005-0000-0000-0000740C0000}"/>
    <cellStyle name="Output 2 2 2 2 2 4 2 2" xfId="4459" xr:uid="{00000000-0005-0000-0000-0000750C0000}"/>
    <cellStyle name="Output 2 2 2 2 2 4 3" xfId="3792" xr:uid="{00000000-0005-0000-0000-0000760C0000}"/>
    <cellStyle name="Output 2 2 2 2 2 5" xfId="3208" xr:uid="{00000000-0005-0000-0000-0000770C0000}"/>
    <cellStyle name="Output 2 2 2 2 3" xfId="1905" xr:uid="{00000000-0005-0000-0000-0000780C0000}"/>
    <cellStyle name="Output 2 2 2 2 3 2" xfId="4638" xr:uid="{00000000-0005-0000-0000-0000790C0000}"/>
    <cellStyle name="Output 2 2 2 2 4" xfId="3092" xr:uid="{00000000-0005-0000-0000-00007A0C0000}"/>
    <cellStyle name="Output 2 2 2 3" xfId="1906" xr:uid="{00000000-0005-0000-0000-00007B0C0000}"/>
    <cellStyle name="Output 2 2 2 3 2" xfId="1907" xr:uid="{00000000-0005-0000-0000-00007C0C0000}"/>
    <cellStyle name="Output 2 2 2 3 2 2" xfId="1908" xr:uid="{00000000-0005-0000-0000-00007D0C0000}"/>
    <cellStyle name="Output 2 2 2 3 2 2 2" xfId="4034" xr:uid="{00000000-0005-0000-0000-00007E0C0000}"/>
    <cellStyle name="Output 2 2 2 3 2 3" xfId="3367" xr:uid="{00000000-0005-0000-0000-00007F0C0000}"/>
    <cellStyle name="Output 2 2 2 3 3" xfId="1909" xr:uid="{00000000-0005-0000-0000-0000800C0000}"/>
    <cellStyle name="Output 2 2 2 3 3 2" xfId="1910" xr:uid="{00000000-0005-0000-0000-0000810C0000}"/>
    <cellStyle name="Output 2 2 2 3 3 2 2" xfId="4212" xr:uid="{00000000-0005-0000-0000-0000820C0000}"/>
    <cellStyle name="Output 2 2 2 3 3 3" xfId="3545" xr:uid="{00000000-0005-0000-0000-0000830C0000}"/>
    <cellStyle name="Output 2 2 2 3 4" xfId="1911" xr:uid="{00000000-0005-0000-0000-0000840C0000}"/>
    <cellStyle name="Output 2 2 2 3 4 2" xfId="1912" xr:uid="{00000000-0005-0000-0000-0000850C0000}"/>
    <cellStyle name="Output 2 2 2 3 4 2 2" xfId="4401" xr:uid="{00000000-0005-0000-0000-0000860C0000}"/>
    <cellStyle name="Output 2 2 2 3 4 3" xfId="3734" xr:uid="{00000000-0005-0000-0000-0000870C0000}"/>
    <cellStyle name="Output 2 2 2 3 5" xfId="3139" xr:uid="{00000000-0005-0000-0000-0000880C0000}"/>
    <cellStyle name="Output 2 2 2 4" xfId="1913" xr:uid="{00000000-0005-0000-0000-0000890C0000}"/>
    <cellStyle name="Output 2 2 2 4 2" xfId="3046" xr:uid="{00000000-0005-0000-0000-00008A0C0000}"/>
    <cellStyle name="Output 2 2 2 5" xfId="1914" xr:uid="{00000000-0005-0000-0000-00008B0C0000}"/>
    <cellStyle name="Output 2 2 2 5 2" xfId="1915" xr:uid="{00000000-0005-0000-0000-00008C0C0000}"/>
    <cellStyle name="Output 2 2 2 5 2 2" xfId="3933" xr:uid="{00000000-0005-0000-0000-00008D0C0000}"/>
    <cellStyle name="Output 2 2 2 5 3" xfId="3266" xr:uid="{00000000-0005-0000-0000-00008E0C0000}"/>
    <cellStyle name="Output 2 2 2 6" xfId="1916" xr:uid="{00000000-0005-0000-0000-00008F0C0000}"/>
    <cellStyle name="Output 2 2 2 6 2" xfId="1917" xr:uid="{00000000-0005-0000-0000-0000900C0000}"/>
    <cellStyle name="Output 2 2 2 6 2 2" xfId="3837" xr:uid="{00000000-0005-0000-0000-0000910C0000}"/>
    <cellStyle name="Output 2 2 2 6 3" xfId="2920" xr:uid="{00000000-0005-0000-0000-0000920C0000}"/>
    <cellStyle name="Output 2 2 2 7" xfId="1918" xr:uid="{00000000-0005-0000-0000-0000930C0000}"/>
    <cellStyle name="Output 2 2 2 7 2" xfId="1919" xr:uid="{00000000-0005-0000-0000-0000940C0000}"/>
    <cellStyle name="Output 2 2 2 7 2 2" xfId="4300" xr:uid="{00000000-0005-0000-0000-0000950C0000}"/>
    <cellStyle name="Output 2 2 2 7 3" xfId="3633" xr:uid="{00000000-0005-0000-0000-0000960C0000}"/>
    <cellStyle name="Output 2 2 2 8" xfId="1920" xr:uid="{00000000-0005-0000-0000-0000970C0000}"/>
    <cellStyle name="Output 2 2 2 8 2" xfId="2883" xr:uid="{00000000-0005-0000-0000-0000980C0000}"/>
    <cellStyle name="Output 2 2 2 9" xfId="1921" xr:uid="{00000000-0005-0000-0000-0000990C0000}"/>
    <cellStyle name="Output 2 2 2 9 2" xfId="4569" xr:uid="{00000000-0005-0000-0000-00009A0C0000}"/>
    <cellStyle name="Output 2 2 3" xfId="1922" xr:uid="{00000000-0005-0000-0000-00009B0C0000}"/>
    <cellStyle name="Output 2 2 3 2" xfId="1923" xr:uid="{00000000-0005-0000-0000-00009C0C0000}"/>
    <cellStyle name="Output 2 2 3 2 2" xfId="1924" xr:uid="{00000000-0005-0000-0000-00009D0C0000}"/>
    <cellStyle name="Output 2 2 3 2 2 2" xfId="1925" xr:uid="{00000000-0005-0000-0000-00009E0C0000}"/>
    <cellStyle name="Output 2 2 3 2 2 2 2" xfId="4063" xr:uid="{00000000-0005-0000-0000-00009F0C0000}"/>
    <cellStyle name="Output 2 2 3 2 2 3" xfId="3396" xr:uid="{00000000-0005-0000-0000-0000A00C0000}"/>
    <cellStyle name="Output 2 2 3 2 3" xfId="1926" xr:uid="{00000000-0005-0000-0000-0000A10C0000}"/>
    <cellStyle name="Output 2 2 3 2 3 2" xfId="1927" xr:uid="{00000000-0005-0000-0000-0000A20C0000}"/>
    <cellStyle name="Output 2 2 3 2 3 2 2" xfId="4240" xr:uid="{00000000-0005-0000-0000-0000A30C0000}"/>
    <cellStyle name="Output 2 2 3 2 3 3" xfId="3573" xr:uid="{00000000-0005-0000-0000-0000A40C0000}"/>
    <cellStyle name="Output 2 2 3 2 4" xfId="1928" xr:uid="{00000000-0005-0000-0000-0000A50C0000}"/>
    <cellStyle name="Output 2 2 3 2 4 2" xfId="1929" xr:uid="{00000000-0005-0000-0000-0000A60C0000}"/>
    <cellStyle name="Output 2 2 3 2 4 2 2" xfId="4429" xr:uid="{00000000-0005-0000-0000-0000A70C0000}"/>
    <cellStyle name="Output 2 2 3 2 4 3" xfId="3762" xr:uid="{00000000-0005-0000-0000-0000A80C0000}"/>
    <cellStyle name="Output 2 2 3 2 5" xfId="3178" xr:uid="{00000000-0005-0000-0000-0000A90C0000}"/>
    <cellStyle name="Output 2 2 3 3" xfId="1930" xr:uid="{00000000-0005-0000-0000-0000AA0C0000}"/>
    <cellStyle name="Output 2 2 3 3 2" xfId="1931" xr:uid="{00000000-0005-0000-0000-0000AB0C0000}"/>
    <cellStyle name="Output 2 2 3 3 2 2" xfId="1932" xr:uid="{00000000-0005-0000-0000-0000AC0C0000}"/>
    <cellStyle name="Output 2 2 3 3 2 2 2" xfId="4283" xr:uid="{00000000-0005-0000-0000-0000AD0C0000}"/>
    <cellStyle name="Output 2 2 3 3 2 3" xfId="3616" xr:uid="{00000000-0005-0000-0000-0000AE0C0000}"/>
    <cellStyle name="Output 2 2 3 3 3" xfId="1933" xr:uid="{00000000-0005-0000-0000-0000AF0C0000}"/>
    <cellStyle name="Output 2 2 3 3 3 2" xfId="1934" xr:uid="{00000000-0005-0000-0000-0000B00C0000}"/>
    <cellStyle name="Output 2 2 3 3 3 2 2" xfId="4472" xr:uid="{00000000-0005-0000-0000-0000B10C0000}"/>
    <cellStyle name="Output 2 2 3 3 3 3" xfId="3805" xr:uid="{00000000-0005-0000-0000-0000B20C0000}"/>
    <cellStyle name="Output 2 2 3 3 4" xfId="3221" xr:uid="{00000000-0005-0000-0000-0000B30C0000}"/>
    <cellStyle name="Output 2 2 3 4" xfId="1935" xr:uid="{00000000-0005-0000-0000-0000B40C0000}"/>
    <cellStyle name="Output 2 2 3 4 2" xfId="1936" xr:uid="{00000000-0005-0000-0000-0000B50C0000}"/>
    <cellStyle name="Output 2 2 3 4 2 2" xfId="3960" xr:uid="{00000000-0005-0000-0000-0000B60C0000}"/>
    <cellStyle name="Output 2 2 3 4 3" xfId="3293" xr:uid="{00000000-0005-0000-0000-0000B70C0000}"/>
    <cellStyle name="Output 2 2 3 5" xfId="1937" xr:uid="{00000000-0005-0000-0000-0000B80C0000}"/>
    <cellStyle name="Output 2 2 3 5 2" xfId="1938" xr:uid="{00000000-0005-0000-0000-0000B90C0000}"/>
    <cellStyle name="Output 2 2 3 5 2 2" xfId="4138" xr:uid="{00000000-0005-0000-0000-0000BA0C0000}"/>
    <cellStyle name="Output 2 2 3 5 3" xfId="3471" xr:uid="{00000000-0005-0000-0000-0000BB0C0000}"/>
    <cellStyle name="Output 2 2 3 6" xfId="1939" xr:uid="{00000000-0005-0000-0000-0000BC0C0000}"/>
    <cellStyle name="Output 2 2 3 6 2" xfId="1940" xr:uid="{00000000-0005-0000-0000-0000BD0C0000}"/>
    <cellStyle name="Output 2 2 3 6 2 2" xfId="4327" xr:uid="{00000000-0005-0000-0000-0000BE0C0000}"/>
    <cellStyle name="Output 2 2 3 6 3" xfId="3660" xr:uid="{00000000-0005-0000-0000-0000BF0C0000}"/>
    <cellStyle name="Output 2 2 3 7" xfId="1941" xr:uid="{00000000-0005-0000-0000-0000C00C0000}"/>
    <cellStyle name="Output 2 2 3 7 2" xfId="3066" xr:uid="{00000000-0005-0000-0000-0000C10C0000}"/>
    <cellStyle name="Output 2 2 3 8" xfId="1942" xr:uid="{00000000-0005-0000-0000-0000C20C0000}"/>
    <cellStyle name="Output 2 2 3 8 2" xfId="4608" xr:uid="{00000000-0005-0000-0000-0000C30C0000}"/>
    <cellStyle name="Output 2 2 3 9" xfId="2860" xr:uid="{00000000-0005-0000-0000-0000C40C0000}"/>
    <cellStyle name="Output 2 2 4" xfId="1943" xr:uid="{00000000-0005-0000-0000-0000C50C0000}"/>
    <cellStyle name="Output 2 2 4 2" xfId="1944" xr:uid="{00000000-0005-0000-0000-0000C60C0000}"/>
    <cellStyle name="Output 2 2 4 2 2" xfId="1945" xr:uid="{00000000-0005-0000-0000-0000C70C0000}"/>
    <cellStyle name="Output 2 2 4 2 2 2" xfId="1946" xr:uid="{00000000-0005-0000-0000-0000C80C0000}"/>
    <cellStyle name="Output 2 2 4 2 2 2 2" xfId="4081" xr:uid="{00000000-0005-0000-0000-0000C90C0000}"/>
    <cellStyle name="Output 2 2 4 2 2 3" xfId="3414" xr:uid="{00000000-0005-0000-0000-0000CA0C0000}"/>
    <cellStyle name="Output 2 2 4 2 3" xfId="1947" xr:uid="{00000000-0005-0000-0000-0000CB0C0000}"/>
    <cellStyle name="Output 2 2 4 2 3 2" xfId="1948" xr:uid="{00000000-0005-0000-0000-0000CC0C0000}"/>
    <cellStyle name="Output 2 2 4 2 3 2 2" xfId="4258" xr:uid="{00000000-0005-0000-0000-0000CD0C0000}"/>
    <cellStyle name="Output 2 2 4 2 3 3" xfId="3591" xr:uid="{00000000-0005-0000-0000-0000CE0C0000}"/>
    <cellStyle name="Output 2 2 4 2 4" xfId="1949" xr:uid="{00000000-0005-0000-0000-0000CF0C0000}"/>
    <cellStyle name="Output 2 2 4 2 4 2" xfId="1950" xr:uid="{00000000-0005-0000-0000-0000D00C0000}"/>
    <cellStyle name="Output 2 2 4 2 4 2 2" xfId="4447" xr:uid="{00000000-0005-0000-0000-0000D10C0000}"/>
    <cellStyle name="Output 2 2 4 2 4 3" xfId="3780" xr:uid="{00000000-0005-0000-0000-0000D20C0000}"/>
    <cellStyle name="Output 2 2 4 2 5" xfId="3196" xr:uid="{00000000-0005-0000-0000-0000D30C0000}"/>
    <cellStyle name="Output 2 2 4 3" xfId="1951" xr:uid="{00000000-0005-0000-0000-0000D40C0000}"/>
    <cellStyle name="Output 2 2 4 3 2" xfId="1952" xr:uid="{00000000-0005-0000-0000-0000D50C0000}"/>
    <cellStyle name="Output 2 2 4 3 2 2" xfId="1953" xr:uid="{00000000-0005-0000-0000-0000D60C0000}"/>
    <cellStyle name="Output 2 2 4 3 2 2 2" xfId="4289" xr:uid="{00000000-0005-0000-0000-0000D70C0000}"/>
    <cellStyle name="Output 2 2 4 3 2 3" xfId="3622" xr:uid="{00000000-0005-0000-0000-0000D80C0000}"/>
    <cellStyle name="Output 2 2 4 3 3" xfId="1954" xr:uid="{00000000-0005-0000-0000-0000D90C0000}"/>
    <cellStyle name="Output 2 2 4 3 3 2" xfId="1955" xr:uid="{00000000-0005-0000-0000-0000DA0C0000}"/>
    <cellStyle name="Output 2 2 4 3 3 2 2" xfId="4478" xr:uid="{00000000-0005-0000-0000-0000DB0C0000}"/>
    <cellStyle name="Output 2 2 4 3 3 3" xfId="3811" xr:uid="{00000000-0005-0000-0000-0000DC0C0000}"/>
    <cellStyle name="Output 2 2 4 3 4" xfId="3227" xr:uid="{00000000-0005-0000-0000-0000DD0C0000}"/>
    <cellStyle name="Output 2 2 4 4" xfId="1956" xr:uid="{00000000-0005-0000-0000-0000DE0C0000}"/>
    <cellStyle name="Output 2 2 4 4 2" xfId="1957" xr:uid="{00000000-0005-0000-0000-0000DF0C0000}"/>
    <cellStyle name="Output 2 2 4 4 2 2" xfId="3976" xr:uid="{00000000-0005-0000-0000-0000E00C0000}"/>
    <cellStyle name="Output 2 2 4 4 3" xfId="3309" xr:uid="{00000000-0005-0000-0000-0000E10C0000}"/>
    <cellStyle name="Output 2 2 4 5" xfId="1958" xr:uid="{00000000-0005-0000-0000-0000E20C0000}"/>
    <cellStyle name="Output 2 2 4 5 2" xfId="1959" xr:uid="{00000000-0005-0000-0000-0000E30C0000}"/>
    <cellStyle name="Output 2 2 4 5 2 2" xfId="4154" xr:uid="{00000000-0005-0000-0000-0000E40C0000}"/>
    <cellStyle name="Output 2 2 4 5 3" xfId="3487" xr:uid="{00000000-0005-0000-0000-0000E50C0000}"/>
    <cellStyle name="Output 2 2 4 6" xfId="1960" xr:uid="{00000000-0005-0000-0000-0000E60C0000}"/>
    <cellStyle name="Output 2 2 4 6 2" xfId="1961" xr:uid="{00000000-0005-0000-0000-0000E70C0000}"/>
    <cellStyle name="Output 2 2 4 6 2 2" xfId="4343" xr:uid="{00000000-0005-0000-0000-0000E80C0000}"/>
    <cellStyle name="Output 2 2 4 6 3" xfId="3676" xr:uid="{00000000-0005-0000-0000-0000E90C0000}"/>
    <cellStyle name="Output 2 2 4 7" xfId="1962" xr:uid="{00000000-0005-0000-0000-0000EA0C0000}"/>
    <cellStyle name="Output 2 2 4 7 2" xfId="3081" xr:uid="{00000000-0005-0000-0000-0000EB0C0000}"/>
    <cellStyle name="Output 2 2 4 8" xfId="1963" xr:uid="{00000000-0005-0000-0000-0000EC0C0000}"/>
    <cellStyle name="Output 2 2 4 8 2" xfId="4626" xr:uid="{00000000-0005-0000-0000-0000ED0C0000}"/>
    <cellStyle name="Output 2 2 4 9" xfId="2767" xr:uid="{00000000-0005-0000-0000-0000EE0C0000}"/>
    <cellStyle name="Output 2 2 5" xfId="1964" xr:uid="{00000000-0005-0000-0000-0000EF0C0000}"/>
    <cellStyle name="Output 2 2 5 2" xfId="2977" xr:uid="{00000000-0005-0000-0000-0000F00C0000}"/>
    <cellStyle name="Output 2 2 6" xfId="1965" xr:uid="{00000000-0005-0000-0000-0000F10C0000}"/>
    <cellStyle name="Output 2 2 6 2" xfId="2882" xr:uid="{00000000-0005-0000-0000-0000F20C0000}"/>
    <cellStyle name="Output 2 2 7" xfId="1966" xr:uid="{00000000-0005-0000-0000-0000F30C0000}"/>
    <cellStyle name="Output 2 2 7 2" xfId="4520" xr:uid="{00000000-0005-0000-0000-0000F40C0000}"/>
    <cellStyle name="Output 2 2 8" xfId="1967" xr:uid="{00000000-0005-0000-0000-0000F50C0000}"/>
    <cellStyle name="Output 2 3" xfId="1968" xr:uid="{00000000-0005-0000-0000-0000F60C0000}"/>
    <cellStyle name="Output 2 3 10" xfId="1969" xr:uid="{00000000-0005-0000-0000-0000F70C0000}"/>
    <cellStyle name="Output 2 3 10 2" xfId="2711" xr:uid="{00000000-0005-0000-0000-0000F80C0000}"/>
    <cellStyle name="Output 2 3 11" xfId="2658" xr:uid="{00000000-0005-0000-0000-0000F90C0000}"/>
    <cellStyle name="Output 2 3 2" xfId="1970" xr:uid="{00000000-0005-0000-0000-0000FA0C0000}"/>
    <cellStyle name="Output 2 3 2 2" xfId="1971" xr:uid="{00000000-0005-0000-0000-0000FB0C0000}"/>
    <cellStyle name="Output 2 3 2 2 2" xfId="1972" xr:uid="{00000000-0005-0000-0000-0000FC0C0000}"/>
    <cellStyle name="Output 2 3 2 2 2 2" xfId="1973" xr:uid="{00000000-0005-0000-0000-0000FD0C0000}"/>
    <cellStyle name="Output 2 3 2 2 2 2 2" xfId="4072" xr:uid="{00000000-0005-0000-0000-0000FE0C0000}"/>
    <cellStyle name="Output 2 3 2 2 2 3" xfId="3405" xr:uid="{00000000-0005-0000-0000-0000FF0C0000}"/>
    <cellStyle name="Output 2 3 2 2 3" xfId="1974" xr:uid="{00000000-0005-0000-0000-0000000D0000}"/>
    <cellStyle name="Output 2 3 2 2 3 2" xfId="1975" xr:uid="{00000000-0005-0000-0000-0000010D0000}"/>
    <cellStyle name="Output 2 3 2 2 3 2 2" xfId="4249" xr:uid="{00000000-0005-0000-0000-0000020D0000}"/>
    <cellStyle name="Output 2 3 2 2 3 3" xfId="3582" xr:uid="{00000000-0005-0000-0000-0000030D0000}"/>
    <cellStyle name="Output 2 3 2 2 4" xfId="1976" xr:uid="{00000000-0005-0000-0000-0000040D0000}"/>
    <cellStyle name="Output 2 3 2 2 4 2" xfId="1977" xr:uid="{00000000-0005-0000-0000-0000050D0000}"/>
    <cellStyle name="Output 2 3 2 2 4 2 2" xfId="4438" xr:uid="{00000000-0005-0000-0000-0000060D0000}"/>
    <cellStyle name="Output 2 3 2 2 4 3" xfId="3771" xr:uid="{00000000-0005-0000-0000-0000070D0000}"/>
    <cellStyle name="Output 2 3 2 2 5" xfId="3187" xr:uid="{00000000-0005-0000-0000-0000080D0000}"/>
    <cellStyle name="Output 2 3 2 3" xfId="1978" xr:uid="{00000000-0005-0000-0000-0000090D0000}"/>
    <cellStyle name="Output 2 3 2 3 2" xfId="4617" xr:uid="{00000000-0005-0000-0000-00000A0D0000}"/>
    <cellStyle name="Output 2 3 2 4" xfId="3073" xr:uid="{00000000-0005-0000-0000-00000B0D0000}"/>
    <cellStyle name="Output 2 3 3" xfId="1979" xr:uid="{00000000-0005-0000-0000-00000C0D0000}"/>
    <cellStyle name="Output 2 3 3 2" xfId="1980" xr:uid="{00000000-0005-0000-0000-00000D0D0000}"/>
    <cellStyle name="Output 2 3 3 2 2" xfId="1981" xr:uid="{00000000-0005-0000-0000-00000E0D0000}"/>
    <cellStyle name="Output 2 3 3 2 2 2" xfId="4015" xr:uid="{00000000-0005-0000-0000-00000F0D0000}"/>
    <cellStyle name="Output 2 3 3 2 3" xfId="3348" xr:uid="{00000000-0005-0000-0000-0000100D0000}"/>
    <cellStyle name="Output 2 3 3 3" xfId="1982" xr:uid="{00000000-0005-0000-0000-0000110D0000}"/>
    <cellStyle name="Output 2 3 3 3 2" xfId="1983" xr:uid="{00000000-0005-0000-0000-0000120D0000}"/>
    <cellStyle name="Output 2 3 3 3 2 2" xfId="4193" xr:uid="{00000000-0005-0000-0000-0000130D0000}"/>
    <cellStyle name="Output 2 3 3 3 3" xfId="3526" xr:uid="{00000000-0005-0000-0000-0000140D0000}"/>
    <cellStyle name="Output 2 3 3 4" xfId="1984" xr:uid="{00000000-0005-0000-0000-0000150D0000}"/>
    <cellStyle name="Output 2 3 3 4 2" xfId="1985" xr:uid="{00000000-0005-0000-0000-0000160D0000}"/>
    <cellStyle name="Output 2 3 3 4 2 2" xfId="4382" xr:uid="{00000000-0005-0000-0000-0000170D0000}"/>
    <cellStyle name="Output 2 3 3 4 3" xfId="3715" xr:uid="{00000000-0005-0000-0000-0000180D0000}"/>
    <cellStyle name="Output 2 3 3 5" xfId="3119" xr:uid="{00000000-0005-0000-0000-0000190D0000}"/>
    <cellStyle name="Output 2 3 4" xfId="1986" xr:uid="{00000000-0005-0000-0000-00001A0D0000}"/>
    <cellStyle name="Output 2 3 4 2" xfId="3022" xr:uid="{00000000-0005-0000-0000-00001B0D0000}"/>
    <cellStyle name="Output 2 3 5" xfId="1987" xr:uid="{00000000-0005-0000-0000-00001C0D0000}"/>
    <cellStyle name="Output 2 3 5 2" xfId="1988" xr:uid="{00000000-0005-0000-0000-00001D0D0000}"/>
    <cellStyle name="Output 2 3 5 2 2" xfId="3911" xr:uid="{00000000-0005-0000-0000-00001E0D0000}"/>
    <cellStyle name="Output 2 3 5 3" xfId="3244" xr:uid="{00000000-0005-0000-0000-00001F0D0000}"/>
    <cellStyle name="Output 2 3 6" xfId="1989" xr:uid="{00000000-0005-0000-0000-0000200D0000}"/>
    <cellStyle name="Output 2 3 6 2" xfId="1990" xr:uid="{00000000-0005-0000-0000-0000210D0000}"/>
    <cellStyle name="Output 2 3 6 2 2" xfId="3854" xr:uid="{00000000-0005-0000-0000-0000220D0000}"/>
    <cellStyle name="Output 2 3 6 3" xfId="2952" xr:uid="{00000000-0005-0000-0000-0000230D0000}"/>
    <cellStyle name="Output 2 3 7" xfId="1991" xr:uid="{00000000-0005-0000-0000-0000240D0000}"/>
    <cellStyle name="Output 2 3 7 2" xfId="1992" xr:uid="{00000000-0005-0000-0000-0000250D0000}"/>
    <cellStyle name="Output 2 3 7 2 2" xfId="3840" xr:uid="{00000000-0005-0000-0000-0000260D0000}"/>
    <cellStyle name="Output 2 3 7 3" xfId="2924" xr:uid="{00000000-0005-0000-0000-0000270D0000}"/>
    <cellStyle name="Output 2 3 8" xfId="1993" xr:uid="{00000000-0005-0000-0000-0000280D0000}"/>
    <cellStyle name="Output 2 3 8 2" xfId="2884" xr:uid="{00000000-0005-0000-0000-0000290D0000}"/>
    <cellStyle name="Output 2 3 9" xfId="1994" xr:uid="{00000000-0005-0000-0000-00002A0D0000}"/>
    <cellStyle name="Output 2 3 9 2" xfId="4541" xr:uid="{00000000-0005-0000-0000-00002B0D0000}"/>
    <cellStyle name="Output 2 4" xfId="1995" xr:uid="{00000000-0005-0000-0000-00002C0D0000}"/>
    <cellStyle name="Output 2 4 2" xfId="1996" xr:uid="{00000000-0005-0000-0000-00002D0D0000}"/>
    <cellStyle name="Output 2 4 2 2" xfId="1997" xr:uid="{00000000-0005-0000-0000-00002E0D0000}"/>
    <cellStyle name="Output 2 4 2 2 2" xfId="1998" xr:uid="{00000000-0005-0000-0000-00002F0D0000}"/>
    <cellStyle name="Output 2 4 2 2 2 2" xfId="4046" xr:uid="{00000000-0005-0000-0000-0000300D0000}"/>
    <cellStyle name="Output 2 4 2 2 3" xfId="3379" xr:uid="{00000000-0005-0000-0000-0000310D0000}"/>
    <cellStyle name="Output 2 4 2 3" xfId="1999" xr:uid="{00000000-0005-0000-0000-0000320D0000}"/>
    <cellStyle name="Output 2 4 2 3 2" xfId="2000" xr:uid="{00000000-0005-0000-0000-0000330D0000}"/>
    <cellStyle name="Output 2 4 2 3 2 2" xfId="4223" xr:uid="{00000000-0005-0000-0000-0000340D0000}"/>
    <cellStyle name="Output 2 4 2 3 3" xfId="3556" xr:uid="{00000000-0005-0000-0000-0000350D0000}"/>
    <cellStyle name="Output 2 4 2 4" xfId="2001" xr:uid="{00000000-0005-0000-0000-0000360D0000}"/>
    <cellStyle name="Output 2 4 2 4 2" xfId="2002" xr:uid="{00000000-0005-0000-0000-0000370D0000}"/>
    <cellStyle name="Output 2 4 2 4 2 2" xfId="4412" xr:uid="{00000000-0005-0000-0000-0000380D0000}"/>
    <cellStyle name="Output 2 4 2 4 3" xfId="3745" xr:uid="{00000000-0005-0000-0000-0000390D0000}"/>
    <cellStyle name="Output 2 4 2 5" xfId="3152" xr:uid="{00000000-0005-0000-0000-00003A0D0000}"/>
    <cellStyle name="Output 2 4 3" xfId="2003" xr:uid="{00000000-0005-0000-0000-00003B0D0000}"/>
    <cellStyle name="Output 2 4 3 2" xfId="2004" xr:uid="{00000000-0005-0000-0000-00003C0D0000}"/>
    <cellStyle name="Output 2 4 3 2 2" xfId="2005" xr:uid="{00000000-0005-0000-0000-00003D0D0000}"/>
    <cellStyle name="Output 2 4 3 2 2 2" xfId="4278" xr:uid="{00000000-0005-0000-0000-00003E0D0000}"/>
    <cellStyle name="Output 2 4 3 2 3" xfId="3611" xr:uid="{00000000-0005-0000-0000-00003F0D0000}"/>
    <cellStyle name="Output 2 4 3 3" xfId="2006" xr:uid="{00000000-0005-0000-0000-0000400D0000}"/>
    <cellStyle name="Output 2 4 3 3 2" xfId="2007" xr:uid="{00000000-0005-0000-0000-0000410D0000}"/>
    <cellStyle name="Output 2 4 3 3 2 2" xfId="4467" xr:uid="{00000000-0005-0000-0000-0000420D0000}"/>
    <cellStyle name="Output 2 4 3 3 3" xfId="3800" xr:uid="{00000000-0005-0000-0000-0000430D0000}"/>
    <cellStyle name="Output 2 4 3 4" xfId="3216" xr:uid="{00000000-0005-0000-0000-0000440D0000}"/>
    <cellStyle name="Output 2 4 4" xfId="2008" xr:uid="{00000000-0005-0000-0000-0000450D0000}"/>
    <cellStyle name="Output 2 4 4 2" xfId="2009" xr:uid="{00000000-0005-0000-0000-0000460D0000}"/>
    <cellStyle name="Output 2 4 4 2 2" xfId="3944" xr:uid="{00000000-0005-0000-0000-0000470D0000}"/>
    <cellStyle name="Output 2 4 4 3" xfId="3277" xr:uid="{00000000-0005-0000-0000-0000480D0000}"/>
    <cellStyle name="Output 2 4 5" xfId="2010" xr:uid="{00000000-0005-0000-0000-0000490D0000}"/>
    <cellStyle name="Output 2 4 5 2" xfId="2011" xr:uid="{00000000-0005-0000-0000-00004A0D0000}"/>
    <cellStyle name="Output 2 4 5 2 2" xfId="4122" xr:uid="{00000000-0005-0000-0000-00004B0D0000}"/>
    <cellStyle name="Output 2 4 5 3" xfId="3455" xr:uid="{00000000-0005-0000-0000-00004C0D0000}"/>
    <cellStyle name="Output 2 4 6" xfId="2012" xr:uid="{00000000-0005-0000-0000-00004D0D0000}"/>
    <cellStyle name="Output 2 4 6 2" xfId="2013" xr:uid="{00000000-0005-0000-0000-00004E0D0000}"/>
    <cellStyle name="Output 2 4 6 2 2" xfId="4311" xr:uid="{00000000-0005-0000-0000-00004F0D0000}"/>
    <cellStyle name="Output 2 4 6 3" xfId="3644" xr:uid="{00000000-0005-0000-0000-0000500D0000}"/>
    <cellStyle name="Output 2 4 7" xfId="2014" xr:uid="{00000000-0005-0000-0000-0000510D0000}"/>
    <cellStyle name="Output 2 4 7 2" xfId="3056" xr:uid="{00000000-0005-0000-0000-0000520D0000}"/>
    <cellStyle name="Output 2 4 8" xfId="2015" xr:uid="{00000000-0005-0000-0000-0000530D0000}"/>
    <cellStyle name="Output 2 4 8 2" xfId="4582" xr:uid="{00000000-0005-0000-0000-0000540D0000}"/>
    <cellStyle name="Output 2 4 9" xfId="2859" xr:uid="{00000000-0005-0000-0000-0000550D0000}"/>
    <cellStyle name="Output 2 5" xfId="2016" xr:uid="{00000000-0005-0000-0000-0000560D0000}"/>
    <cellStyle name="Output 2 5 2" xfId="2017" xr:uid="{00000000-0005-0000-0000-0000570D0000}"/>
    <cellStyle name="Output 2 5 2 2" xfId="2018" xr:uid="{00000000-0005-0000-0000-0000580D0000}"/>
    <cellStyle name="Output 2 5 2 2 2" xfId="2019" xr:uid="{00000000-0005-0000-0000-0000590D0000}"/>
    <cellStyle name="Output 2 5 2 2 2 2" xfId="4056" xr:uid="{00000000-0005-0000-0000-00005A0D0000}"/>
    <cellStyle name="Output 2 5 2 2 3" xfId="3389" xr:uid="{00000000-0005-0000-0000-00005B0D0000}"/>
    <cellStyle name="Output 2 5 2 3" xfId="2020" xr:uid="{00000000-0005-0000-0000-00005C0D0000}"/>
    <cellStyle name="Output 2 5 2 3 2" xfId="2021" xr:uid="{00000000-0005-0000-0000-00005D0D0000}"/>
    <cellStyle name="Output 2 5 2 3 2 2" xfId="4233" xr:uid="{00000000-0005-0000-0000-00005E0D0000}"/>
    <cellStyle name="Output 2 5 2 3 3" xfId="3566" xr:uid="{00000000-0005-0000-0000-00005F0D0000}"/>
    <cellStyle name="Output 2 5 2 4" xfId="2022" xr:uid="{00000000-0005-0000-0000-0000600D0000}"/>
    <cellStyle name="Output 2 5 2 4 2" xfId="2023" xr:uid="{00000000-0005-0000-0000-0000610D0000}"/>
    <cellStyle name="Output 2 5 2 4 2 2" xfId="4422" xr:uid="{00000000-0005-0000-0000-0000620D0000}"/>
    <cellStyle name="Output 2 5 2 4 3" xfId="3755" xr:uid="{00000000-0005-0000-0000-0000630D0000}"/>
    <cellStyle name="Output 2 5 2 5" xfId="3165" xr:uid="{00000000-0005-0000-0000-0000640D0000}"/>
    <cellStyle name="Output 2 5 3" xfId="2024" xr:uid="{00000000-0005-0000-0000-0000650D0000}"/>
    <cellStyle name="Output 2 5 3 2" xfId="2025" xr:uid="{00000000-0005-0000-0000-0000660D0000}"/>
    <cellStyle name="Output 2 5 3 2 2" xfId="2026" xr:uid="{00000000-0005-0000-0000-0000670D0000}"/>
    <cellStyle name="Output 2 5 3 2 2 2" xfId="4282" xr:uid="{00000000-0005-0000-0000-0000680D0000}"/>
    <cellStyle name="Output 2 5 3 2 3" xfId="3615" xr:uid="{00000000-0005-0000-0000-0000690D0000}"/>
    <cellStyle name="Output 2 5 3 3" xfId="2027" xr:uid="{00000000-0005-0000-0000-00006A0D0000}"/>
    <cellStyle name="Output 2 5 3 3 2" xfId="2028" xr:uid="{00000000-0005-0000-0000-00006B0D0000}"/>
    <cellStyle name="Output 2 5 3 3 2 2" xfId="4471" xr:uid="{00000000-0005-0000-0000-00006C0D0000}"/>
    <cellStyle name="Output 2 5 3 3 3" xfId="3804" xr:uid="{00000000-0005-0000-0000-00006D0D0000}"/>
    <cellStyle name="Output 2 5 3 4" xfId="3220" xr:uid="{00000000-0005-0000-0000-00006E0D0000}"/>
    <cellStyle name="Output 2 5 4" xfId="2029" xr:uid="{00000000-0005-0000-0000-00006F0D0000}"/>
    <cellStyle name="Output 2 5 4 2" xfId="2030" xr:uid="{00000000-0005-0000-0000-0000700D0000}"/>
    <cellStyle name="Output 2 5 4 2 2" xfId="3953" xr:uid="{00000000-0005-0000-0000-0000710D0000}"/>
    <cellStyle name="Output 2 5 4 3" xfId="3286" xr:uid="{00000000-0005-0000-0000-0000720D0000}"/>
    <cellStyle name="Output 2 5 5" xfId="2031" xr:uid="{00000000-0005-0000-0000-0000730D0000}"/>
    <cellStyle name="Output 2 5 5 2" xfId="2032" xr:uid="{00000000-0005-0000-0000-0000740D0000}"/>
    <cellStyle name="Output 2 5 5 2 2" xfId="4131" xr:uid="{00000000-0005-0000-0000-0000750D0000}"/>
    <cellStyle name="Output 2 5 5 3" xfId="3464" xr:uid="{00000000-0005-0000-0000-0000760D0000}"/>
    <cellStyle name="Output 2 5 6" xfId="2033" xr:uid="{00000000-0005-0000-0000-0000770D0000}"/>
    <cellStyle name="Output 2 5 6 2" xfId="2034" xr:uid="{00000000-0005-0000-0000-0000780D0000}"/>
    <cellStyle name="Output 2 5 6 2 2" xfId="4320" xr:uid="{00000000-0005-0000-0000-0000790D0000}"/>
    <cellStyle name="Output 2 5 6 3" xfId="3653" xr:uid="{00000000-0005-0000-0000-00007A0D0000}"/>
    <cellStyle name="Output 2 5 7" xfId="2035" xr:uid="{00000000-0005-0000-0000-00007B0D0000}"/>
    <cellStyle name="Output 2 5 7 2" xfId="3065" xr:uid="{00000000-0005-0000-0000-00007C0D0000}"/>
    <cellStyle name="Output 2 5 8" xfId="2036" xr:uid="{00000000-0005-0000-0000-00007D0D0000}"/>
    <cellStyle name="Output 2 5 8 2" xfId="4595" xr:uid="{00000000-0005-0000-0000-00007E0D0000}"/>
    <cellStyle name="Output 2 5 9" xfId="2745" xr:uid="{00000000-0005-0000-0000-00007F0D0000}"/>
    <cellStyle name="Output 2 6" xfId="2037" xr:uid="{00000000-0005-0000-0000-0000800D0000}"/>
    <cellStyle name="Output 2 6 2" xfId="2038" xr:uid="{00000000-0005-0000-0000-0000810D0000}"/>
    <cellStyle name="Output 2 6 2 2" xfId="2039" xr:uid="{00000000-0005-0000-0000-0000820D0000}"/>
    <cellStyle name="Output 2 6 2 2 2" xfId="4171" xr:uid="{00000000-0005-0000-0000-0000830D0000}"/>
    <cellStyle name="Output 2 6 2 3" xfId="3504" xr:uid="{00000000-0005-0000-0000-0000840D0000}"/>
    <cellStyle name="Output 2 6 3" xfId="2040" xr:uid="{00000000-0005-0000-0000-0000850D0000}"/>
    <cellStyle name="Output 2 6 3 2" xfId="2041" xr:uid="{00000000-0005-0000-0000-0000860D0000}"/>
    <cellStyle name="Output 2 6 3 2 2" xfId="4360" xr:uid="{00000000-0005-0000-0000-0000870D0000}"/>
    <cellStyle name="Output 2 6 3 3" xfId="3693" xr:uid="{00000000-0005-0000-0000-0000880D0000}"/>
    <cellStyle name="Output 2 6 4" xfId="3097" xr:uid="{00000000-0005-0000-0000-0000890D0000}"/>
    <cellStyle name="Output 2 7" xfId="2042" xr:uid="{00000000-0005-0000-0000-00008A0D0000}"/>
    <cellStyle name="Output 2 7 2" xfId="2932" xr:uid="{00000000-0005-0000-0000-00008B0D0000}"/>
    <cellStyle name="Output 2 8" xfId="2043" xr:uid="{00000000-0005-0000-0000-00008C0D0000}"/>
    <cellStyle name="Output 2 8 2" xfId="2881" xr:uid="{00000000-0005-0000-0000-00008D0D0000}"/>
    <cellStyle name="Output 2 9" xfId="2044" xr:uid="{00000000-0005-0000-0000-00008E0D0000}"/>
    <cellStyle name="Output 2 9 2" xfId="4501" xr:uid="{00000000-0005-0000-0000-00008F0D0000}"/>
    <cellStyle name="Output 2_בחירה מרשימה" xfId="2045" xr:uid="{00000000-0005-0000-0000-0000900D0000}"/>
    <cellStyle name="Output 3" xfId="208" xr:uid="{00000000-0005-0000-0000-0000910D0000}"/>
    <cellStyle name="Output 3 2" xfId="2046" xr:uid="{00000000-0005-0000-0000-0000920D0000}"/>
    <cellStyle name="Output 3 2 2" xfId="2047" xr:uid="{00000000-0005-0000-0000-0000930D0000}"/>
    <cellStyle name="Output 3 2 2 10" xfId="2048" xr:uid="{00000000-0005-0000-0000-0000940D0000}"/>
    <cellStyle name="Output 3 2 2 10 2" xfId="2731" xr:uid="{00000000-0005-0000-0000-0000950D0000}"/>
    <cellStyle name="Output 3 2 2 11" xfId="2678" xr:uid="{00000000-0005-0000-0000-0000960D0000}"/>
    <cellStyle name="Output 3 2 2 2" xfId="2049" xr:uid="{00000000-0005-0000-0000-0000970D0000}"/>
    <cellStyle name="Output 3 2 2 2 2" xfId="2050" xr:uid="{00000000-0005-0000-0000-0000980D0000}"/>
    <cellStyle name="Output 3 2 2 2 2 2" xfId="2051" xr:uid="{00000000-0005-0000-0000-0000990D0000}"/>
    <cellStyle name="Output 3 2 2 2 2 2 2" xfId="2052" xr:uid="{00000000-0005-0000-0000-00009A0D0000}"/>
    <cellStyle name="Output 3 2 2 2 2 2 2 2" xfId="4094" xr:uid="{00000000-0005-0000-0000-00009B0D0000}"/>
    <cellStyle name="Output 3 2 2 2 2 2 3" xfId="3427" xr:uid="{00000000-0005-0000-0000-00009C0D0000}"/>
    <cellStyle name="Output 3 2 2 2 2 3" xfId="2053" xr:uid="{00000000-0005-0000-0000-00009D0D0000}"/>
    <cellStyle name="Output 3 2 2 2 2 3 2" xfId="2054" xr:uid="{00000000-0005-0000-0000-00009E0D0000}"/>
    <cellStyle name="Output 3 2 2 2 2 3 2 2" xfId="4271" xr:uid="{00000000-0005-0000-0000-00009F0D0000}"/>
    <cellStyle name="Output 3 2 2 2 2 3 3" xfId="3604" xr:uid="{00000000-0005-0000-0000-0000A00D0000}"/>
    <cellStyle name="Output 3 2 2 2 2 4" xfId="2055" xr:uid="{00000000-0005-0000-0000-0000A10D0000}"/>
    <cellStyle name="Output 3 2 2 2 2 4 2" xfId="2056" xr:uid="{00000000-0005-0000-0000-0000A20D0000}"/>
    <cellStyle name="Output 3 2 2 2 2 4 2 2" xfId="4460" xr:uid="{00000000-0005-0000-0000-0000A30D0000}"/>
    <cellStyle name="Output 3 2 2 2 2 4 3" xfId="3793" xr:uid="{00000000-0005-0000-0000-0000A40D0000}"/>
    <cellStyle name="Output 3 2 2 2 2 5" xfId="3209" xr:uid="{00000000-0005-0000-0000-0000A50D0000}"/>
    <cellStyle name="Output 3 2 2 2 3" xfId="2057" xr:uid="{00000000-0005-0000-0000-0000A60D0000}"/>
    <cellStyle name="Output 3 2 2 2 3 2" xfId="4639" xr:uid="{00000000-0005-0000-0000-0000A70D0000}"/>
    <cellStyle name="Output 3 2 2 2 4" xfId="3093" xr:uid="{00000000-0005-0000-0000-0000A80D0000}"/>
    <cellStyle name="Output 3 2 2 3" xfId="2058" xr:uid="{00000000-0005-0000-0000-0000A90D0000}"/>
    <cellStyle name="Output 3 2 2 3 2" xfId="2059" xr:uid="{00000000-0005-0000-0000-0000AA0D0000}"/>
    <cellStyle name="Output 3 2 2 3 2 2" xfId="2060" xr:uid="{00000000-0005-0000-0000-0000AB0D0000}"/>
    <cellStyle name="Output 3 2 2 3 2 2 2" xfId="4035" xr:uid="{00000000-0005-0000-0000-0000AC0D0000}"/>
    <cellStyle name="Output 3 2 2 3 2 3" xfId="3368" xr:uid="{00000000-0005-0000-0000-0000AD0D0000}"/>
    <cellStyle name="Output 3 2 2 3 3" xfId="2061" xr:uid="{00000000-0005-0000-0000-0000AE0D0000}"/>
    <cellStyle name="Output 3 2 2 3 3 2" xfId="2062" xr:uid="{00000000-0005-0000-0000-0000AF0D0000}"/>
    <cellStyle name="Output 3 2 2 3 3 2 2" xfId="4213" xr:uid="{00000000-0005-0000-0000-0000B00D0000}"/>
    <cellStyle name="Output 3 2 2 3 3 3" xfId="3546" xr:uid="{00000000-0005-0000-0000-0000B10D0000}"/>
    <cellStyle name="Output 3 2 2 3 4" xfId="2063" xr:uid="{00000000-0005-0000-0000-0000B20D0000}"/>
    <cellStyle name="Output 3 2 2 3 4 2" xfId="2064" xr:uid="{00000000-0005-0000-0000-0000B30D0000}"/>
    <cellStyle name="Output 3 2 2 3 4 2 2" xfId="4402" xr:uid="{00000000-0005-0000-0000-0000B40D0000}"/>
    <cellStyle name="Output 3 2 2 3 4 3" xfId="3735" xr:uid="{00000000-0005-0000-0000-0000B50D0000}"/>
    <cellStyle name="Output 3 2 2 3 5" xfId="3140" xr:uid="{00000000-0005-0000-0000-0000B60D0000}"/>
    <cellStyle name="Output 3 2 2 4" xfId="2065" xr:uid="{00000000-0005-0000-0000-0000B70D0000}"/>
    <cellStyle name="Output 3 2 2 4 2" xfId="3047" xr:uid="{00000000-0005-0000-0000-0000B80D0000}"/>
    <cellStyle name="Output 3 2 2 5" xfId="2066" xr:uid="{00000000-0005-0000-0000-0000B90D0000}"/>
    <cellStyle name="Output 3 2 2 5 2" xfId="2067" xr:uid="{00000000-0005-0000-0000-0000BA0D0000}"/>
    <cellStyle name="Output 3 2 2 5 2 2" xfId="3934" xr:uid="{00000000-0005-0000-0000-0000BB0D0000}"/>
    <cellStyle name="Output 3 2 2 5 3" xfId="3267" xr:uid="{00000000-0005-0000-0000-0000BC0D0000}"/>
    <cellStyle name="Output 3 2 2 6" xfId="2068" xr:uid="{00000000-0005-0000-0000-0000BD0D0000}"/>
    <cellStyle name="Output 3 2 2 6 2" xfId="2069" xr:uid="{00000000-0005-0000-0000-0000BE0D0000}"/>
    <cellStyle name="Output 3 2 2 6 2 2" xfId="3843" xr:uid="{00000000-0005-0000-0000-0000BF0D0000}"/>
    <cellStyle name="Output 3 2 2 6 3" xfId="2938" xr:uid="{00000000-0005-0000-0000-0000C00D0000}"/>
    <cellStyle name="Output 3 2 2 7" xfId="2070" xr:uid="{00000000-0005-0000-0000-0000C10D0000}"/>
    <cellStyle name="Output 3 2 2 7 2" xfId="2071" xr:uid="{00000000-0005-0000-0000-0000C20D0000}"/>
    <cellStyle name="Output 3 2 2 7 2 2" xfId="4301" xr:uid="{00000000-0005-0000-0000-0000C30D0000}"/>
    <cellStyle name="Output 3 2 2 7 3" xfId="3634" xr:uid="{00000000-0005-0000-0000-0000C40D0000}"/>
    <cellStyle name="Output 3 2 2 8" xfId="2072" xr:uid="{00000000-0005-0000-0000-0000C50D0000}"/>
    <cellStyle name="Output 3 2 2 8 2" xfId="2887" xr:uid="{00000000-0005-0000-0000-0000C60D0000}"/>
    <cellStyle name="Output 3 2 2 9" xfId="2073" xr:uid="{00000000-0005-0000-0000-0000C70D0000}"/>
    <cellStyle name="Output 3 2 2 9 2" xfId="4570" xr:uid="{00000000-0005-0000-0000-0000C80D0000}"/>
    <cellStyle name="Output 3 2 3" xfId="2074" xr:uid="{00000000-0005-0000-0000-0000C90D0000}"/>
    <cellStyle name="Output 3 2 3 2" xfId="2075" xr:uid="{00000000-0005-0000-0000-0000CA0D0000}"/>
    <cellStyle name="Output 3 2 3 2 2" xfId="2076" xr:uid="{00000000-0005-0000-0000-0000CB0D0000}"/>
    <cellStyle name="Output 3 2 3 2 2 2" xfId="2077" xr:uid="{00000000-0005-0000-0000-0000CC0D0000}"/>
    <cellStyle name="Output 3 2 3 2 2 2 2" xfId="4064" xr:uid="{00000000-0005-0000-0000-0000CD0D0000}"/>
    <cellStyle name="Output 3 2 3 2 2 3" xfId="3397" xr:uid="{00000000-0005-0000-0000-0000CE0D0000}"/>
    <cellStyle name="Output 3 2 3 2 3" xfId="2078" xr:uid="{00000000-0005-0000-0000-0000CF0D0000}"/>
    <cellStyle name="Output 3 2 3 2 3 2" xfId="2079" xr:uid="{00000000-0005-0000-0000-0000D00D0000}"/>
    <cellStyle name="Output 3 2 3 2 3 2 2" xfId="4241" xr:uid="{00000000-0005-0000-0000-0000D10D0000}"/>
    <cellStyle name="Output 3 2 3 2 3 3" xfId="3574" xr:uid="{00000000-0005-0000-0000-0000D20D0000}"/>
    <cellStyle name="Output 3 2 3 2 4" xfId="2080" xr:uid="{00000000-0005-0000-0000-0000D30D0000}"/>
    <cellStyle name="Output 3 2 3 2 4 2" xfId="2081" xr:uid="{00000000-0005-0000-0000-0000D40D0000}"/>
    <cellStyle name="Output 3 2 3 2 4 2 2" xfId="4430" xr:uid="{00000000-0005-0000-0000-0000D50D0000}"/>
    <cellStyle name="Output 3 2 3 2 4 3" xfId="3763" xr:uid="{00000000-0005-0000-0000-0000D60D0000}"/>
    <cellStyle name="Output 3 2 3 2 5" xfId="3179" xr:uid="{00000000-0005-0000-0000-0000D70D0000}"/>
    <cellStyle name="Output 3 2 3 3" xfId="2082" xr:uid="{00000000-0005-0000-0000-0000D80D0000}"/>
    <cellStyle name="Output 3 2 3 3 2" xfId="2083" xr:uid="{00000000-0005-0000-0000-0000D90D0000}"/>
    <cellStyle name="Output 3 2 3 3 2 2" xfId="2084" xr:uid="{00000000-0005-0000-0000-0000DA0D0000}"/>
    <cellStyle name="Output 3 2 3 3 2 2 2" xfId="4284" xr:uid="{00000000-0005-0000-0000-0000DB0D0000}"/>
    <cellStyle name="Output 3 2 3 3 2 3" xfId="3617" xr:uid="{00000000-0005-0000-0000-0000DC0D0000}"/>
    <cellStyle name="Output 3 2 3 3 3" xfId="2085" xr:uid="{00000000-0005-0000-0000-0000DD0D0000}"/>
    <cellStyle name="Output 3 2 3 3 3 2" xfId="2086" xr:uid="{00000000-0005-0000-0000-0000DE0D0000}"/>
    <cellStyle name="Output 3 2 3 3 3 2 2" xfId="4473" xr:uid="{00000000-0005-0000-0000-0000DF0D0000}"/>
    <cellStyle name="Output 3 2 3 3 3 3" xfId="3806" xr:uid="{00000000-0005-0000-0000-0000E00D0000}"/>
    <cellStyle name="Output 3 2 3 3 4" xfId="3222" xr:uid="{00000000-0005-0000-0000-0000E10D0000}"/>
    <cellStyle name="Output 3 2 3 4" xfId="2087" xr:uid="{00000000-0005-0000-0000-0000E20D0000}"/>
    <cellStyle name="Output 3 2 3 4 2" xfId="2088" xr:uid="{00000000-0005-0000-0000-0000E30D0000}"/>
    <cellStyle name="Output 3 2 3 4 2 2" xfId="3961" xr:uid="{00000000-0005-0000-0000-0000E40D0000}"/>
    <cellStyle name="Output 3 2 3 4 3" xfId="3294" xr:uid="{00000000-0005-0000-0000-0000E50D0000}"/>
    <cellStyle name="Output 3 2 3 5" xfId="2089" xr:uid="{00000000-0005-0000-0000-0000E60D0000}"/>
    <cellStyle name="Output 3 2 3 5 2" xfId="2090" xr:uid="{00000000-0005-0000-0000-0000E70D0000}"/>
    <cellStyle name="Output 3 2 3 5 2 2" xfId="4139" xr:uid="{00000000-0005-0000-0000-0000E80D0000}"/>
    <cellStyle name="Output 3 2 3 5 3" xfId="3472" xr:uid="{00000000-0005-0000-0000-0000E90D0000}"/>
    <cellStyle name="Output 3 2 3 6" xfId="2091" xr:uid="{00000000-0005-0000-0000-0000EA0D0000}"/>
    <cellStyle name="Output 3 2 3 6 2" xfId="2092" xr:uid="{00000000-0005-0000-0000-0000EB0D0000}"/>
    <cellStyle name="Output 3 2 3 6 2 2" xfId="4328" xr:uid="{00000000-0005-0000-0000-0000EC0D0000}"/>
    <cellStyle name="Output 3 2 3 6 3" xfId="3661" xr:uid="{00000000-0005-0000-0000-0000ED0D0000}"/>
    <cellStyle name="Output 3 2 3 7" xfId="2093" xr:uid="{00000000-0005-0000-0000-0000EE0D0000}"/>
    <cellStyle name="Output 3 2 3 7 2" xfId="3067" xr:uid="{00000000-0005-0000-0000-0000EF0D0000}"/>
    <cellStyle name="Output 3 2 3 8" xfId="2094" xr:uid="{00000000-0005-0000-0000-0000F00D0000}"/>
    <cellStyle name="Output 3 2 3 8 2" xfId="4609" xr:uid="{00000000-0005-0000-0000-0000F10D0000}"/>
    <cellStyle name="Output 3 2 3 9" xfId="2862" xr:uid="{00000000-0005-0000-0000-0000F20D0000}"/>
    <cellStyle name="Output 3 2 4" xfId="2095" xr:uid="{00000000-0005-0000-0000-0000F30D0000}"/>
    <cellStyle name="Output 3 2 4 2" xfId="2096" xr:uid="{00000000-0005-0000-0000-0000F40D0000}"/>
    <cellStyle name="Output 3 2 4 2 2" xfId="2097" xr:uid="{00000000-0005-0000-0000-0000F50D0000}"/>
    <cellStyle name="Output 3 2 4 2 2 2" xfId="2098" xr:uid="{00000000-0005-0000-0000-0000F60D0000}"/>
    <cellStyle name="Output 3 2 4 2 2 2 2" xfId="4048" xr:uid="{00000000-0005-0000-0000-0000F70D0000}"/>
    <cellStyle name="Output 3 2 4 2 2 3" xfId="3381" xr:uid="{00000000-0005-0000-0000-0000F80D0000}"/>
    <cellStyle name="Output 3 2 4 2 3" xfId="2099" xr:uid="{00000000-0005-0000-0000-0000F90D0000}"/>
    <cellStyle name="Output 3 2 4 2 3 2" xfId="2100" xr:uid="{00000000-0005-0000-0000-0000FA0D0000}"/>
    <cellStyle name="Output 3 2 4 2 3 2 2" xfId="4225" xr:uid="{00000000-0005-0000-0000-0000FB0D0000}"/>
    <cellStyle name="Output 3 2 4 2 3 3" xfId="3558" xr:uid="{00000000-0005-0000-0000-0000FC0D0000}"/>
    <cellStyle name="Output 3 2 4 2 4" xfId="2101" xr:uid="{00000000-0005-0000-0000-0000FD0D0000}"/>
    <cellStyle name="Output 3 2 4 2 4 2" xfId="2102" xr:uid="{00000000-0005-0000-0000-0000FE0D0000}"/>
    <cellStyle name="Output 3 2 4 2 4 2 2" xfId="4414" xr:uid="{00000000-0005-0000-0000-0000FF0D0000}"/>
    <cellStyle name="Output 3 2 4 2 4 3" xfId="3747" xr:uid="{00000000-0005-0000-0000-0000000E0000}"/>
    <cellStyle name="Output 3 2 4 2 5" xfId="3156" xr:uid="{00000000-0005-0000-0000-0000010E0000}"/>
    <cellStyle name="Output 3 2 4 3" xfId="2103" xr:uid="{00000000-0005-0000-0000-0000020E0000}"/>
    <cellStyle name="Output 3 2 4 3 2" xfId="2104" xr:uid="{00000000-0005-0000-0000-0000030E0000}"/>
    <cellStyle name="Output 3 2 4 3 2 2" xfId="2105" xr:uid="{00000000-0005-0000-0000-0000040E0000}"/>
    <cellStyle name="Output 3 2 4 3 2 2 2" xfId="4279" xr:uid="{00000000-0005-0000-0000-0000050E0000}"/>
    <cellStyle name="Output 3 2 4 3 2 3" xfId="3612" xr:uid="{00000000-0005-0000-0000-0000060E0000}"/>
    <cellStyle name="Output 3 2 4 3 3" xfId="2106" xr:uid="{00000000-0005-0000-0000-0000070E0000}"/>
    <cellStyle name="Output 3 2 4 3 3 2" xfId="2107" xr:uid="{00000000-0005-0000-0000-0000080E0000}"/>
    <cellStyle name="Output 3 2 4 3 3 2 2" xfId="4468" xr:uid="{00000000-0005-0000-0000-0000090E0000}"/>
    <cellStyle name="Output 3 2 4 3 3 3" xfId="3801" xr:uid="{00000000-0005-0000-0000-00000A0E0000}"/>
    <cellStyle name="Output 3 2 4 3 4" xfId="3217" xr:uid="{00000000-0005-0000-0000-00000B0E0000}"/>
    <cellStyle name="Output 3 2 4 4" xfId="2108" xr:uid="{00000000-0005-0000-0000-00000C0E0000}"/>
    <cellStyle name="Output 3 2 4 4 2" xfId="2109" xr:uid="{00000000-0005-0000-0000-00000D0E0000}"/>
    <cellStyle name="Output 3 2 4 4 2 2" xfId="3946" xr:uid="{00000000-0005-0000-0000-00000E0E0000}"/>
    <cellStyle name="Output 3 2 4 4 3" xfId="3279" xr:uid="{00000000-0005-0000-0000-00000F0E0000}"/>
    <cellStyle name="Output 3 2 4 5" xfId="2110" xr:uid="{00000000-0005-0000-0000-0000100E0000}"/>
    <cellStyle name="Output 3 2 4 5 2" xfId="2111" xr:uid="{00000000-0005-0000-0000-0000110E0000}"/>
    <cellStyle name="Output 3 2 4 5 2 2" xfId="4124" xr:uid="{00000000-0005-0000-0000-0000120E0000}"/>
    <cellStyle name="Output 3 2 4 5 3" xfId="3457" xr:uid="{00000000-0005-0000-0000-0000130E0000}"/>
    <cellStyle name="Output 3 2 4 6" xfId="2112" xr:uid="{00000000-0005-0000-0000-0000140E0000}"/>
    <cellStyle name="Output 3 2 4 6 2" xfId="2113" xr:uid="{00000000-0005-0000-0000-0000150E0000}"/>
    <cellStyle name="Output 3 2 4 6 2 2" xfId="4313" xr:uid="{00000000-0005-0000-0000-0000160E0000}"/>
    <cellStyle name="Output 3 2 4 6 3" xfId="3646" xr:uid="{00000000-0005-0000-0000-0000170E0000}"/>
    <cellStyle name="Output 3 2 4 7" xfId="2114" xr:uid="{00000000-0005-0000-0000-0000180E0000}"/>
    <cellStyle name="Output 3 2 4 7 2" xfId="3058" xr:uid="{00000000-0005-0000-0000-0000190E0000}"/>
    <cellStyle name="Output 3 2 4 8" xfId="2115" xr:uid="{00000000-0005-0000-0000-00001A0E0000}"/>
    <cellStyle name="Output 3 2 4 8 2" xfId="4586" xr:uid="{00000000-0005-0000-0000-00001B0E0000}"/>
    <cellStyle name="Output 3 2 4 9" xfId="2768" xr:uid="{00000000-0005-0000-0000-00001C0E0000}"/>
    <cellStyle name="Output 3 2 5" xfId="2116" xr:uid="{00000000-0005-0000-0000-00001D0E0000}"/>
    <cellStyle name="Output 3 2 5 2" xfId="2978" xr:uid="{00000000-0005-0000-0000-00001E0E0000}"/>
    <cellStyle name="Output 3 2 6" xfId="2117" xr:uid="{00000000-0005-0000-0000-00001F0E0000}"/>
    <cellStyle name="Output 3 2 6 2" xfId="2886" xr:uid="{00000000-0005-0000-0000-0000200E0000}"/>
    <cellStyle name="Output 3 2 7" xfId="2118" xr:uid="{00000000-0005-0000-0000-0000210E0000}"/>
    <cellStyle name="Output 3 2 7 2" xfId="4521" xr:uid="{00000000-0005-0000-0000-0000220E0000}"/>
    <cellStyle name="Output 3 2 8" xfId="2119" xr:uid="{00000000-0005-0000-0000-0000230E0000}"/>
    <cellStyle name="Output 3 3" xfId="2120" xr:uid="{00000000-0005-0000-0000-0000240E0000}"/>
    <cellStyle name="Output 3 3 10" xfId="2121" xr:uid="{00000000-0005-0000-0000-0000250E0000}"/>
    <cellStyle name="Output 3 3 10 2" xfId="2705" xr:uid="{00000000-0005-0000-0000-0000260E0000}"/>
    <cellStyle name="Output 3 3 11" xfId="2652" xr:uid="{00000000-0005-0000-0000-0000270E0000}"/>
    <cellStyle name="Output 3 3 2" xfId="2122" xr:uid="{00000000-0005-0000-0000-0000280E0000}"/>
    <cellStyle name="Output 3 3 2 2" xfId="2123" xr:uid="{00000000-0005-0000-0000-0000290E0000}"/>
    <cellStyle name="Output 3 3 2 2 2" xfId="2124" xr:uid="{00000000-0005-0000-0000-00002A0E0000}"/>
    <cellStyle name="Output 3 3 2 2 2 2" xfId="2125" xr:uid="{00000000-0005-0000-0000-00002B0E0000}"/>
    <cellStyle name="Output 3 3 2 2 2 2 2" xfId="4074" xr:uid="{00000000-0005-0000-0000-00002C0E0000}"/>
    <cellStyle name="Output 3 3 2 2 2 3" xfId="3407" xr:uid="{00000000-0005-0000-0000-00002D0E0000}"/>
    <cellStyle name="Output 3 3 2 2 3" xfId="2126" xr:uid="{00000000-0005-0000-0000-00002E0E0000}"/>
    <cellStyle name="Output 3 3 2 2 3 2" xfId="2127" xr:uid="{00000000-0005-0000-0000-00002F0E0000}"/>
    <cellStyle name="Output 3 3 2 2 3 2 2" xfId="4251" xr:uid="{00000000-0005-0000-0000-0000300E0000}"/>
    <cellStyle name="Output 3 3 2 2 3 3" xfId="3584" xr:uid="{00000000-0005-0000-0000-0000310E0000}"/>
    <cellStyle name="Output 3 3 2 2 4" xfId="2128" xr:uid="{00000000-0005-0000-0000-0000320E0000}"/>
    <cellStyle name="Output 3 3 2 2 4 2" xfId="2129" xr:uid="{00000000-0005-0000-0000-0000330E0000}"/>
    <cellStyle name="Output 3 3 2 2 4 2 2" xfId="4440" xr:uid="{00000000-0005-0000-0000-0000340E0000}"/>
    <cellStyle name="Output 3 3 2 2 4 3" xfId="3773" xr:uid="{00000000-0005-0000-0000-0000350E0000}"/>
    <cellStyle name="Output 3 3 2 2 5" xfId="3189" xr:uid="{00000000-0005-0000-0000-0000360E0000}"/>
    <cellStyle name="Output 3 3 2 3" xfId="2130" xr:uid="{00000000-0005-0000-0000-0000370E0000}"/>
    <cellStyle name="Output 3 3 2 3 2" xfId="4619" xr:uid="{00000000-0005-0000-0000-0000380E0000}"/>
    <cellStyle name="Output 3 3 2 4" xfId="3075" xr:uid="{00000000-0005-0000-0000-0000390E0000}"/>
    <cellStyle name="Output 3 3 3" xfId="2131" xr:uid="{00000000-0005-0000-0000-00003A0E0000}"/>
    <cellStyle name="Output 3 3 3 2" xfId="2132" xr:uid="{00000000-0005-0000-0000-00003B0E0000}"/>
    <cellStyle name="Output 3 3 3 2 2" xfId="2133" xr:uid="{00000000-0005-0000-0000-00003C0E0000}"/>
    <cellStyle name="Output 3 3 3 2 2 2" xfId="4010" xr:uid="{00000000-0005-0000-0000-00003D0E0000}"/>
    <cellStyle name="Output 3 3 3 2 3" xfId="3343" xr:uid="{00000000-0005-0000-0000-00003E0E0000}"/>
    <cellStyle name="Output 3 3 3 3" xfId="2134" xr:uid="{00000000-0005-0000-0000-00003F0E0000}"/>
    <cellStyle name="Output 3 3 3 3 2" xfId="2135" xr:uid="{00000000-0005-0000-0000-0000400E0000}"/>
    <cellStyle name="Output 3 3 3 3 2 2" xfId="4188" xr:uid="{00000000-0005-0000-0000-0000410E0000}"/>
    <cellStyle name="Output 3 3 3 3 3" xfId="3521" xr:uid="{00000000-0005-0000-0000-0000420E0000}"/>
    <cellStyle name="Output 3 3 3 4" xfId="2136" xr:uid="{00000000-0005-0000-0000-0000430E0000}"/>
    <cellStyle name="Output 3 3 3 4 2" xfId="2137" xr:uid="{00000000-0005-0000-0000-0000440E0000}"/>
    <cellStyle name="Output 3 3 3 4 2 2" xfId="4377" xr:uid="{00000000-0005-0000-0000-0000450E0000}"/>
    <cellStyle name="Output 3 3 3 4 3" xfId="3710" xr:uid="{00000000-0005-0000-0000-0000460E0000}"/>
    <cellStyle name="Output 3 3 3 5" xfId="3114" xr:uid="{00000000-0005-0000-0000-0000470E0000}"/>
    <cellStyle name="Output 3 3 4" xfId="2138" xr:uid="{00000000-0005-0000-0000-0000480E0000}"/>
    <cellStyle name="Output 3 3 4 2" xfId="3017" xr:uid="{00000000-0005-0000-0000-0000490E0000}"/>
    <cellStyle name="Output 3 3 5" xfId="2139" xr:uid="{00000000-0005-0000-0000-00004A0E0000}"/>
    <cellStyle name="Output 3 3 5 2" xfId="2140" xr:uid="{00000000-0005-0000-0000-00004B0E0000}"/>
    <cellStyle name="Output 3 3 5 2 2" xfId="3906" xr:uid="{00000000-0005-0000-0000-00004C0E0000}"/>
    <cellStyle name="Output 3 3 5 3" xfId="3239" xr:uid="{00000000-0005-0000-0000-00004D0E0000}"/>
    <cellStyle name="Output 3 3 6" xfId="2141" xr:uid="{00000000-0005-0000-0000-00004E0E0000}"/>
    <cellStyle name="Output 3 3 6 2" xfId="2142" xr:uid="{00000000-0005-0000-0000-00004F0E0000}"/>
    <cellStyle name="Output 3 3 6 2 2" xfId="3885" xr:uid="{00000000-0005-0000-0000-0000500E0000}"/>
    <cellStyle name="Output 3 3 6 3" xfId="2997" xr:uid="{00000000-0005-0000-0000-0000510E0000}"/>
    <cellStyle name="Output 3 3 7" xfId="2143" xr:uid="{00000000-0005-0000-0000-0000520E0000}"/>
    <cellStyle name="Output 3 3 7 2" xfId="2144" xr:uid="{00000000-0005-0000-0000-0000530E0000}"/>
    <cellStyle name="Output 3 3 7 2 2" xfId="3832" xr:uid="{00000000-0005-0000-0000-0000540E0000}"/>
    <cellStyle name="Output 3 3 7 3" xfId="2915" xr:uid="{00000000-0005-0000-0000-0000550E0000}"/>
    <cellStyle name="Output 3 3 8" xfId="2145" xr:uid="{00000000-0005-0000-0000-0000560E0000}"/>
    <cellStyle name="Output 3 3 8 2" xfId="2888" xr:uid="{00000000-0005-0000-0000-0000570E0000}"/>
    <cellStyle name="Output 3 3 9" xfId="2146" xr:uid="{00000000-0005-0000-0000-0000580E0000}"/>
    <cellStyle name="Output 3 3 9 2" xfId="4535" xr:uid="{00000000-0005-0000-0000-0000590E0000}"/>
    <cellStyle name="Output 3 4" xfId="2147" xr:uid="{00000000-0005-0000-0000-00005A0E0000}"/>
    <cellStyle name="Output 3 4 2" xfId="2148" xr:uid="{00000000-0005-0000-0000-00005B0E0000}"/>
    <cellStyle name="Output 3 4 2 2" xfId="2149" xr:uid="{00000000-0005-0000-0000-00005C0E0000}"/>
    <cellStyle name="Output 3 4 2 2 2" xfId="2150" xr:uid="{00000000-0005-0000-0000-00005D0E0000}"/>
    <cellStyle name="Output 3 4 2 2 2 2" xfId="4041" xr:uid="{00000000-0005-0000-0000-00005E0E0000}"/>
    <cellStyle name="Output 3 4 2 2 3" xfId="3374" xr:uid="{00000000-0005-0000-0000-00005F0E0000}"/>
    <cellStyle name="Output 3 4 2 3" xfId="2151" xr:uid="{00000000-0005-0000-0000-0000600E0000}"/>
    <cellStyle name="Output 3 4 2 3 2" xfId="2152" xr:uid="{00000000-0005-0000-0000-0000610E0000}"/>
    <cellStyle name="Output 3 4 2 3 2 2" xfId="4218" xr:uid="{00000000-0005-0000-0000-0000620E0000}"/>
    <cellStyle name="Output 3 4 2 3 3" xfId="3551" xr:uid="{00000000-0005-0000-0000-0000630E0000}"/>
    <cellStyle name="Output 3 4 2 4" xfId="2153" xr:uid="{00000000-0005-0000-0000-0000640E0000}"/>
    <cellStyle name="Output 3 4 2 4 2" xfId="2154" xr:uid="{00000000-0005-0000-0000-0000650E0000}"/>
    <cellStyle name="Output 3 4 2 4 2 2" xfId="4407" xr:uid="{00000000-0005-0000-0000-0000660E0000}"/>
    <cellStyle name="Output 3 4 2 4 3" xfId="3740" xr:uid="{00000000-0005-0000-0000-0000670E0000}"/>
    <cellStyle name="Output 3 4 2 5" xfId="3146" xr:uid="{00000000-0005-0000-0000-0000680E0000}"/>
    <cellStyle name="Output 3 4 3" xfId="2155" xr:uid="{00000000-0005-0000-0000-0000690E0000}"/>
    <cellStyle name="Output 3 4 3 2" xfId="2156" xr:uid="{00000000-0005-0000-0000-00006A0E0000}"/>
    <cellStyle name="Output 3 4 3 2 2" xfId="2157" xr:uid="{00000000-0005-0000-0000-00006B0E0000}"/>
    <cellStyle name="Output 3 4 3 2 2 2" xfId="4277" xr:uid="{00000000-0005-0000-0000-00006C0E0000}"/>
    <cellStyle name="Output 3 4 3 2 3" xfId="3610" xr:uid="{00000000-0005-0000-0000-00006D0E0000}"/>
    <cellStyle name="Output 3 4 3 3" xfId="2158" xr:uid="{00000000-0005-0000-0000-00006E0E0000}"/>
    <cellStyle name="Output 3 4 3 3 2" xfId="2159" xr:uid="{00000000-0005-0000-0000-00006F0E0000}"/>
    <cellStyle name="Output 3 4 3 3 2 2" xfId="4466" xr:uid="{00000000-0005-0000-0000-0000700E0000}"/>
    <cellStyle name="Output 3 4 3 3 3" xfId="3799" xr:uid="{00000000-0005-0000-0000-0000710E0000}"/>
    <cellStyle name="Output 3 4 3 4" xfId="3215" xr:uid="{00000000-0005-0000-0000-0000720E0000}"/>
    <cellStyle name="Output 3 4 4" xfId="2160" xr:uid="{00000000-0005-0000-0000-0000730E0000}"/>
    <cellStyle name="Output 3 4 4 2" xfId="2161" xr:uid="{00000000-0005-0000-0000-0000740E0000}"/>
    <cellStyle name="Output 3 4 4 2 2" xfId="3939" xr:uid="{00000000-0005-0000-0000-0000750E0000}"/>
    <cellStyle name="Output 3 4 4 3" xfId="3272" xr:uid="{00000000-0005-0000-0000-0000760E0000}"/>
    <cellStyle name="Output 3 4 5" xfId="2162" xr:uid="{00000000-0005-0000-0000-0000770E0000}"/>
    <cellStyle name="Output 3 4 5 2" xfId="2163" xr:uid="{00000000-0005-0000-0000-0000780E0000}"/>
    <cellStyle name="Output 3 4 5 2 2" xfId="4117" xr:uid="{00000000-0005-0000-0000-0000790E0000}"/>
    <cellStyle name="Output 3 4 5 3" xfId="3450" xr:uid="{00000000-0005-0000-0000-00007A0E0000}"/>
    <cellStyle name="Output 3 4 6" xfId="2164" xr:uid="{00000000-0005-0000-0000-00007B0E0000}"/>
    <cellStyle name="Output 3 4 6 2" xfId="2165" xr:uid="{00000000-0005-0000-0000-00007C0E0000}"/>
    <cellStyle name="Output 3 4 6 2 2" xfId="4306" xr:uid="{00000000-0005-0000-0000-00007D0E0000}"/>
    <cellStyle name="Output 3 4 6 3" xfId="3639" xr:uid="{00000000-0005-0000-0000-00007E0E0000}"/>
    <cellStyle name="Output 3 4 7" xfId="2166" xr:uid="{00000000-0005-0000-0000-00007F0E0000}"/>
    <cellStyle name="Output 3 4 7 2" xfId="3052" xr:uid="{00000000-0005-0000-0000-0000800E0000}"/>
    <cellStyle name="Output 3 4 8" xfId="2167" xr:uid="{00000000-0005-0000-0000-0000810E0000}"/>
    <cellStyle name="Output 3 4 8 2" xfId="4576" xr:uid="{00000000-0005-0000-0000-0000820E0000}"/>
    <cellStyle name="Output 3 4 9" xfId="2861" xr:uid="{00000000-0005-0000-0000-0000830E0000}"/>
    <cellStyle name="Output 3 5" xfId="2168" xr:uid="{00000000-0005-0000-0000-0000840E0000}"/>
    <cellStyle name="Output 3 5 2" xfId="2169" xr:uid="{00000000-0005-0000-0000-0000850E0000}"/>
    <cellStyle name="Output 3 5 2 2" xfId="2170" xr:uid="{00000000-0005-0000-0000-0000860E0000}"/>
    <cellStyle name="Output 3 5 2 2 2" xfId="2171" xr:uid="{00000000-0005-0000-0000-0000870E0000}"/>
    <cellStyle name="Output 3 5 2 2 2 2" xfId="4070" xr:uid="{00000000-0005-0000-0000-0000880E0000}"/>
    <cellStyle name="Output 3 5 2 2 3" xfId="3403" xr:uid="{00000000-0005-0000-0000-0000890E0000}"/>
    <cellStyle name="Output 3 5 2 3" xfId="2172" xr:uid="{00000000-0005-0000-0000-00008A0E0000}"/>
    <cellStyle name="Output 3 5 2 3 2" xfId="2173" xr:uid="{00000000-0005-0000-0000-00008B0E0000}"/>
    <cellStyle name="Output 3 5 2 3 2 2" xfId="4247" xr:uid="{00000000-0005-0000-0000-00008C0E0000}"/>
    <cellStyle name="Output 3 5 2 3 3" xfId="3580" xr:uid="{00000000-0005-0000-0000-00008D0E0000}"/>
    <cellStyle name="Output 3 5 2 4" xfId="2174" xr:uid="{00000000-0005-0000-0000-00008E0E0000}"/>
    <cellStyle name="Output 3 5 2 4 2" xfId="2175" xr:uid="{00000000-0005-0000-0000-00008F0E0000}"/>
    <cellStyle name="Output 3 5 2 4 2 2" xfId="4436" xr:uid="{00000000-0005-0000-0000-0000900E0000}"/>
    <cellStyle name="Output 3 5 2 4 3" xfId="3769" xr:uid="{00000000-0005-0000-0000-0000910E0000}"/>
    <cellStyle name="Output 3 5 2 5" xfId="3185" xr:uid="{00000000-0005-0000-0000-0000920E0000}"/>
    <cellStyle name="Output 3 5 3" xfId="2176" xr:uid="{00000000-0005-0000-0000-0000930E0000}"/>
    <cellStyle name="Output 3 5 3 2" xfId="2177" xr:uid="{00000000-0005-0000-0000-0000940E0000}"/>
    <cellStyle name="Output 3 5 3 2 2" xfId="2178" xr:uid="{00000000-0005-0000-0000-0000950E0000}"/>
    <cellStyle name="Output 3 5 3 2 2 2" xfId="4285" xr:uid="{00000000-0005-0000-0000-0000960E0000}"/>
    <cellStyle name="Output 3 5 3 2 3" xfId="3618" xr:uid="{00000000-0005-0000-0000-0000970E0000}"/>
    <cellStyle name="Output 3 5 3 3" xfId="2179" xr:uid="{00000000-0005-0000-0000-0000980E0000}"/>
    <cellStyle name="Output 3 5 3 3 2" xfId="2180" xr:uid="{00000000-0005-0000-0000-0000990E0000}"/>
    <cellStyle name="Output 3 5 3 3 2 2" xfId="4474" xr:uid="{00000000-0005-0000-0000-00009A0E0000}"/>
    <cellStyle name="Output 3 5 3 3 3" xfId="3807" xr:uid="{00000000-0005-0000-0000-00009B0E0000}"/>
    <cellStyle name="Output 3 5 3 4" xfId="3223" xr:uid="{00000000-0005-0000-0000-00009C0E0000}"/>
    <cellStyle name="Output 3 5 4" xfId="2181" xr:uid="{00000000-0005-0000-0000-00009D0E0000}"/>
    <cellStyle name="Output 3 5 4 2" xfId="2182" xr:uid="{00000000-0005-0000-0000-00009E0E0000}"/>
    <cellStyle name="Output 3 5 4 2 2" xfId="3967" xr:uid="{00000000-0005-0000-0000-00009F0E0000}"/>
    <cellStyle name="Output 3 5 4 3" xfId="3300" xr:uid="{00000000-0005-0000-0000-0000A00E0000}"/>
    <cellStyle name="Output 3 5 5" xfId="2183" xr:uid="{00000000-0005-0000-0000-0000A10E0000}"/>
    <cellStyle name="Output 3 5 5 2" xfId="2184" xr:uid="{00000000-0005-0000-0000-0000A20E0000}"/>
    <cellStyle name="Output 3 5 5 2 2" xfId="4145" xr:uid="{00000000-0005-0000-0000-0000A30E0000}"/>
    <cellStyle name="Output 3 5 5 3" xfId="3478" xr:uid="{00000000-0005-0000-0000-0000A40E0000}"/>
    <cellStyle name="Output 3 5 6" xfId="2185" xr:uid="{00000000-0005-0000-0000-0000A50E0000}"/>
    <cellStyle name="Output 3 5 6 2" xfId="2186" xr:uid="{00000000-0005-0000-0000-0000A60E0000}"/>
    <cellStyle name="Output 3 5 6 2 2" xfId="4334" xr:uid="{00000000-0005-0000-0000-0000A70E0000}"/>
    <cellStyle name="Output 3 5 6 3" xfId="3667" xr:uid="{00000000-0005-0000-0000-0000A80E0000}"/>
    <cellStyle name="Output 3 5 7" xfId="2187" xr:uid="{00000000-0005-0000-0000-0000A90E0000}"/>
    <cellStyle name="Output 3 5 7 2" xfId="3071" xr:uid="{00000000-0005-0000-0000-0000AA0E0000}"/>
    <cellStyle name="Output 3 5 8" xfId="2188" xr:uid="{00000000-0005-0000-0000-0000AB0E0000}"/>
    <cellStyle name="Output 3 5 8 2" xfId="4615" xr:uid="{00000000-0005-0000-0000-0000AC0E0000}"/>
    <cellStyle name="Output 3 5 9" xfId="2742" xr:uid="{00000000-0005-0000-0000-0000AD0E0000}"/>
    <cellStyle name="Output 3 6" xfId="2189" xr:uid="{00000000-0005-0000-0000-0000AE0E0000}"/>
    <cellStyle name="Output 3 6 2" xfId="2926" xr:uid="{00000000-0005-0000-0000-0000AF0E0000}"/>
    <cellStyle name="Output 3 7" xfId="2190" xr:uid="{00000000-0005-0000-0000-0000B00E0000}"/>
    <cellStyle name="Output 3 7 2" xfId="2885" xr:uid="{00000000-0005-0000-0000-0000B10E0000}"/>
    <cellStyle name="Output 3 8" xfId="2191" xr:uid="{00000000-0005-0000-0000-0000B20E0000}"/>
    <cellStyle name="Output 3 8 2" xfId="4495" xr:uid="{00000000-0005-0000-0000-0000B30E0000}"/>
    <cellStyle name="Output 3_בחירה מרשימה" xfId="2192" xr:uid="{00000000-0005-0000-0000-0000B40E0000}"/>
    <cellStyle name="Output 4" xfId="2193" xr:uid="{00000000-0005-0000-0000-0000B50E0000}"/>
    <cellStyle name="Output 4 10" xfId="2194" xr:uid="{00000000-0005-0000-0000-0000B60E0000}"/>
    <cellStyle name="Output 4 10 2" xfId="2701" xr:uid="{00000000-0005-0000-0000-0000B70E0000}"/>
    <cellStyle name="Output 4 11" xfId="2648" xr:uid="{00000000-0005-0000-0000-0000B80E0000}"/>
    <cellStyle name="Output 4 2" xfId="2195" xr:uid="{00000000-0005-0000-0000-0000B90E0000}"/>
    <cellStyle name="Output 4 2 2" xfId="2196" xr:uid="{00000000-0005-0000-0000-0000BA0E0000}"/>
    <cellStyle name="Output 4 2 2 2" xfId="2197" xr:uid="{00000000-0005-0000-0000-0000BB0E0000}"/>
    <cellStyle name="Output 4 2 2 2 2" xfId="2198" xr:uid="{00000000-0005-0000-0000-0000BC0E0000}"/>
    <cellStyle name="Output 4 2 2 2 2 2" xfId="4053" xr:uid="{00000000-0005-0000-0000-0000BD0E0000}"/>
    <cellStyle name="Output 4 2 2 2 3" xfId="3386" xr:uid="{00000000-0005-0000-0000-0000BE0E0000}"/>
    <cellStyle name="Output 4 2 2 3" xfId="2199" xr:uid="{00000000-0005-0000-0000-0000BF0E0000}"/>
    <cellStyle name="Output 4 2 2 3 2" xfId="2200" xr:uid="{00000000-0005-0000-0000-0000C00E0000}"/>
    <cellStyle name="Output 4 2 2 3 2 2" xfId="4230" xr:uid="{00000000-0005-0000-0000-0000C10E0000}"/>
    <cellStyle name="Output 4 2 2 3 3" xfId="3563" xr:uid="{00000000-0005-0000-0000-0000C20E0000}"/>
    <cellStyle name="Output 4 2 2 4" xfId="2201" xr:uid="{00000000-0005-0000-0000-0000C30E0000}"/>
    <cellStyle name="Output 4 2 2 4 2" xfId="2202" xr:uid="{00000000-0005-0000-0000-0000C40E0000}"/>
    <cellStyle name="Output 4 2 2 4 2 2" xfId="4419" xr:uid="{00000000-0005-0000-0000-0000C50E0000}"/>
    <cellStyle name="Output 4 2 2 4 3" xfId="3752" xr:uid="{00000000-0005-0000-0000-0000C60E0000}"/>
    <cellStyle name="Output 4 2 2 5" xfId="3162" xr:uid="{00000000-0005-0000-0000-0000C70E0000}"/>
    <cellStyle name="Output 4 2 3" xfId="2203" xr:uid="{00000000-0005-0000-0000-0000C80E0000}"/>
    <cellStyle name="Output 4 2 3 2" xfId="4592" xr:uid="{00000000-0005-0000-0000-0000C90E0000}"/>
    <cellStyle name="Output 4 2 4" xfId="3062" xr:uid="{00000000-0005-0000-0000-0000CA0E0000}"/>
    <cellStyle name="Output 4 3" xfId="2204" xr:uid="{00000000-0005-0000-0000-0000CB0E0000}"/>
    <cellStyle name="Output 4 3 2" xfId="2205" xr:uid="{00000000-0005-0000-0000-0000CC0E0000}"/>
    <cellStyle name="Output 4 3 2 2" xfId="2206" xr:uid="{00000000-0005-0000-0000-0000CD0E0000}"/>
    <cellStyle name="Output 4 3 2 2 2" xfId="4006" xr:uid="{00000000-0005-0000-0000-0000CE0E0000}"/>
    <cellStyle name="Output 4 3 2 3" xfId="3339" xr:uid="{00000000-0005-0000-0000-0000CF0E0000}"/>
    <cellStyle name="Output 4 3 3" xfId="2207" xr:uid="{00000000-0005-0000-0000-0000D00E0000}"/>
    <cellStyle name="Output 4 3 3 2" xfId="2208" xr:uid="{00000000-0005-0000-0000-0000D10E0000}"/>
    <cellStyle name="Output 4 3 3 2 2" xfId="4184" xr:uid="{00000000-0005-0000-0000-0000D20E0000}"/>
    <cellStyle name="Output 4 3 3 3" xfId="3517" xr:uid="{00000000-0005-0000-0000-0000D30E0000}"/>
    <cellStyle name="Output 4 3 4" xfId="2209" xr:uid="{00000000-0005-0000-0000-0000D40E0000}"/>
    <cellStyle name="Output 4 3 4 2" xfId="2210" xr:uid="{00000000-0005-0000-0000-0000D50E0000}"/>
    <cellStyle name="Output 4 3 4 2 2" xfId="4373" xr:uid="{00000000-0005-0000-0000-0000D60E0000}"/>
    <cellStyle name="Output 4 3 4 3" xfId="3706" xr:uid="{00000000-0005-0000-0000-0000D70E0000}"/>
    <cellStyle name="Output 4 3 5" xfId="3110" xr:uid="{00000000-0005-0000-0000-0000D80E0000}"/>
    <cellStyle name="Output 4 4" xfId="2211" xr:uid="{00000000-0005-0000-0000-0000D90E0000}"/>
    <cellStyle name="Output 4 4 2" xfId="3008" xr:uid="{00000000-0005-0000-0000-0000DA0E0000}"/>
    <cellStyle name="Output 4 5" xfId="2212" xr:uid="{00000000-0005-0000-0000-0000DB0E0000}"/>
    <cellStyle name="Output 4 5 2" xfId="2213" xr:uid="{00000000-0005-0000-0000-0000DC0E0000}"/>
    <cellStyle name="Output 4 5 2 2" xfId="3820" xr:uid="{00000000-0005-0000-0000-0000DD0E0000}"/>
    <cellStyle name="Output 4 5 3" xfId="2899" xr:uid="{00000000-0005-0000-0000-0000DE0E0000}"/>
    <cellStyle name="Output 4 6" xfId="2214" xr:uid="{00000000-0005-0000-0000-0000DF0E0000}"/>
    <cellStyle name="Output 4 6 2" xfId="2215" xr:uid="{00000000-0005-0000-0000-0000E00E0000}"/>
    <cellStyle name="Output 4 6 2 2" xfId="3844" xr:uid="{00000000-0005-0000-0000-0000E10E0000}"/>
    <cellStyle name="Output 4 6 3" xfId="2939" xr:uid="{00000000-0005-0000-0000-0000E20E0000}"/>
    <cellStyle name="Output 4 7" xfId="2216" xr:uid="{00000000-0005-0000-0000-0000E30E0000}"/>
    <cellStyle name="Output 4 7 2" xfId="2217" xr:uid="{00000000-0005-0000-0000-0000E40E0000}"/>
    <cellStyle name="Output 4 7 2 2" xfId="3926" xr:uid="{00000000-0005-0000-0000-0000E50E0000}"/>
    <cellStyle name="Output 4 7 3" xfId="3259" xr:uid="{00000000-0005-0000-0000-0000E60E0000}"/>
    <cellStyle name="Output 4 8" xfId="2218" xr:uid="{00000000-0005-0000-0000-0000E70E0000}"/>
    <cellStyle name="Output 4 8 2" xfId="2889" xr:uid="{00000000-0005-0000-0000-0000E80E0000}"/>
    <cellStyle name="Output 4 9" xfId="2219" xr:uid="{00000000-0005-0000-0000-0000E90E0000}"/>
    <cellStyle name="Output 4 9 2" xfId="4530" xr:uid="{00000000-0005-0000-0000-0000EA0E0000}"/>
    <cellStyle name="Output 5" xfId="2220" xr:uid="{00000000-0005-0000-0000-0000EB0E0000}"/>
    <cellStyle name="Output 5 2" xfId="2221" xr:uid="{00000000-0005-0000-0000-0000EC0E0000}"/>
    <cellStyle name="Output 5 2 2" xfId="2222" xr:uid="{00000000-0005-0000-0000-0000ED0E0000}"/>
    <cellStyle name="Output 5 2 2 2" xfId="2223" xr:uid="{00000000-0005-0000-0000-0000EE0E0000}"/>
    <cellStyle name="Output 5 2 2 2 2" xfId="4021" xr:uid="{00000000-0005-0000-0000-0000EF0E0000}"/>
    <cellStyle name="Output 5 2 2 3" xfId="3354" xr:uid="{00000000-0005-0000-0000-0000F00E0000}"/>
    <cellStyle name="Output 5 2 3" xfId="2224" xr:uid="{00000000-0005-0000-0000-0000F10E0000}"/>
    <cellStyle name="Output 5 2 3 2" xfId="2225" xr:uid="{00000000-0005-0000-0000-0000F20E0000}"/>
    <cellStyle name="Output 5 2 3 2 2" xfId="4199" xr:uid="{00000000-0005-0000-0000-0000F30E0000}"/>
    <cellStyle name="Output 5 2 3 3" xfId="3532" xr:uid="{00000000-0005-0000-0000-0000F40E0000}"/>
    <cellStyle name="Output 5 2 4" xfId="2226" xr:uid="{00000000-0005-0000-0000-0000F50E0000}"/>
    <cellStyle name="Output 5 2 4 2" xfId="2227" xr:uid="{00000000-0005-0000-0000-0000F60E0000}"/>
    <cellStyle name="Output 5 2 4 2 2" xfId="4388" xr:uid="{00000000-0005-0000-0000-0000F70E0000}"/>
    <cellStyle name="Output 5 2 4 3" xfId="3721" xr:uid="{00000000-0005-0000-0000-0000F80E0000}"/>
    <cellStyle name="Output 5 2 5" xfId="3125" xr:uid="{00000000-0005-0000-0000-0000F90E0000}"/>
    <cellStyle name="Output 5 3" xfId="2228" xr:uid="{00000000-0005-0000-0000-0000FA0E0000}"/>
    <cellStyle name="Output 5 3 2" xfId="2229" xr:uid="{00000000-0005-0000-0000-0000FB0E0000}"/>
    <cellStyle name="Output 5 3 2 2" xfId="2230" xr:uid="{00000000-0005-0000-0000-0000FC0E0000}"/>
    <cellStyle name="Output 5 3 2 2 2" xfId="4274" xr:uid="{00000000-0005-0000-0000-0000FD0E0000}"/>
    <cellStyle name="Output 5 3 2 3" xfId="3607" xr:uid="{00000000-0005-0000-0000-0000FE0E0000}"/>
    <cellStyle name="Output 5 3 3" xfId="2231" xr:uid="{00000000-0005-0000-0000-0000FF0E0000}"/>
    <cellStyle name="Output 5 3 3 2" xfId="2232" xr:uid="{00000000-0005-0000-0000-0000000F0000}"/>
    <cellStyle name="Output 5 3 3 2 2" xfId="4463" xr:uid="{00000000-0005-0000-0000-0000010F0000}"/>
    <cellStyle name="Output 5 3 3 3" xfId="3796" xr:uid="{00000000-0005-0000-0000-0000020F0000}"/>
    <cellStyle name="Output 5 3 4" xfId="3212" xr:uid="{00000000-0005-0000-0000-0000030F0000}"/>
    <cellStyle name="Output 5 4" xfId="2233" xr:uid="{00000000-0005-0000-0000-0000040F0000}"/>
    <cellStyle name="Output 5 4 2" xfId="2234" xr:uid="{00000000-0005-0000-0000-0000050F0000}"/>
    <cellStyle name="Output 5 4 2 2" xfId="3919" xr:uid="{00000000-0005-0000-0000-0000060F0000}"/>
    <cellStyle name="Output 5 4 3" xfId="3252" xr:uid="{00000000-0005-0000-0000-0000070F0000}"/>
    <cellStyle name="Output 5 5" xfId="2235" xr:uid="{00000000-0005-0000-0000-0000080F0000}"/>
    <cellStyle name="Output 5 5 2" xfId="2236" xr:uid="{00000000-0005-0000-0000-0000090F0000}"/>
    <cellStyle name="Output 5 5 2 2" xfId="3835" xr:uid="{00000000-0005-0000-0000-00000A0F0000}"/>
    <cellStyle name="Output 5 5 3" xfId="2918" xr:uid="{00000000-0005-0000-0000-00000B0F0000}"/>
    <cellStyle name="Output 5 6" xfId="2237" xr:uid="{00000000-0005-0000-0000-00000C0F0000}"/>
    <cellStyle name="Output 5 6 2" xfId="2238" xr:uid="{00000000-0005-0000-0000-00000D0F0000}"/>
    <cellStyle name="Output 5 6 2 2" xfId="3839" xr:uid="{00000000-0005-0000-0000-00000E0F0000}"/>
    <cellStyle name="Output 5 6 3" xfId="2922" xr:uid="{00000000-0005-0000-0000-00000F0F0000}"/>
    <cellStyle name="Output 5 7" xfId="2239" xr:uid="{00000000-0005-0000-0000-0000100F0000}"/>
    <cellStyle name="Output 5 7 2" xfId="3030" xr:uid="{00000000-0005-0000-0000-0000110F0000}"/>
    <cellStyle name="Output 5 8" xfId="2240" xr:uid="{00000000-0005-0000-0000-0000120F0000}"/>
    <cellStyle name="Output 5 8 2" xfId="4549" xr:uid="{00000000-0005-0000-0000-0000130F0000}"/>
    <cellStyle name="Output 5 9" xfId="2737" xr:uid="{00000000-0005-0000-0000-0000140F0000}"/>
    <cellStyle name="Output 6" xfId="2241" xr:uid="{00000000-0005-0000-0000-0000150F0000}"/>
    <cellStyle name="Output 6 2" xfId="2242" xr:uid="{00000000-0005-0000-0000-0000160F0000}"/>
    <cellStyle name="Output 6 2 2" xfId="2243" xr:uid="{00000000-0005-0000-0000-0000170F0000}"/>
    <cellStyle name="Output 6 2 2 2" xfId="2244" xr:uid="{00000000-0005-0000-0000-0000180F0000}"/>
    <cellStyle name="Output 6 2 2 2 2" xfId="4084" xr:uid="{00000000-0005-0000-0000-0000190F0000}"/>
    <cellStyle name="Output 6 2 2 3" xfId="3417" xr:uid="{00000000-0005-0000-0000-00001A0F0000}"/>
    <cellStyle name="Output 6 2 3" xfId="2245" xr:uid="{00000000-0005-0000-0000-00001B0F0000}"/>
    <cellStyle name="Output 6 2 3 2" xfId="2246" xr:uid="{00000000-0005-0000-0000-00001C0F0000}"/>
    <cellStyle name="Output 6 2 3 2 2" xfId="4261" xr:uid="{00000000-0005-0000-0000-00001D0F0000}"/>
    <cellStyle name="Output 6 2 3 3" xfId="3594" xr:uid="{00000000-0005-0000-0000-00001E0F0000}"/>
    <cellStyle name="Output 6 2 4" xfId="2247" xr:uid="{00000000-0005-0000-0000-00001F0F0000}"/>
    <cellStyle name="Output 6 2 4 2" xfId="2248" xr:uid="{00000000-0005-0000-0000-0000200F0000}"/>
    <cellStyle name="Output 6 2 4 2 2" xfId="4450" xr:uid="{00000000-0005-0000-0000-0000210F0000}"/>
    <cellStyle name="Output 6 2 4 3" xfId="3783" xr:uid="{00000000-0005-0000-0000-0000220F0000}"/>
    <cellStyle name="Output 6 2 5" xfId="3199" xr:uid="{00000000-0005-0000-0000-0000230F0000}"/>
    <cellStyle name="Output 6 3" xfId="2249" xr:uid="{00000000-0005-0000-0000-0000240F0000}"/>
    <cellStyle name="Output 6 3 2" xfId="2250" xr:uid="{00000000-0005-0000-0000-0000250F0000}"/>
    <cellStyle name="Output 6 3 2 2" xfId="2251" xr:uid="{00000000-0005-0000-0000-0000260F0000}"/>
    <cellStyle name="Output 6 3 2 2 2" xfId="4290" xr:uid="{00000000-0005-0000-0000-0000270F0000}"/>
    <cellStyle name="Output 6 3 2 3" xfId="3623" xr:uid="{00000000-0005-0000-0000-0000280F0000}"/>
    <cellStyle name="Output 6 3 3" xfId="2252" xr:uid="{00000000-0005-0000-0000-0000290F0000}"/>
    <cellStyle name="Output 6 3 3 2" xfId="2253" xr:uid="{00000000-0005-0000-0000-00002A0F0000}"/>
    <cellStyle name="Output 6 3 3 2 2" xfId="4479" xr:uid="{00000000-0005-0000-0000-00002B0F0000}"/>
    <cellStyle name="Output 6 3 3 3" xfId="3812" xr:uid="{00000000-0005-0000-0000-00002C0F0000}"/>
    <cellStyle name="Output 6 3 4" xfId="3228" xr:uid="{00000000-0005-0000-0000-00002D0F0000}"/>
    <cellStyle name="Output 6 4" xfId="2254" xr:uid="{00000000-0005-0000-0000-00002E0F0000}"/>
    <cellStyle name="Output 6 4 2" xfId="2255" xr:uid="{00000000-0005-0000-0000-00002F0F0000}"/>
    <cellStyle name="Output 6 4 2 2" xfId="3979" xr:uid="{00000000-0005-0000-0000-0000300F0000}"/>
    <cellStyle name="Output 6 4 3" xfId="3312" xr:uid="{00000000-0005-0000-0000-0000310F0000}"/>
    <cellStyle name="Output 6 5" xfId="2256" xr:uid="{00000000-0005-0000-0000-0000320F0000}"/>
    <cellStyle name="Output 6 5 2" xfId="2257" xr:uid="{00000000-0005-0000-0000-0000330F0000}"/>
    <cellStyle name="Output 6 5 2 2" xfId="4157" xr:uid="{00000000-0005-0000-0000-0000340F0000}"/>
    <cellStyle name="Output 6 5 3" xfId="3490" xr:uid="{00000000-0005-0000-0000-0000350F0000}"/>
    <cellStyle name="Output 6 6" xfId="2258" xr:uid="{00000000-0005-0000-0000-0000360F0000}"/>
    <cellStyle name="Output 6 6 2" xfId="2259" xr:uid="{00000000-0005-0000-0000-0000370F0000}"/>
    <cellStyle name="Output 6 6 2 2" xfId="4346" xr:uid="{00000000-0005-0000-0000-0000380F0000}"/>
    <cellStyle name="Output 6 6 3" xfId="3679" xr:uid="{00000000-0005-0000-0000-0000390F0000}"/>
    <cellStyle name="Output 6 7" xfId="2260" xr:uid="{00000000-0005-0000-0000-00003A0F0000}"/>
    <cellStyle name="Output 6 7 2" xfId="4629" xr:uid="{00000000-0005-0000-0000-00003B0F0000}"/>
    <cellStyle name="Output 6 8" xfId="3084" xr:uid="{00000000-0005-0000-0000-00003C0F0000}"/>
    <cellStyle name="Output 7" xfId="2261" xr:uid="{00000000-0005-0000-0000-00003D0F0000}"/>
    <cellStyle name="Output 7 2" xfId="2911" xr:uid="{00000000-0005-0000-0000-00003E0F0000}"/>
    <cellStyle name="Output 8" xfId="2262" xr:uid="{00000000-0005-0000-0000-00003F0F0000}"/>
    <cellStyle name="Output 8 2" xfId="2796" xr:uid="{00000000-0005-0000-0000-0000400F0000}"/>
    <cellStyle name="Output 9" xfId="2263" xr:uid="{00000000-0005-0000-0000-0000410F0000}"/>
    <cellStyle name="Output 9 2" xfId="4491" xr:uid="{00000000-0005-0000-0000-0000420F0000}"/>
    <cellStyle name="Output_בחירה מרשימה" xfId="2264" xr:uid="{00000000-0005-0000-0000-0000430F0000}"/>
    <cellStyle name="Percent" xfId="39" builtinId="5"/>
    <cellStyle name="Percent 2" xfId="40" xr:uid="{00000000-0005-0000-0000-0000450F0000}"/>
    <cellStyle name="Percent 2 2" xfId="49" xr:uid="{00000000-0005-0000-0000-0000460F0000}"/>
    <cellStyle name="Percent 2 2 2" xfId="2265" xr:uid="{00000000-0005-0000-0000-0000470F0000}"/>
    <cellStyle name="Percent 2 2 3" xfId="2266" xr:uid="{00000000-0005-0000-0000-0000480F0000}"/>
    <cellStyle name="Percent 2 3" xfId="54" xr:uid="{00000000-0005-0000-0000-0000490F0000}"/>
    <cellStyle name="Percent 2 3 2" xfId="79" xr:uid="{00000000-0005-0000-0000-00004A0F0000}"/>
    <cellStyle name="Percent 3" xfId="59" xr:uid="{00000000-0005-0000-0000-00004B0F0000}"/>
    <cellStyle name="Percent 3 2" xfId="60" xr:uid="{00000000-0005-0000-0000-00004C0F0000}"/>
    <cellStyle name="Percent 4" xfId="61" xr:uid="{00000000-0005-0000-0000-00004D0F0000}"/>
    <cellStyle name="Percent 4 2" xfId="67" xr:uid="{00000000-0005-0000-0000-00004E0F0000}"/>
    <cellStyle name="Percent 4 2 2" xfId="77" xr:uid="{00000000-0005-0000-0000-00004F0F0000}"/>
    <cellStyle name="Percent 4 3" xfId="70" xr:uid="{00000000-0005-0000-0000-0000500F0000}"/>
    <cellStyle name="Percent 4 3 2" xfId="2267" xr:uid="{00000000-0005-0000-0000-0000510F0000}"/>
    <cellStyle name="Percent 4 4" xfId="209" xr:uid="{00000000-0005-0000-0000-0000520F0000}"/>
    <cellStyle name="Percent 4 5" xfId="2268" xr:uid="{00000000-0005-0000-0000-0000530F0000}"/>
    <cellStyle name="Percent 5" xfId="76" xr:uid="{00000000-0005-0000-0000-0000540F0000}"/>
    <cellStyle name="Percent 5 2" xfId="210" xr:uid="{00000000-0005-0000-0000-0000550F0000}"/>
    <cellStyle name="Percent 5 2 2" xfId="211" xr:uid="{00000000-0005-0000-0000-0000560F0000}"/>
    <cellStyle name="Percent 5 3" xfId="212" xr:uid="{00000000-0005-0000-0000-0000570F0000}"/>
    <cellStyle name="Percent 5 4" xfId="2269" xr:uid="{00000000-0005-0000-0000-0000580F0000}"/>
    <cellStyle name="Percent 6" xfId="213" xr:uid="{00000000-0005-0000-0000-0000590F0000}"/>
    <cellStyle name="Percent 6 2" xfId="214" xr:uid="{00000000-0005-0000-0000-00005A0F0000}"/>
    <cellStyle name="Percent 6 2 2" xfId="215" xr:uid="{00000000-0005-0000-0000-00005B0F0000}"/>
    <cellStyle name="Percent 6 3" xfId="216" xr:uid="{00000000-0005-0000-0000-00005C0F0000}"/>
    <cellStyle name="Percent 7" xfId="217" xr:uid="{00000000-0005-0000-0000-00005D0F0000}"/>
    <cellStyle name="Percent 7 2" xfId="218" xr:uid="{00000000-0005-0000-0000-00005E0F0000}"/>
    <cellStyle name="Percent 7 2 2" xfId="219" xr:uid="{00000000-0005-0000-0000-00005F0F0000}"/>
    <cellStyle name="Percent 7 3" xfId="220" xr:uid="{00000000-0005-0000-0000-0000600F0000}"/>
    <cellStyle name="Percent 8" xfId="221" xr:uid="{00000000-0005-0000-0000-0000610F0000}"/>
    <cellStyle name="Percent 8 2" xfId="222" xr:uid="{00000000-0005-0000-0000-0000620F0000}"/>
    <cellStyle name="Percent 8 2 2" xfId="223" xr:uid="{00000000-0005-0000-0000-0000630F0000}"/>
    <cellStyle name="Percent 8 3" xfId="224" xr:uid="{00000000-0005-0000-0000-0000640F0000}"/>
    <cellStyle name="Percent 9" xfId="225" xr:uid="{00000000-0005-0000-0000-0000650F0000}"/>
    <cellStyle name="Percent 9 2" xfId="226" xr:uid="{00000000-0005-0000-0000-0000660F0000}"/>
    <cellStyle name="Title" xfId="41" xr:uid="{00000000-0005-0000-0000-0000670F0000}"/>
    <cellStyle name="Title 2" xfId="227" xr:uid="{00000000-0005-0000-0000-0000680F0000}"/>
    <cellStyle name="Title 3" xfId="2270" xr:uid="{00000000-0005-0000-0000-0000690F0000}"/>
    <cellStyle name="Total" xfId="42" xr:uid="{00000000-0005-0000-0000-00006A0F0000}"/>
    <cellStyle name="Total 2" xfId="228" xr:uid="{00000000-0005-0000-0000-00006B0F0000}"/>
    <cellStyle name="Total 2 2" xfId="2271" xr:uid="{00000000-0005-0000-0000-00006C0F0000}"/>
    <cellStyle name="Total 2 2 2" xfId="2272" xr:uid="{00000000-0005-0000-0000-00006D0F0000}"/>
    <cellStyle name="Total 2 2 2 10" xfId="2273" xr:uid="{00000000-0005-0000-0000-00006E0F0000}"/>
    <cellStyle name="Total 2 2 2 10 2" xfId="2732" xr:uid="{00000000-0005-0000-0000-00006F0F0000}"/>
    <cellStyle name="Total 2 2 2 11" xfId="2679" xr:uid="{00000000-0005-0000-0000-0000700F0000}"/>
    <cellStyle name="Total 2 2 2 2" xfId="2274" xr:uid="{00000000-0005-0000-0000-0000710F0000}"/>
    <cellStyle name="Total 2 2 2 2 2" xfId="2275" xr:uid="{00000000-0005-0000-0000-0000720F0000}"/>
    <cellStyle name="Total 2 2 2 2 2 2" xfId="2276" xr:uid="{00000000-0005-0000-0000-0000730F0000}"/>
    <cellStyle name="Total 2 2 2 2 2 2 2" xfId="2277" xr:uid="{00000000-0005-0000-0000-0000740F0000}"/>
    <cellStyle name="Total 2 2 2 2 2 2 2 2" xfId="4095" xr:uid="{00000000-0005-0000-0000-0000750F0000}"/>
    <cellStyle name="Total 2 2 2 2 2 2 3" xfId="3428" xr:uid="{00000000-0005-0000-0000-0000760F0000}"/>
    <cellStyle name="Total 2 2 2 2 2 3" xfId="2278" xr:uid="{00000000-0005-0000-0000-0000770F0000}"/>
    <cellStyle name="Total 2 2 2 2 2 3 2" xfId="2279" xr:uid="{00000000-0005-0000-0000-0000780F0000}"/>
    <cellStyle name="Total 2 2 2 2 2 3 2 2" xfId="4272" xr:uid="{00000000-0005-0000-0000-0000790F0000}"/>
    <cellStyle name="Total 2 2 2 2 2 3 3" xfId="3605" xr:uid="{00000000-0005-0000-0000-00007A0F0000}"/>
    <cellStyle name="Total 2 2 2 2 2 4" xfId="2280" xr:uid="{00000000-0005-0000-0000-00007B0F0000}"/>
    <cellStyle name="Total 2 2 2 2 2 4 2" xfId="2281" xr:uid="{00000000-0005-0000-0000-00007C0F0000}"/>
    <cellStyle name="Total 2 2 2 2 2 4 2 2" xfId="4461" xr:uid="{00000000-0005-0000-0000-00007D0F0000}"/>
    <cellStyle name="Total 2 2 2 2 2 4 3" xfId="3794" xr:uid="{00000000-0005-0000-0000-00007E0F0000}"/>
    <cellStyle name="Total 2 2 2 2 2 5" xfId="3210" xr:uid="{00000000-0005-0000-0000-00007F0F0000}"/>
    <cellStyle name="Total 2 2 2 2 3" xfId="2282" xr:uid="{00000000-0005-0000-0000-0000800F0000}"/>
    <cellStyle name="Total 2 2 2 2 3 2" xfId="2283" xr:uid="{00000000-0005-0000-0000-0000810F0000}"/>
    <cellStyle name="Total 2 2 2 2 3 2 2" xfId="3989" xr:uid="{00000000-0005-0000-0000-0000820F0000}"/>
    <cellStyle name="Total 2 2 2 2 3 3" xfId="3322" xr:uid="{00000000-0005-0000-0000-0000830F0000}"/>
    <cellStyle name="Total 2 2 2 2 4" xfId="2284" xr:uid="{00000000-0005-0000-0000-0000840F0000}"/>
    <cellStyle name="Total 2 2 2 2 4 2" xfId="2285" xr:uid="{00000000-0005-0000-0000-0000850F0000}"/>
    <cellStyle name="Total 2 2 2 2 4 2 2" xfId="4166" xr:uid="{00000000-0005-0000-0000-0000860F0000}"/>
    <cellStyle name="Total 2 2 2 2 4 3" xfId="3499" xr:uid="{00000000-0005-0000-0000-0000870F0000}"/>
    <cellStyle name="Total 2 2 2 2 5" xfId="2286" xr:uid="{00000000-0005-0000-0000-0000880F0000}"/>
    <cellStyle name="Total 2 2 2 2 5 2" xfId="2287" xr:uid="{00000000-0005-0000-0000-0000890F0000}"/>
    <cellStyle name="Total 2 2 2 2 5 2 2" xfId="4355" xr:uid="{00000000-0005-0000-0000-00008A0F0000}"/>
    <cellStyle name="Total 2 2 2 2 5 3" xfId="3688" xr:uid="{00000000-0005-0000-0000-00008B0F0000}"/>
    <cellStyle name="Total 2 2 2 2 6" xfId="2288" xr:uid="{00000000-0005-0000-0000-00008C0F0000}"/>
    <cellStyle name="Total 2 2 2 2 6 2" xfId="4640" xr:uid="{00000000-0005-0000-0000-00008D0F0000}"/>
    <cellStyle name="Total 2 2 2 2 7" xfId="2865" xr:uid="{00000000-0005-0000-0000-00008E0F0000}"/>
    <cellStyle name="Total 2 2 2 3" xfId="2289" xr:uid="{00000000-0005-0000-0000-00008F0F0000}"/>
    <cellStyle name="Total 2 2 2 3 2" xfId="2290" xr:uid="{00000000-0005-0000-0000-0000900F0000}"/>
    <cellStyle name="Total 2 2 2 3 2 2" xfId="2291" xr:uid="{00000000-0005-0000-0000-0000910F0000}"/>
    <cellStyle name="Total 2 2 2 3 2 2 2" xfId="4036" xr:uid="{00000000-0005-0000-0000-0000920F0000}"/>
    <cellStyle name="Total 2 2 2 3 2 3" xfId="3369" xr:uid="{00000000-0005-0000-0000-0000930F0000}"/>
    <cellStyle name="Total 2 2 2 3 3" xfId="2292" xr:uid="{00000000-0005-0000-0000-0000940F0000}"/>
    <cellStyle name="Total 2 2 2 3 3 2" xfId="2293" xr:uid="{00000000-0005-0000-0000-0000950F0000}"/>
    <cellStyle name="Total 2 2 2 3 3 2 2" xfId="4214" xr:uid="{00000000-0005-0000-0000-0000960F0000}"/>
    <cellStyle name="Total 2 2 2 3 3 3" xfId="3547" xr:uid="{00000000-0005-0000-0000-0000970F0000}"/>
    <cellStyle name="Total 2 2 2 3 4" xfId="2294" xr:uid="{00000000-0005-0000-0000-0000980F0000}"/>
    <cellStyle name="Total 2 2 2 3 4 2" xfId="2295" xr:uid="{00000000-0005-0000-0000-0000990F0000}"/>
    <cellStyle name="Total 2 2 2 3 4 2 2" xfId="4403" xr:uid="{00000000-0005-0000-0000-00009A0F0000}"/>
    <cellStyle name="Total 2 2 2 3 4 3" xfId="3736" xr:uid="{00000000-0005-0000-0000-00009B0F0000}"/>
    <cellStyle name="Total 2 2 2 3 5" xfId="2296" xr:uid="{00000000-0005-0000-0000-00009C0F0000}"/>
    <cellStyle name="Total 2 2 2 3 5 2" xfId="3141" xr:uid="{00000000-0005-0000-0000-00009D0F0000}"/>
    <cellStyle name="Total 2 2 2 3 6" xfId="2814" xr:uid="{00000000-0005-0000-0000-00009E0F0000}"/>
    <cellStyle name="Total 2 2 2 4" xfId="2297" xr:uid="{00000000-0005-0000-0000-00009F0F0000}"/>
    <cellStyle name="Total 2 2 2 4 2" xfId="3048" xr:uid="{00000000-0005-0000-0000-0000A00F0000}"/>
    <cellStyle name="Total 2 2 2 5" xfId="2298" xr:uid="{00000000-0005-0000-0000-0000A10F0000}"/>
    <cellStyle name="Total 2 2 2 5 2" xfId="2299" xr:uid="{00000000-0005-0000-0000-0000A20F0000}"/>
    <cellStyle name="Total 2 2 2 5 2 2" xfId="3935" xr:uid="{00000000-0005-0000-0000-0000A30F0000}"/>
    <cellStyle name="Total 2 2 2 5 3" xfId="3268" xr:uid="{00000000-0005-0000-0000-0000A40F0000}"/>
    <cellStyle name="Total 2 2 2 6" xfId="2300" xr:uid="{00000000-0005-0000-0000-0000A50F0000}"/>
    <cellStyle name="Total 2 2 2 6 2" xfId="2301" xr:uid="{00000000-0005-0000-0000-0000A60F0000}"/>
    <cellStyle name="Total 2 2 2 6 2 2" xfId="4113" xr:uid="{00000000-0005-0000-0000-0000A70F0000}"/>
    <cellStyle name="Total 2 2 2 6 3" xfId="3446" xr:uid="{00000000-0005-0000-0000-0000A80F0000}"/>
    <cellStyle name="Total 2 2 2 7" xfId="2302" xr:uid="{00000000-0005-0000-0000-0000A90F0000}"/>
    <cellStyle name="Total 2 2 2 7 2" xfId="2303" xr:uid="{00000000-0005-0000-0000-0000AA0F0000}"/>
    <cellStyle name="Total 2 2 2 7 2 2" xfId="4302" xr:uid="{00000000-0005-0000-0000-0000AB0F0000}"/>
    <cellStyle name="Total 2 2 2 7 3" xfId="3635" xr:uid="{00000000-0005-0000-0000-0000AC0F0000}"/>
    <cellStyle name="Total 2 2 2 8" xfId="2304" xr:uid="{00000000-0005-0000-0000-0000AD0F0000}"/>
    <cellStyle name="Total 2 2 2 8 2" xfId="2892" xr:uid="{00000000-0005-0000-0000-0000AE0F0000}"/>
    <cellStyle name="Total 2 2 2 9" xfId="2305" xr:uid="{00000000-0005-0000-0000-0000AF0F0000}"/>
    <cellStyle name="Total 2 2 2 9 2" xfId="4571" xr:uid="{00000000-0005-0000-0000-0000B00F0000}"/>
    <cellStyle name="Total 2 2 3" xfId="2306" xr:uid="{00000000-0005-0000-0000-0000B10F0000}"/>
    <cellStyle name="Total 2 2 3 2" xfId="2307" xr:uid="{00000000-0005-0000-0000-0000B20F0000}"/>
    <cellStyle name="Total 2 2 3 2 2" xfId="2308" xr:uid="{00000000-0005-0000-0000-0000B30F0000}"/>
    <cellStyle name="Total 2 2 3 2 2 2" xfId="2309" xr:uid="{00000000-0005-0000-0000-0000B40F0000}"/>
    <cellStyle name="Total 2 2 3 2 2 2 2" xfId="4065" xr:uid="{00000000-0005-0000-0000-0000B50F0000}"/>
    <cellStyle name="Total 2 2 3 2 2 3" xfId="3398" xr:uid="{00000000-0005-0000-0000-0000B60F0000}"/>
    <cellStyle name="Total 2 2 3 2 3" xfId="2310" xr:uid="{00000000-0005-0000-0000-0000B70F0000}"/>
    <cellStyle name="Total 2 2 3 2 3 2" xfId="2311" xr:uid="{00000000-0005-0000-0000-0000B80F0000}"/>
    <cellStyle name="Total 2 2 3 2 3 2 2" xfId="4242" xr:uid="{00000000-0005-0000-0000-0000B90F0000}"/>
    <cellStyle name="Total 2 2 3 2 3 3" xfId="3575" xr:uid="{00000000-0005-0000-0000-0000BA0F0000}"/>
    <cellStyle name="Total 2 2 3 2 4" xfId="2312" xr:uid="{00000000-0005-0000-0000-0000BB0F0000}"/>
    <cellStyle name="Total 2 2 3 2 4 2" xfId="2313" xr:uid="{00000000-0005-0000-0000-0000BC0F0000}"/>
    <cellStyle name="Total 2 2 3 2 4 2 2" xfId="4431" xr:uid="{00000000-0005-0000-0000-0000BD0F0000}"/>
    <cellStyle name="Total 2 2 3 2 4 3" xfId="3764" xr:uid="{00000000-0005-0000-0000-0000BE0F0000}"/>
    <cellStyle name="Total 2 2 3 2 5" xfId="3180" xr:uid="{00000000-0005-0000-0000-0000BF0F0000}"/>
    <cellStyle name="Total 2 2 3 3" xfId="2314" xr:uid="{00000000-0005-0000-0000-0000C00F0000}"/>
    <cellStyle name="Total 2 2 3 3 2" xfId="2315" xr:uid="{00000000-0005-0000-0000-0000C10F0000}"/>
    <cellStyle name="Total 2 2 3 3 2 2" xfId="3962" xr:uid="{00000000-0005-0000-0000-0000C20F0000}"/>
    <cellStyle name="Total 2 2 3 3 3" xfId="3295" xr:uid="{00000000-0005-0000-0000-0000C30F0000}"/>
    <cellStyle name="Total 2 2 3 4" xfId="2316" xr:uid="{00000000-0005-0000-0000-0000C40F0000}"/>
    <cellStyle name="Total 2 2 3 4 2" xfId="2317" xr:uid="{00000000-0005-0000-0000-0000C50F0000}"/>
    <cellStyle name="Total 2 2 3 4 2 2" xfId="4140" xr:uid="{00000000-0005-0000-0000-0000C60F0000}"/>
    <cellStyle name="Total 2 2 3 4 3" xfId="3473" xr:uid="{00000000-0005-0000-0000-0000C70F0000}"/>
    <cellStyle name="Total 2 2 3 5" xfId="2318" xr:uid="{00000000-0005-0000-0000-0000C80F0000}"/>
    <cellStyle name="Total 2 2 3 5 2" xfId="2319" xr:uid="{00000000-0005-0000-0000-0000C90F0000}"/>
    <cellStyle name="Total 2 2 3 5 2 2" xfId="4329" xr:uid="{00000000-0005-0000-0000-0000CA0F0000}"/>
    <cellStyle name="Total 2 2 3 5 3" xfId="3662" xr:uid="{00000000-0005-0000-0000-0000CB0F0000}"/>
    <cellStyle name="Total 2 2 3 6" xfId="2320" xr:uid="{00000000-0005-0000-0000-0000CC0F0000}"/>
    <cellStyle name="Total 2 2 3 6 2" xfId="4610" xr:uid="{00000000-0005-0000-0000-0000CD0F0000}"/>
    <cellStyle name="Total 2 2 3 7" xfId="2864" xr:uid="{00000000-0005-0000-0000-0000CE0F0000}"/>
    <cellStyle name="Total 2 2 4" xfId="2321" xr:uid="{00000000-0005-0000-0000-0000CF0F0000}"/>
    <cellStyle name="Total 2 2 4 2" xfId="2322" xr:uid="{00000000-0005-0000-0000-0000D00F0000}"/>
    <cellStyle name="Total 2 2 4 2 2" xfId="2323" xr:uid="{00000000-0005-0000-0000-0000D10F0000}"/>
    <cellStyle name="Total 2 2 4 2 2 2" xfId="2324" xr:uid="{00000000-0005-0000-0000-0000D20F0000}"/>
    <cellStyle name="Total 2 2 4 2 2 2 2" xfId="4038" xr:uid="{00000000-0005-0000-0000-0000D30F0000}"/>
    <cellStyle name="Total 2 2 4 2 2 3" xfId="3371" xr:uid="{00000000-0005-0000-0000-0000D40F0000}"/>
    <cellStyle name="Total 2 2 4 2 3" xfId="2325" xr:uid="{00000000-0005-0000-0000-0000D50F0000}"/>
    <cellStyle name="Total 2 2 4 2 3 2" xfId="2326" xr:uid="{00000000-0005-0000-0000-0000D60F0000}"/>
    <cellStyle name="Total 2 2 4 2 3 2 2" xfId="4216" xr:uid="{00000000-0005-0000-0000-0000D70F0000}"/>
    <cellStyle name="Total 2 2 4 2 3 3" xfId="3549" xr:uid="{00000000-0005-0000-0000-0000D80F0000}"/>
    <cellStyle name="Total 2 2 4 2 4" xfId="2327" xr:uid="{00000000-0005-0000-0000-0000D90F0000}"/>
    <cellStyle name="Total 2 2 4 2 4 2" xfId="2328" xr:uid="{00000000-0005-0000-0000-0000DA0F0000}"/>
    <cellStyle name="Total 2 2 4 2 4 2 2" xfId="4405" xr:uid="{00000000-0005-0000-0000-0000DB0F0000}"/>
    <cellStyle name="Total 2 2 4 2 4 3" xfId="3738" xr:uid="{00000000-0005-0000-0000-0000DC0F0000}"/>
    <cellStyle name="Total 2 2 4 2 5" xfId="3143" xr:uid="{00000000-0005-0000-0000-0000DD0F0000}"/>
    <cellStyle name="Total 2 2 4 3" xfId="2329" xr:uid="{00000000-0005-0000-0000-0000DE0F0000}"/>
    <cellStyle name="Total 2 2 4 3 2" xfId="2330" xr:uid="{00000000-0005-0000-0000-0000DF0F0000}"/>
    <cellStyle name="Total 2 2 4 3 2 2" xfId="3937" xr:uid="{00000000-0005-0000-0000-0000E00F0000}"/>
    <cellStyle name="Total 2 2 4 3 3" xfId="3270" xr:uid="{00000000-0005-0000-0000-0000E10F0000}"/>
    <cellStyle name="Total 2 2 4 4" xfId="2331" xr:uid="{00000000-0005-0000-0000-0000E20F0000}"/>
    <cellStyle name="Total 2 2 4 4 2" xfId="2332" xr:uid="{00000000-0005-0000-0000-0000E30F0000}"/>
    <cellStyle name="Total 2 2 4 4 2 2" xfId="4115" xr:uid="{00000000-0005-0000-0000-0000E40F0000}"/>
    <cellStyle name="Total 2 2 4 4 3" xfId="3448" xr:uid="{00000000-0005-0000-0000-0000E50F0000}"/>
    <cellStyle name="Total 2 2 4 5" xfId="2333" xr:uid="{00000000-0005-0000-0000-0000E60F0000}"/>
    <cellStyle name="Total 2 2 4 5 2" xfId="2334" xr:uid="{00000000-0005-0000-0000-0000E70F0000}"/>
    <cellStyle name="Total 2 2 4 5 2 2" xfId="4304" xr:uid="{00000000-0005-0000-0000-0000E80F0000}"/>
    <cellStyle name="Total 2 2 4 5 3" xfId="3637" xr:uid="{00000000-0005-0000-0000-0000E90F0000}"/>
    <cellStyle name="Total 2 2 4 6" xfId="2335" xr:uid="{00000000-0005-0000-0000-0000EA0F0000}"/>
    <cellStyle name="Total 2 2 4 6 2" xfId="3050" xr:uid="{00000000-0005-0000-0000-0000EB0F0000}"/>
    <cellStyle name="Total 2 2 4 7" xfId="2336" xr:uid="{00000000-0005-0000-0000-0000EC0F0000}"/>
    <cellStyle name="Total 2 2 4 7 2" xfId="4573" xr:uid="{00000000-0005-0000-0000-0000ED0F0000}"/>
    <cellStyle name="Total 2 2 4 8" xfId="2769" xr:uid="{00000000-0005-0000-0000-0000EE0F0000}"/>
    <cellStyle name="Total 2 2 5" xfId="2337" xr:uid="{00000000-0005-0000-0000-0000EF0F0000}"/>
    <cellStyle name="Total 2 2 5 2" xfId="2979" xr:uid="{00000000-0005-0000-0000-0000F00F0000}"/>
    <cellStyle name="Total 2 2 6" xfId="2338" xr:uid="{00000000-0005-0000-0000-0000F10F0000}"/>
    <cellStyle name="Total 2 2 6 2" xfId="2891" xr:uid="{00000000-0005-0000-0000-0000F20F0000}"/>
    <cellStyle name="Total 2 2 7" xfId="2339" xr:uid="{00000000-0005-0000-0000-0000F30F0000}"/>
    <cellStyle name="Total 2 2 7 2" xfId="4522" xr:uid="{00000000-0005-0000-0000-0000F40F0000}"/>
    <cellStyle name="Total 2 2 8" xfId="2340" xr:uid="{00000000-0005-0000-0000-0000F50F0000}"/>
    <cellStyle name="Total 2 3" xfId="2341" xr:uid="{00000000-0005-0000-0000-0000F60F0000}"/>
    <cellStyle name="Total 2 3 10" xfId="2342" xr:uid="{00000000-0005-0000-0000-0000F70F0000}"/>
    <cellStyle name="Total 2 3 10 2" xfId="2712" xr:uid="{00000000-0005-0000-0000-0000F80F0000}"/>
    <cellStyle name="Total 2 3 11" xfId="2659" xr:uid="{00000000-0005-0000-0000-0000F90F0000}"/>
    <cellStyle name="Total 2 3 2" xfId="2343" xr:uid="{00000000-0005-0000-0000-0000FA0F0000}"/>
    <cellStyle name="Total 2 3 2 2" xfId="2344" xr:uid="{00000000-0005-0000-0000-0000FB0F0000}"/>
    <cellStyle name="Total 2 3 2 2 2" xfId="2345" xr:uid="{00000000-0005-0000-0000-0000FC0F0000}"/>
    <cellStyle name="Total 2 3 2 2 2 2" xfId="2346" xr:uid="{00000000-0005-0000-0000-0000FD0F0000}"/>
    <cellStyle name="Total 2 3 2 2 2 2 2" xfId="4051" xr:uid="{00000000-0005-0000-0000-0000FE0F0000}"/>
    <cellStyle name="Total 2 3 2 2 2 3" xfId="3384" xr:uid="{00000000-0005-0000-0000-0000FF0F0000}"/>
    <cellStyle name="Total 2 3 2 2 3" xfId="2347" xr:uid="{00000000-0005-0000-0000-000000100000}"/>
    <cellStyle name="Total 2 3 2 2 3 2" xfId="2348" xr:uid="{00000000-0005-0000-0000-000001100000}"/>
    <cellStyle name="Total 2 3 2 2 3 2 2" xfId="4228" xr:uid="{00000000-0005-0000-0000-000002100000}"/>
    <cellStyle name="Total 2 3 2 2 3 3" xfId="3561" xr:uid="{00000000-0005-0000-0000-000003100000}"/>
    <cellStyle name="Total 2 3 2 2 4" xfId="2349" xr:uid="{00000000-0005-0000-0000-000004100000}"/>
    <cellStyle name="Total 2 3 2 2 4 2" xfId="2350" xr:uid="{00000000-0005-0000-0000-000005100000}"/>
    <cellStyle name="Total 2 3 2 2 4 2 2" xfId="4417" xr:uid="{00000000-0005-0000-0000-000006100000}"/>
    <cellStyle name="Total 2 3 2 2 4 3" xfId="3750" xr:uid="{00000000-0005-0000-0000-000007100000}"/>
    <cellStyle name="Total 2 3 2 2 5" xfId="3160" xr:uid="{00000000-0005-0000-0000-000008100000}"/>
    <cellStyle name="Total 2 3 2 3" xfId="2351" xr:uid="{00000000-0005-0000-0000-000009100000}"/>
    <cellStyle name="Total 2 3 2 3 2" xfId="2352" xr:uid="{00000000-0005-0000-0000-00000A100000}"/>
    <cellStyle name="Total 2 3 2 3 2 2" xfId="3949" xr:uid="{00000000-0005-0000-0000-00000B100000}"/>
    <cellStyle name="Total 2 3 2 3 3" xfId="3282" xr:uid="{00000000-0005-0000-0000-00000C100000}"/>
    <cellStyle name="Total 2 3 2 4" xfId="2353" xr:uid="{00000000-0005-0000-0000-00000D100000}"/>
    <cellStyle name="Total 2 3 2 4 2" xfId="2354" xr:uid="{00000000-0005-0000-0000-00000E100000}"/>
    <cellStyle name="Total 2 3 2 4 2 2" xfId="4127" xr:uid="{00000000-0005-0000-0000-00000F100000}"/>
    <cellStyle name="Total 2 3 2 4 3" xfId="3460" xr:uid="{00000000-0005-0000-0000-000010100000}"/>
    <cellStyle name="Total 2 3 2 5" xfId="2355" xr:uid="{00000000-0005-0000-0000-000011100000}"/>
    <cellStyle name="Total 2 3 2 5 2" xfId="2356" xr:uid="{00000000-0005-0000-0000-000012100000}"/>
    <cellStyle name="Total 2 3 2 5 2 2" xfId="4316" xr:uid="{00000000-0005-0000-0000-000013100000}"/>
    <cellStyle name="Total 2 3 2 5 3" xfId="3649" xr:uid="{00000000-0005-0000-0000-000014100000}"/>
    <cellStyle name="Total 2 3 2 6" xfId="2357" xr:uid="{00000000-0005-0000-0000-000015100000}"/>
    <cellStyle name="Total 2 3 2 6 2" xfId="4590" xr:uid="{00000000-0005-0000-0000-000016100000}"/>
    <cellStyle name="Total 2 3 2 7" xfId="2866" xr:uid="{00000000-0005-0000-0000-000017100000}"/>
    <cellStyle name="Total 2 3 3" xfId="2358" xr:uid="{00000000-0005-0000-0000-000018100000}"/>
    <cellStyle name="Total 2 3 3 2" xfId="2359" xr:uid="{00000000-0005-0000-0000-000019100000}"/>
    <cellStyle name="Total 2 3 3 2 2" xfId="2360" xr:uid="{00000000-0005-0000-0000-00001A100000}"/>
    <cellStyle name="Total 2 3 3 2 2 2" xfId="4016" xr:uid="{00000000-0005-0000-0000-00001B100000}"/>
    <cellStyle name="Total 2 3 3 2 3" xfId="3349" xr:uid="{00000000-0005-0000-0000-00001C100000}"/>
    <cellStyle name="Total 2 3 3 3" xfId="2361" xr:uid="{00000000-0005-0000-0000-00001D100000}"/>
    <cellStyle name="Total 2 3 3 3 2" xfId="2362" xr:uid="{00000000-0005-0000-0000-00001E100000}"/>
    <cellStyle name="Total 2 3 3 3 2 2" xfId="4194" xr:uid="{00000000-0005-0000-0000-00001F100000}"/>
    <cellStyle name="Total 2 3 3 3 3" xfId="3527" xr:uid="{00000000-0005-0000-0000-000020100000}"/>
    <cellStyle name="Total 2 3 3 4" xfId="2363" xr:uid="{00000000-0005-0000-0000-000021100000}"/>
    <cellStyle name="Total 2 3 3 4 2" xfId="2364" xr:uid="{00000000-0005-0000-0000-000022100000}"/>
    <cellStyle name="Total 2 3 3 4 2 2" xfId="4383" xr:uid="{00000000-0005-0000-0000-000023100000}"/>
    <cellStyle name="Total 2 3 3 4 3" xfId="3716" xr:uid="{00000000-0005-0000-0000-000024100000}"/>
    <cellStyle name="Total 2 3 3 5" xfId="2365" xr:uid="{00000000-0005-0000-0000-000025100000}"/>
    <cellStyle name="Total 2 3 3 5 2" xfId="3120" xr:uid="{00000000-0005-0000-0000-000026100000}"/>
    <cellStyle name="Total 2 3 3 6" xfId="2793" xr:uid="{00000000-0005-0000-0000-000027100000}"/>
    <cellStyle name="Total 2 3 4" xfId="2366" xr:uid="{00000000-0005-0000-0000-000028100000}"/>
    <cellStyle name="Total 2 3 4 2" xfId="3023" xr:uid="{00000000-0005-0000-0000-000029100000}"/>
    <cellStyle name="Total 2 3 5" xfId="2367" xr:uid="{00000000-0005-0000-0000-00002A100000}"/>
    <cellStyle name="Total 2 3 5 2" xfId="2368" xr:uid="{00000000-0005-0000-0000-00002B100000}"/>
    <cellStyle name="Total 2 3 5 2 2" xfId="3912" xr:uid="{00000000-0005-0000-0000-00002C100000}"/>
    <cellStyle name="Total 2 3 5 3" xfId="3245" xr:uid="{00000000-0005-0000-0000-00002D100000}"/>
    <cellStyle name="Total 2 3 6" xfId="2369" xr:uid="{00000000-0005-0000-0000-00002E100000}"/>
    <cellStyle name="Total 2 3 6 2" xfId="2370" xr:uid="{00000000-0005-0000-0000-00002F100000}"/>
    <cellStyle name="Total 2 3 6 2 2" xfId="3845" xr:uid="{00000000-0005-0000-0000-000030100000}"/>
    <cellStyle name="Total 2 3 6 3" xfId="2940" xr:uid="{00000000-0005-0000-0000-000031100000}"/>
    <cellStyle name="Total 2 3 7" xfId="2371" xr:uid="{00000000-0005-0000-0000-000032100000}"/>
    <cellStyle name="Total 2 3 7 2" xfId="2372" xr:uid="{00000000-0005-0000-0000-000033100000}"/>
    <cellStyle name="Total 2 3 7 2 2" xfId="3863" xr:uid="{00000000-0005-0000-0000-000034100000}"/>
    <cellStyle name="Total 2 3 7 3" xfId="2961" xr:uid="{00000000-0005-0000-0000-000035100000}"/>
    <cellStyle name="Total 2 3 8" xfId="2373" xr:uid="{00000000-0005-0000-0000-000036100000}"/>
    <cellStyle name="Total 2 3 8 2" xfId="2893" xr:uid="{00000000-0005-0000-0000-000037100000}"/>
    <cellStyle name="Total 2 3 9" xfId="2374" xr:uid="{00000000-0005-0000-0000-000038100000}"/>
    <cellStyle name="Total 2 3 9 2" xfId="4542" xr:uid="{00000000-0005-0000-0000-000039100000}"/>
    <cellStyle name="Total 2 4" xfId="2375" xr:uid="{00000000-0005-0000-0000-00003A100000}"/>
    <cellStyle name="Total 2 4 2" xfId="2376" xr:uid="{00000000-0005-0000-0000-00003B100000}"/>
    <cellStyle name="Total 2 4 2 2" xfId="2377" xr:uid="{00000000-0005-0000-0000-00003C100000}"/>
    <cellStyle name="Total 2 4 2 2 2" xfId="2378" xr:uid="{00000000-0005-0000-0000-00003D100000}"/>
    <cellStyle name="Total 2 4 2 2 2 2" xfId="4047" xr:uid="{00000000-0005-0000-0000-00003E100000}"/>
    <cellStyle name="Total 2 4 2 2 3" xfId="3380" xr:uid="{00000000-0005-0000-0000-00003F100000}"/>
    <cellStyle name="Total 2 4 2 3" xfId="2379" xr:uid="{00000000-0005-0000-0000-000040100000}"/>
    <cellStyle name="Total 2 4 2 3 2" xfId="2380" xr:uid="{00000000-0005-0000-0000-000041100000}"/>
    <cellStyle name="Total 2 4 2 3 2 2" xfId="4224" xr:uid="{00000000-0005-0000-0000-000042100000}"/>
    <cellStyle name="Total 2 4 2 3 3" xfId="3557" xr:uid="{00000000-0005-0000-0000-000043100000}"/>
    <cellStyle name="Total 2 4 2 4" xfId="2381" xr:uid="{00000000-0005-0000-0000-000044100000}"/>
    <cellStyle name="Total 2 4 2 4 2" xfId="2382" xr:uid="{00000000-0005-0000-0000-000045100000}"/>
    <cellStyle name="Total 2 4 2 4 2 2" xfId="4413" xr:uid="{00000000-0005-0000-0000-000046100000}"/>
    <cellStyle name="Total 2 4 2 4 3" xfId="3746" xr:uid="{00000000-0005-0000-0000-000047100000}"/>
    <cellStyle name="Total 2 4 2 5" xfId="3153" xr:uid="{00000000-0005-0000-0000-000048100000}"/>
    <cellStyle name="Total 2 4 3" xfId="2383" xr:uid="{00000000-0005-0000-0000-000049100000}"/>
    <cellStyle name="Total 2 4 3 2" xfId="2384" xr:uid="{00000000-0005-0000-0000-00004A100000}"/>
    <cellStyle name="Total 2 4 3 2 2" xfId="3945" xr:uid="{00000000-0005-0000-0000-00004B100000}"/>
    <cellStyle name="Total 2 4 3 3" xfId="3278" xr:uid="{00000000-0005-0000-0000-00004C100000}"/>
    <cellStyle name="Total 2 4 4" xfId="2385" xr:uid="{00000000-0005-0000-0000-00004D100000}"/>
    <cellStyle name="Total 2 4 4 2" xfId="2386" xr:uid="{00000000-0005-0000-0000-00004E100000}"/>
    <cellStyle name="Total 2 4 4 2 2" xfId="4123" xr:uid="{00000000-0005-0000-0000-00004F100000}"/>
    <cellStyle name="Total 2 4 4 3" xfId="3456" xr:uid="{00000000-0005-0000-0000-000050100000}"/>
    <cellStyle name="Total 2 4 5" xfId="2387" xr:uid="{00000000-0005-0000-0000-000051100000}"/>
    <cellStyle name="Total 2 4 5 2" xfId="2388" xr:uid="{00000000-0005-0000-0000-000052100000}"/>
    <cellStyle name="Total 2 4 5 2 2" xfId="4312" xr:uid="{00000000-0005-0000-0000-000053100000}"/>
    <cellStyle name="Total 2 4 5 3" xfId="3645" xr:uid="{00000000-0005-0000-0000-000054100000}"/>
    <cellStyle name="Total 2 4 6" xfId="2389" xr:uid="{00000000-0005-0000-0000-000055100000}"/>
    <cellStyle name="Total 2 4 6 2" xfId="4583" xr:uid="{00000000-0005-0000-0000-000056100000}"/>
    <cellStyle name="Total 2 4 7" xfId="2863" xr:uid="{00000000-0005-0000-0000-000057100000}"/>
    <cellStyle name="Total 2 5" xfId="2390" xr:uid="{00000000-0005-0000-0000-000058100000}"/>
    <cellStyle name="Total 2 5 2" xfId="2391" xr:uid="{00000000-0005-0000-0000-000059100000}"/>
    <cellStyle name="Total 2 5 2 2" xfId="2392" xr:uid="{00000000-0005-0000-0000-00005A100000}"/>
    <cellStyle name="Total 2 5 2 2 2" xfId="2393" xr:uid="{00000000-0005-0000-0000-00005B100000}"/>
    <cellStyle name="Total 2 5 2 2 2 2" xfId="4069" xr:uid="{00000000-0005-0000-0000-00005C100000}"/>
    <cellStyle name="Total 2 5 2 2 3" xfId="3402" xr:uid="{00000000-0005-0000-0000-00005D100000}"/>
    <cellStyle name="Total 2 5 2 3" xfId="2394" xr:uid="{00000000-0005-0000-0000-00005E100000}"/>
    <cellStyle name="Total 2 5 2 3 2" xfId="2395" xr:uid="{00000000-0005-0000-0000-00005F100000}"/>
    <cellStyle name="Total 2 5 2 3 2 2" xfId="4246" xr:uid="{00000000-0005-0000-0000-000060100000}"/>
    <cellStyle name="Total 2 5 2 3 3" xfId="3579" xr:uid="{00000000-0005-0000-0000-000061100000}"/>
    <cellStyle name="Total 2 5 2 4" xfId="2396" xr:uid="{00000000-0005-0000-0000-000062100000}"/>
    <cellStyle name="Total 2 5 2 4 2" xfId="2397" xr:uid="{00000000-0005-0000-0000-000063100000}"/>
    <cellStyle name="Total 2 5 2 4 2 2" xfId="4435" xr:uid="{00000000-0005-0000-0000-000064100000}"/>
    <cellStyle name="Total 2 5 2 4 3" xfId="3768" xr:uid="{00000000-0005-0000-0000-000065100000}"/>
    <cellStyle name="Total 2 5 2 5" xfId="3184" xr:uid="{00000000-0005-0000-0000-000066100000}"/>
    <cellStyle name="Total 2 5 3" xfId="2398" xr:uid="{00000000-0005-0000-0000-000067100000}"/>
    <cellStyle name="Total 2 5 3 2" xfId="2399" xr:uid="{00000000-0005-0000-0000-000068100000}"/>
    <cellStyle name="Total 2 5 3 2 2" xfId="3966" xr:uid="{00000000-0005-0000-0000-000069100000}"/>
    <cellStyle name="Total 2 5 3 3" xfId="3299" xr:uid="{00000000-0005-0000-0000-00006A100000}"/>
    <cellStyle name="Total 2 5 4" xfId="2400" xr:uid="{00000000-0005-0000-0000-00006B100000}"/>
    <cellStyle name="Total 2 5 4 2" xfId="2401" xr:uid="{00000000-0005-0000-0000-00006C100000}"/>
    <cellStyle name="Total 2 5 4 2 2" xfId="4144" xr:uid="{00000000-0005-0000-0000-00006D100000}"/>
    <cellStyle name="Total 2 5 4 3" xfId="3477" xr:uid="{00000000-0005-0000-0000-00006E100000}"/>
    <cellStyle name="Total 2 5 5" xfId="2402" xr:uid="{00000000-0005-0000-0000-00006F100000}"/>
    <cellStyle name="Total 2 5 5 2" xfId="2403" xr:uid="{00000000-0005-0000-0000-000070100000}"/>
    <cellStyle name="Total 2 5 5 2 2" xfId="4333" xr:uid="{00000000-0005-0000-0000-000071100000}"/>
    <cellStyle name="Total 2 5 5 3" xfId="3666" xr:uid="{00000000-0005-0000-0000-000072100000}"/>
    <cellStyle name="Total 2 5 6" xfId="2404" xr:uid="{00000000-0005-0000-0000-000073100000}"/>
    <cellStyle name="Total 2 5 6 2" xfId="3070" xr:uid="{00000000-0005-0000-0000-000074100000}"/>
    <cellStyle name="Total 2 5 7" xfId="2405" xr:uid="{00000000-0005-0000-0000-000075100000}"/>
    <cellStyle name="Total 2 5 7 2" xfId="4614" xr:uid="{00000000-0005-0000-0000-000076100000}"/>
    <cellStyle name="Total 2 5 8" xfId="2746" xr:uid="{00000000-0005-0000-0000-000077100000}"/>
    <cellStyle name="Total 2 6" xfId="2406" xr:uid="{00000000-0005-0000-0000-000078100000}"/>
    <cellStyle name="Total 2 6 2" xfId="2933" xr:uid="{00000000-0005-0000-0000-000079100000}"/>
    <cellStyle name="Total 2 7" xfId="2407" xr:uid="{00000000-0005-0000-0000-00007A100000}"/>
    <cellStyle name="Total 2 7 2" xfId="2890" xr:uid="{00000000-0005-0000-0000-00007B100000}"/>
    <cellStyle name="Total 2 8" xfId="2408" xr:uid="{00000000-0005-0000-0000-00007C100000}"/>
    <cellStyle name="Total 2 8 2" xfId="4502" xr:uid="{00000000-0005-0000-0000-00007D100000}"/>
    <cellStyle name="Total 2 9" xfId="2409" xr:uid="{00000000-0005-0000-0000-00007E100000}"/>
    <cellStyle name="Total 2_בחירה מרשימה" xfId="2410" xr:uid="{00000000-0005-0000-0000-00007F100000}"/>
    <cellStyle name="Total 3" xfId="229" xr:uid="{00000000-0005-0000-0000-000080100000}"/>
    <cellStyle name="Total 3 2" xfId="2411" xr:uid="{00000000-0005-0000-0000-000081100000}"/>
    <cellStyle name="Total 3 2 2" xfId="2412" xr:uid="{00000000-0005-0000-0000-000082100000}"/>
    <cellStyle name="Total 3 2 2 10" xfId="2413" xr:uid="{00000000-0005-0000-0000-000083100000}"/>
    <cellStyle name="Total 3 2 2 10 2" xfId="2733" xr:uid="{00000000-0005-0000-0000-000084100000}"/>
    <cellStyle name="Total 3 2 2 11" xfId="2680" xr:uid="{00000000-0005-0000-0000-000085100000}"/>
    <cellStyle name="Total 3 2 2 2" xfId="2414" xr:uid="{00000000-0005-0000-0000-000086100000}"/>
    <cellStyle name="Total 3 2 2 2 2" xfId="2415" xr:uid="{00000000-0005-0000-0000-000087100000}"/>
    <cellStyle name="Total 3 2 2 2 2 2" xfId="2416" xr:uid="{00000000-0005-0000-0000-000088100000}"/>
    <cellStyle name="Total 3 2 2 2 2 2 2" xfId="2417" xr:uid="{00000000-0005-0000-0000-000089100000}"/>
    <cellStyle name="Total 3 2 2 2 2 2 2 2" xfId="4096" xr:uid="{00000000-0005-0000-0000-00008A100000}"/>
    <cellStyle name="Total 3 2 2 2 2 2 3" xfId="3429" xr:uid="{00000000-0005-0000-0000-00008B100000}"/>
    <cellStyle name="Total 3 2 2 2 2 3" xfId="2418" xr:uid="{00000000-0005-0000-0000-00008C100000}"/>
    <cellStyle name="Total 3 2 2 2 2 3 2" xfId="2419" xr:uid="{00000000-0005-0000-0000-00008D100000}"/>
    <cellStyle name="Total 3 2 2 2 2 3 2 2" xfId="4273" xr:uid="{00000000-0005-0000-0000-00008E100000}"/>
    <cellStyle name="Total 3 2 2 2 2 3 3" xfId="3606" xr:uid="{00000000-0005-0000-0000-00008F100000}"/>
    <cellStyle name="Total 3 2 2 2 2 4" xfId="2420" xr:uid="{00000000-0005-0000-0000-000090100000}"/>
    <cellStyle name="Total 3 2 2 2 2 4 2" xfId="2421" xr:uid="{00000000-0005-0000-0000-000091100000}"/>
    <cellStyle name="Total 3 2 2 2 2 4 2 2" xfId="4462" xr:uid="{00000000-0005-0000-0000-000092100000}"/>
    <cellStyle name="Total 3 2 2 2 2 4 3" xfId="3795" xr:uid="{00000000-0005-0000-0000-000093100000}"/>
    <cellStyle name="Total 3 2 2 2 2 5" xfId="3211" xr:uid="{00000000-0005-0000-0000-000094100000}"/>
    <cellStyle name="Total 3 2 2 2 3" xfId="2422" xr:uid="{00000000-0005-0000-0000-000095100000}"/>
    <cellStyle name="Total 3 2 2 2 3 2" xfId="2423" xr:uid="{00000000-0005-0000-0000-000096100000}"/>
    <cellStyle name="Total 3 2 2 2 3 2 2" xfId="3990" xr:uid="{00000000-0005-0000-0000-000097100000}"/>
    <cellStyle name="Total 3 2 2 2 3 3" xfId="3323" xr:uid="{00000000-0005-0000-0000-000098100000}"/>
    <cellStyle name="Total 3 2 2 2 4" xfId="2424" xr:uid="{00000000-0005-0000-0000-000099100000}"/>
    <cellStyle name="Total 3 2 2 2 4 2" xfId="2425" xr:uid="{00000000-0005-0000-0000-00009A100000}"/>
    <cellStyle name="Total 3 2 2 2 4 2 2" xfId="4167" xr:uid="{00000000-0005-0000-0000-00009B100000}"/>
    <cellStyle name="Total 3 2 2 2 4 3" xfId="3500" xr:uid="{00000000-0005-0000-0000-00009C100000}"/>
    <cellStyle name="Total 3 2 2 2 5" xfId="2426" xr:uid="{00000000-0005-0000-0000-00009D100000}"/>
    <cellStyle name="Total 3 2 2 2 5 2" xfId="2427" xr:uid="{00000000-0005-0000-0000-00009E100000}"/>
    <cellStyle name="Total 3 2 2 2 5 2 2" xfId="4356" xr:uid="{00000000-0005-0000-0000-00009F100000}"/>
    <cellStyle name="Total 3 2 2 2 5 3" xfId="3689" xr:uid="{00000000-0005-0000-0000-0000A0100000}"/>
    <cellStyle name="Total 3 2 2 2 6" xfId="2428" xr:uid="{00000000-0005-0000-0000-0000A1100000}"/>
    <cellStyle name="Total 3 2 2 2 6 2" xfId="4641" xr:uid="{00000000-0005-0000-0000-0000A2100000}"/>
    <cellStyle name="Total 3 2 2 2 7" xfId="2869" xr:uid="{00000000-0005-0000-0000-0000A3100000}"/>
    <cellStyle name="Total 3 2 2 3" xfId="2429" xr:uid="{00000000-0005-0000-0000-0000A4100000}"/>
    <cellStyle name="Total 3 2 2 3 2" xfId="2430" xr:uid="{00000000-0005-0000-0000-0000A5100000}"/>
    <cellStyle name="Total 3 2 2 3 2 2" xfId="2431" xr:uid="{00000000-0005-0000-0000-0000A6100000}"/>
    <cellStyle name="Total 3 2 2 3 2 2 2" xfId="4037" xr:uid="{00000000-0005-0000-0000-0000A7100000}"/>
    <cellStyle name="Total 3 2 2 3 2 3" xfId="3370" xr:uid="{00000000-0005-0000-0000-0000A8100000}"/>
    <cellStyle name="Total 3 2 2 3 3" xfId="2432" xr:uid="{00000000-0005-0000-0000-0000A9100000}"/>
    <cellStyle name="Total 3 2 2 3 3 2" xfId="2433" xr:uid="{00000000-0005-0000-0000-0000AA100000}"/>
    <cellStyle name="Total 3 2 2 3 3 2 2" xfId="4215" xr:uid="{00000000-0005-0000-0000-0000AB100000}"/>
    <cellStyle name="Total 3 2 2 3 3 3" xfId="3548" xr:uid="{00000000-0005-0000-0000-0000AC100000}"/>
    <cellStyle name="Total 3 2 2 3 4" xfId="2434" xr:uid="{00000000-0005-0000-0000-0000AD100000}"/>
    <cellStyle name="Total 3 2 2 3 4 2" xfId="2435" xr:uid="{00000000-0005-0000-0000-0000AE100000}"/>
    <cellStyle name="Total 3 2 2 3 4 2 2" xfId="4404" xr:uid="{00000000-0005-0000-0000-0000AF100000}"/>
    <cellStyle name="Total 3 2 2 3 4 3" xfId="3737" xr:uid="{00000000-0005-0000-0000-0000B0100000}"/>
    <cellStyle name="Total 3 2 2 3 5" xfId="2436" xr:uid="{00000000-0005-0000-0000-0000B1100000}"/>
    <cellStyle name="Total 3 2 2 3 5 2" xfId="3142" xr:uid="{00000000-0005-0000-0000-0000B2100000}"/>
    <cellStyle name="Total 3 2 2 3 6" xfId="2815" xr:uid="{00000000-0005-0000-0000-0000B3100000}"/>
    <cellStyle name="Total 3 2 2 4" xfId="2437" xr:uid="{00000000-0005-0000-0000-0000B4100000}"/>
    <cellStyle name="Total 3 2 2 4 2" xfId="3049" xr:uid="{00000000-0005-0000-0000-0000B5100000}"/>
    <cellStyle name="Total 3 2 2 5" xfId="2438" xr:uid="{00000000-0005-0000-0000-0000B6100000}"/>
    <cellStyle name="Total 3 2 2 5 2" xfId="2439" xr:uid="{00000000-0005-0000-0000-0000B7100000}"/>
    <cellStyle name="Total 3 2 2 5 2 2" xfId="3936" xr:uid="{00000000-0005-0000-0000-0000B8100000}"/>
    <cellStyle name="Total 3 2 2 5 3" xfId="3269" xr:uid="{00000000-0005-0000-0000-0000B9100000}"/>
    <cellStyle name="Total 3 2 2 6" xfId="2440" xr:uid="{00000000-0005-0000-0000-0000BA100000}"/>
    <cellStyle name="Total 3 2 2 6 2" xfId="2441" xr:uid="{00000000-0005-0000-0000-0000BB100000}"/>
    <cellStyle name="Total 3 2 2 6 2 2" xfId="4114" xr:uid="{00000000-0005-0000-0000-0000BC100000}"/>
    <cellStyle name="Total 3 2 2 6 3" xfId="3447" xr:uid="{00000000-0005-0000-0000-0000BD100000}"/>
    <cellStyle name="Total 3 2 2 7" xfId="2442" xr:uid="{00000000-0005-0000-0000-0000BE100000}"/>
    <cellStyle name="Total 3 2 2 7 2" xfId="2443" xr:uid="{00000000-0005-0000-0000-0000BF100000}"/>
    <cellStyle name="Total 3 2 2 7 2 2" xfId="4303" xr:uid="{00000000-0005-0000-0000-0000C0100000}"/>
    <cellStyle name="Total 3 2 2 7 3" xfId="3636" xr:uid="{00000000-0005-0000-0000-0000C1100000}"/>
    <cellStyle name="Total 3 2 2 8" xfId="2444" xr:uid="{00000000-0005-0000-0000-0000C2100000}"/>
    <cellStyle name="Total 3 2 2 8 2" xfId="2896" xr:uid="{00000000-0005-0000-0000-0000C3100000}"/>
    <cellStyle name="Total 3 2 2 9" xfId="2445" xr:uid="{00000000-0005-0000-0000-0000C4100000}"/>
    <cellStyle name="Total 3 2 2 9 2" xfId="4572" xr:uid="{00000000-0005-0000-0000-0000C5100000}"/>
    <cellStyle name="Total 3 2 3" xfId="2446" xr:uid="{00000000-0005-0000-0000-0000C6100000}"/>
    <cellStyle name="Total 3 2 3 2" xfId="2447" xr:uid="{00000000-0005-0000-0000-0000C7100000}"/>
    <cellStyle name="Total 3 2 3 2 2" xfId="2448" xr:uid="{00000000-0005-0000-0000-0000C8100000}"/>
    <cellStyle name="Total 3 2 3 2 2 2" xfId="2449" xr:uid="{00000000-0005-0000-0000-0000C9100000}"/>
    <cellStyle name="Total 3 2 3 2 2 2 2" xfId="4066" xr:uid="{00000000-0005-0000-0000-0000CA100000}"/>
    <cellStyle name="Total 3 2 3 2 2 3" xfId="3399" xr:uid="{00000000-0005-0000-0000-0000CB100000}"/>
    <cellStyle name="Total 3 2 3 2 3" xfId="2450" xr:uid="{00000000-0005-0000-0000-0000CC100000}"/>
    <cellStyle name="Total 3 2 3 2 3 2" xfId="2451" xr:uid="{00000000-0005-0000-0000-0000CD100000}"/>
    <cellStyle name="Total 3 2 3 2 3 2 2" xfId="4243" xr:uid="{00000000-0005-0000-0000-0000CE100000}"/>
    <cellStyle name="Total 3 2 3 2 3 3" xfId="3576" xr:uid="{00000000-0005-0000-0000-0000CF100000}"/>
    <cellStyle name="Total 3 2 3 2 4" xfId="2452" xr:uid="{00000000-0005-0000-0000-0000D0100000}"/>
    <cellStyle name="Total 3 2 3 2 4 2" xfId="2453" xr:uid="{00000000-0005-0000-0000-0000D1100000}"/>
    <cellStyle name="Total 3 2 3 2 4 2 2" xfId="4432" xr:uid="{00000000-0005-0000-0000-0000D2100000}"/>
    <cellStyle name="Total 3 2 3 2 4 3" xfId="3765" xr:uid="{00000000-0005-0000-0000-0000D3100000}"/>
    <cellStyle name="Total 3 2 3 2 5" xfId="3181" xr:uid="{00000000-0005-0000-0000-0000D4100000}"/>
    <cellStyle name="Total 3 2 3 3" xfId="2454" xr:uid="{00000000-0005-0000-0000-0000D5100000}"/>
    <cellStyle name="Total 3 2 3 3 2" xfId="2455" xr:uid="{00000000-0005-0000-0000-0000D6100000}"/>
    <cellStyle name="Total 3 2 3 3 2 2" xfId="3963" xr:uid="{00000000-0005-0000-0000-0000D7100000}"/>
    <cellStyle name="Total 3 2 3 3 3" xfId="3296" xr:uid="{00000000-0005-0000-0000-0000D8100000}"/>
    <cellStyle name="Total 3 2 3 4" xfId="2456" xr:uid="{00000000-0005-0000-0000-0000D9100000}"/>
    <cellStyle name="Total 3 2 3 4 2" xfId="2457" xr:uid="{00000000-0005-0000-0000-0000DA100000}"/>
    <cellStyle name="Total 3 2 3 4 2 2" xfId="4141" xr:uid="{00000000-0005-0000-0000-0000DB100000}"/>
    <cellStyle name="Total 3 2 3 4 3" xfId="3474" xr:uid="{00000000-0005-0000-0000-0000DC100000}"/>
    <cellStyle name="Total 3 2 3 5" xfId="2458" xr:uid="{00000000-0005-0000-0000-0000DD100000}"/>
    <cellStyle name="Total 3 2 3 5 2" xfId="2459" xr:uid="{00000000-0005-0000-0000-0000DE100000}"/>
    <cellStyle name="Total 3 2 3 5 2 2" xfId="4330" xr:uid="{00000000-0005-0000-0000-0000DF100000}"/>
    <cellStyle name="Total 3 2 3 5 3" xfId="3663" xr:uid="{00000000-0005-0000-0000-0000E0100000}"/>
    <cellStyle name="Total 3 2 3 6" xfId="2460" xr:uid="{00000000-0005-0000-0000-0000E1100000}"/>
    <cellStyle name="Total 3 2 3 6 2" xfId="4611" xr:uid="{00000000-0005-0000-0000-0000E2100000}"/>
    <cellStyle name="Total 3 2 3 7" xfId="2868" xr:uid="{00000000-0005-0000-0000-0000E3100000}"/>
    <cellStyle name="Total 3 2 4" xfId="2461" xr:uid="{00000000-0005-0000-0000-0000E4100000}"/>
    <cellStyle name="Total 3 2 4 2" xfId="2462" xr:uid="{00000000-0005-0000-0000-0000E5100000}"/>
    <cellStyle name="Total 3 2 4 2 2" xfId="2463" xr:uid="{00000000-0005-0000-0000-0000E6100000}"/>
    <cellStyle name="Total 3 2 4 2 2 2" xfId="2464" xr:uid="{00000000-0005-0000-0000-0000E7100000}"/>
    <cellStyle name="Total 3 2 4 2 2 2 2" xfId="4026" xr:uid="{00000000-0005-0000-0000-0000E8100000}"/>
    <cellStyle name="Total 3 2 4 2 2 3" xfId="3359" xr:uid="{00000000-0005-0000-0000-0000E9100000}"/>
    <cellStyle name="Total 3 2 4 2 3" xfId="2465" xr:uid="{00000000-0005-0000-0000-0000EA100000}"/>
    <cellStyle name="Total 3 2 4 2 3 2" xfId="2466" xr:uid="{00000000-0005-0000-0000-0000EB100000}"/>
    <cellStyle name="Total 3 2 4 2 3 2 2" xfId="4204" xr:uid="{00000000-0005-0000-0000-0000EC100000}"/>
    <cellStyle name="Total 3 2 4 2 3 3" xfId="3537" xr:uid="{00000000-0005-0000-0000-0000ED100000}"/>
    <cellStyle name="Total 3 2 4 2 4" xfId="2467" xr:uid="{00000000-0005-0000-0000-0000EE100000}"/>
    <cellStyle name="Total 3 2 4 2 4 2" xfId="2468" xr:uid="{00000000-0005-0000-0000-0000EF100000}"/>
    <cellStyle name="Total 3 2 4 2 4 2 2" xfId="4393" xr:uid="{00000000-0005-0000-0000-0000F0100000}"/>
    <cellStyle name="Total 3 2 4 2 4 3" xfId="3726" xr:uid="{00000000-0005-0000-0000-0000F1100000}"/>
    <cellStyle name="Total 3 2 4 2 5" xfId="3131" xr:uid="{00000000-0005-0000-0000-0000F2100000}"/>
    <cellStyle name="Total 3 2 4 3" xfId="2469" xr:uid="{00000000-0005-0000-0000-0000F3100000}"/>
    <cellStyle name="Total 3 2 4 3 2" xfId="2470" xr:uid="{00000000-0005-0000-0000-0000F4100000}"/>
    <cellStyle name="Total 3 2 4 3 2 2" xfId="3924" xr:uid="{00000000-0005-0000-0000-0000F5100000}"/>
    <cellStyle name="Total 3 2 4 3 3" xfId="3257" xr:uid="{00000000-0005-0000-0000-0000F6100000}"/>
    <cellStyle name="Total 3 2 4 4" xfId="2471" xr:uid="{00000000-0005-0000-0000-0000F7100000}"/>
    <cellStyle name="Total 3 2 4 4 2" xfId="2472" xr:uid="{00000000-0005-0000-0000-0000F8100000}"/>
    <cellStyle name="Total 3 2 4 4 2 2" xfId="3864" xr:uid="{00000000-0005-0000-0000-0000F9100000}"/>
    <cellStyle name="Total 3 2 4 4 3" xfId="2962" xr:uid="{00000000-0005-0000-0000-0000FA100000}"/>
    <cellStyle name="Total 3 2 4 5" xfId="2473" xr:uid="{00000000-0005-0000-0000-0000FB100000}"/>
    <cellStyle name="Total 3 2 4 5 2" xfId="2474" xr:uid="{00000000-0005-0000-0000-0000FC100000}"/>
    <cellStyle name="Total 3 2 4 5 2 2" xfId="3873" xr:uid="{00000000-0005-0000-0000-0000FD100000}"/>
    <cellStyle name="Total 3 2 4 5 3" xfId="2983" xr:uid="{00000000-0005-0000-0000-0000FE100000}"/>
    <cellStyle name="Total 3 2 4 6" xfId="2475" xr:uid="{00000000-0005-0000-0000-0000FF100000}"/>
    <cellStyle name="Total 3 2 4 6 2" xfId="3036" xr:uid="{00000000-0005-0000-0000-000000110000}"/>
    <cellStyle name="Total 3 2 4 7" xfId="2476" xr:uid="{00000000-0005-0000-0000-000001110000}"/>
    <cellStyle name="Total 3 2 4 7 2" xfId="4555" xr:uid="{00000000-0005-0000-0000-000002110000}"/>
    <cellStyle name="Total 3 2 4 8" xfId="2770" xr:uid="{00000000-0005-0000-0000-000003110000}"/>
    <cellStyle name="Total 3 2 5" xfId="2477" xr:uid="{00000000-0005-0000-0000-000004110000}"/>
    <cellStyle name="Total 3 2 5 2" xfId="2980" xr:uid="{00000000-0005-0000-0000-000005110000}"/>
    <cellStyle name="Total 3 2 6" xfId="2478" xr:uid="{00000000-0005-0000-0000-000006110000}"/>
    <cellStyle name="Total 3 2 6 2" xfId="2895" xr:uid="{00000000-0005-0000-0000-000007110000}"/>
    <cellStyle name="Total 3 2 7" xfId="2479" xr:uid="{00000000-0005-0000-0000-000008110000}"/>
    <cellStyle name="Total 3 2 7 2" xfId="4523" xr:uid="{00000000-0005-0000-0000-000009110000}"/>
    <cellStyle name="Total 3 2 8" xfId="2480" xr:uid="{00000000-0005-0000-0000-00000A110000}"/>
    <cellStyle name="Total 3 3" xfId="2481" xr:uid="{00000000-0005-0000-0000-00000B110000}"/>
    <cellStyle name="Total 3 3 10" xfId="2482" xr:uid="{00000000-0005-0000-0000-00000C110000}"/>
    <cellStyle name="Total 3 3 10 2" xfId="2716" xr:uid="{00000000-0005-0000-0000-00000D110000}"/>
    <cellStyle name="Total 3 3 11" xfId="2663" xr:uid="{00000000-0005-0000-0000-00000E110000}"/>
    <cellStyle name="Total 3 3 2" xfId="2483" xr:uid="{00000000-0005-0000-0000-00000F110000}"/>
    <cellStyle name="Total 3 3 2 2" xfId="2484" xr:uid="{00000000-0005-0000-0000-000010110000}"/>
    <cellStyle name="Total 3 3 2 2 2" xfId="2485" xr:uid="{00000000-0005-0000-0000-000011110000}"/>
    <cellStyle name="Total 3 3 2 2 2 2" xfId="2486" xr:uid="{00000000-0005-0000-0000-000012110000}"/>
    <cellStyle name="Total 3 3 2 2 2 2 2" xfId="4085" xr:uid="{00000000-0005-0000-0000-000013110000}"/>
    <cellStyle name="Total 3 3 2 2 2 3" xfId="3418" xr:uid="{00000000-0005-0000-0000-000014110000}"/>
    <cellStyle name="Total 3 3 2 2 3" xfId="2487" xr:uid="{00000000-0005-0000-0000-000015110000}"/>
    <cellStyle name="Total 3 3 2 2 3 2" xfId="2488" xr:uid="{00000000-0005-0000-0000-000016110000}"/>
    <cellStyle name="Total 3 3 2 2 3 2 2" xfId="4262" xr:uid="{00000000-0005-0000-0000-000017110000}"/>
    <cellStyle name="Total 3 3 2 2 3 3" xfId="3595" xr:uid="{00000000-0005-0000-0000-000018110000}"/>
    <cellStyle name="Total 3 3 2 2 4" xfId="2489" xr:uid="{00000000-0005-0000-0000-000019110000}"/>
    <cellStyle name="Total 3 3 2 2 4 2" xfId="2490" xr:uid="{00000000-0005-0000-0000-00001A110000}"/>
    <cellStyle name="Total 3 3 2 2 4 2 2" xfId="4451" xr:uid="{00000000-0005-0000-0000-00001B110000}"/>
    <cellStyle name="Total 3 3 2 2 4 3" xfId="3784" xr:uid="{00000000-0005-0000-0000-00001C110000}"/>
    <cellStyle name="Total 3 3 2 2 5" xfId="3200" xr:uid="{00000000-0005-0000-0000-00001D110000}"/>
    <cellStyle name="Total 3 3 2 3" xfId="2491" xr:uid="{00000000-0005-0000-0000-00001E110000}"/>
    <cellStyle name="Total 3 3 2 3 2" xfId="2492" xr:uid="{00000000-0005-0000-0000-00001F110000}"/>
    <cellStyle name="Total 3 3 2 3 2 2" xfId="3980" xr:uid="{00000000-0005-0000-0000-000020110000}"/>
    <cellStyle name="Total 3 3 2 3 3" xfId="3313" xr:uid="{00000000-0005-0000-0000-000021110000}"/>
    <cellStyle name="Total 3 3 2 4" xfId="2493" xr:uid="{00000000-0005-0000-0000-000022110000}"/>
    <cellStyle name="Total 3 3 2 4 2" xfId="2494" xr:uid="{00000000-0005-0000-0000-000023110000}"/>
    <cellStyle name="Total 3 3 2 4 2 2" xfId="4158" xr:uid="{00000000-0005-0000-0000-000024110000}"/>
    <cellStyle name="Total 3 3 2 4 3" xfId="3491" xr:uid="{00000000-0005-0000-0000-000025110000}"/>
    <cellStyle name="Total 3 3 2 5" xfId="2495" xr:uid="{00000000-0005-0000-0000-000026110000}"/>
    <cellStyle name="Total 3 3 2 5 2" xfId="2496" xr:uid="{00000000-0005-0000-0000-000027110000}"/>
    <cellStyle name="Total 3 3 2 5 2 2" xfId="4347" xr:uid="{00000000-0005-0000-0000-000028110000}"/>
    <cellStyle name="Total 3 3 2 5 3" xfId="3680" xr:uid="{00000000-0005-0000-0000-000029110000}"/>
    <cellStyle name="Total 3 3 2 6" xfId="2497" xr:uid="{00000000-0005-0000-0000-00002A110000}"/>
    <cellStyle name="Total 3 3 2 6 2" xfId="4630" xr:uid="{00000000-0005-0000-0000-00002B110000}"/>
    <cellStyle name="Total 3 3 2 7" xfId="2870" xr:uid="{00000000-0005-0000-0000-00002C110000}"/>
    <cellStyle name="Total 3 3 3" xfId="2498" xr:uid="{00000000-0005-0000-0000-00002D110000}"/>
    <cellStyle name="Total 3 3 3 2" xfId="2499" xr:uid="{00000000-0005-0000-0000-00002E110000}"/>
    <cellStyle name="Total 3 3 3 2 2" xfId="2500" xr:uid="{00000000-0005-0000-0000-00002F110000}"/>
    <cellStyle name="Total 3 3 3 2 2 2" xfId="4018" xr:uid="{00000000-0005-0000-0000-000030110000}"/>
    <cellStyle name="Total 3 3 3 2 3" xfId="3351" xr:uid="{00000000-0005-0000-0000-000031110000}"/>
    <cellStyle name="Total 3 3 3 3" xfId="2501" xr:uid="{00000000-0005-0000-0000-000032110000}"/>
    <cellStyle name="Total 3 3 3 3 2" xfId="2502" xr:uid="{00000000-0005-0000-0000-000033110000}"/>
    <cellStyle name="Total 3 3 3 3 2 2" xfId="4196" xr:uid="{00000000-0005-0000-0000-000034110000}"/>
    <cellStyle name="Total 3 3 3 3 3" xfId="3529" xr:uid="{00000000-0005-0000-0000-000035110000}"/>
    <cellStyle name="Total 3 3 3 4" xfId="2503" xr:uid="{00000000-0005-0000-0000-000036110000}"/>
    <cellStyle name="Total 3 3 3 4 2" xfId="2504" xr:uid="{00000000-0005-0000-0000-000037110000}"/>
    <cellStyle name="Total 3 3 3 4 2 2" xfId="4385" xr:uid="{00000000-0005-0000-0000-000038110000}"/>
    <cellStyle name="Total 3 3 3 4 3" xfId="3718" xr:uid="{00000000-0005-0000-0000-000039110000}"/>
    <cellStyle name="Total 3 3 3 5" xfId="2505" xr:uid="{00000000-0005-0000-0000-00003A110000}"/>
    <cellStyle name="Total 3 3 3 5 2" xfId="3122" xr:uid="{00000000-0005-0000-0000-00003B110000}"/>
    <cellStyle name="Total 3 3 3 6" xfId="2800" xr:uid="{00000000-0005-0000-0000-00003C110000}"/>
    <cellStyle name="Total 3 3 4" xfId="2506" xr:uid="{00000000-0005-0000-0000-00003D110000}"/>
    <cellStyle name="Total 3 3 4 2" xfId="3027" xr:uid="{00000000-0005-0000-0000-00003E110000}"/>
    <cellStyle name="Total 3 3 5" xfId="2507" xr:uid="{00000000-0005-0000-0000-00003F110000}"/>
    <cellStyle name="Total 3 3 5 2" xfId="2508" xr:uid="{00000000-0005-0000-0000-000040110000}"/>
    <cellStyle name="Total 3 3 5 2 2" xfId="3916" xr:uid="{00000000-0005-0000-0000-000041110000}"/>
    <cellStyle name="Total 3 3 5 3" xfId="3249" xr:uid="{00000000-0005-0000-0000-000042110000}"/>
    <cellStyle name="Total 3 3 6" xfId="2509" xr:uid="{00000000-0005-0000-0000-000043110000}"/>
    <cellStyle name="Total 3 3 6 2" xfId="2510" xr:uid="{00000000-0005-0000-0000-000044110000}"/>
    <cellStyle name="Total 3 3 6 2 2" xfId="3841" xr:uid="{00000000-0005-0000-0000-000045110000}"/>
    <cellStyle name="Total 3 3 6 3" xfId="2935" xr:uid="{00000000-0005-0000-0000-000046110000}"/>
    <cellStyle name="Total 3 3 7" xfId="2511" xr:uid="{00000000-0005-0000-0000-000047110000}"/>
    <cellStyle name="Total 3 3 7 2" xfId="2512" xr:uid="{00000000-0005-0000-0000-000048110000}"/>
    <cellStyle name="Total 3 3 7 2 2" xfId="3878" xr:uid="{00000000-0005-0000-0000-000049110000}"/>
    <cellStyle name="Total 3 3 7 3" xfId="2988" xr:uid="{00000000-0005-0000-0000-00004A110000}"/>
    <cellStyle name="Total 3 3 8" xfId="2513" xr:uid="{00000000-0005-0000-0000-00004B110000}"/>
    <cellStyle name="Total 3 3 8 2" xfId="2897" xr:uid="{00000000-0005-0000-0000-00004C110000}"/>
    <cellStyle name="Total 3 3 9" xfId="2514" xr:uid="{00000000-0005-0000-0000-00004D110000}"/>
    <cellStyle name="Total 3 3 9 2" xfId="4546" xr:uid="{00000000-0005-0000-0000-00004E110000}"/>
    <cellStyle name="Total 3 4" xfId="2515" xr:uid="{00000000-0005-0000-0000-00004F110000}"/>
    <cellStyle name="Total 3 4 2" xfId="2516" xr:uid="{00000000-0005-0000-0000-000050110000}"/>
    <cellStyle name="Total 3 4 2 2" xfId="2517" xr:uid="{00000000-0005-0000-0000-000051110000}"/>
    <cellStyle name="Total 3 4 2 2 2" xfId="2518" xr:uid="{00000000-0005-0000-0000-000052110000}"/>
    <cellStyle name="Total 3 4 2 2 2 2" xfId="4049" xr:uid="{00000000-0005-0000-0000-000053110000}"/>
    <cellStyle name="Total 3 4 2 2 3" xfId="3382" xr:uid="{00000000-0005-0000-0000-000054110000}"/>
    <cellStyle name="Total 3 4 2 3" xfId="2519" xr:uid="{00000000-0005-0000-0000-000055110000}"/>
    <cellStyle name="Total 3 4 2 3 2" xfId="2520" xr:uid="{00000000-0005-0000-0000-000056110000}"/>
    <cellStyle name="Total 3 4 2 3 2 2" xfId="4226" xr:uid="{00000000-0005-0000-0000-000057110000}"/>
    <cellStyle name="Total 3 4 2 3 3" xfId="3559" xr:uid="{00000000-0005-0000-0000-000058110000}"/>
    <cellStyle name="Total 3 4 2 4" xfId="2521" xr:uid="{00000000-0005-0000-0000-000059110000}"/>
    <cellStyle name="Total 3 4 2 4 2" xfId="2522" xr:uid="{00000000-0005-0000-0000-00005A110000}"/>
    <cellStyle name="Total 3 4 2 4 2 2" xfId="4415" xr:uid="{00000000-0005-0000-0000-00005B110000}"/>
    <cellStyle name="Total 3 4 2 4 3" xfId="3748" xr:uid="{00000000-0005-0000-0000-00005C110000}"/>
    <cellStyle name="Total 3 4 2 5" xfId="3158" xr:uid="{00000000-0005-0000-0000-00005D110000}"/>
    <cellStyle name="Total 3 4 3" xfId="2523" xr:uid="{00000000-0005-0000-0000-00005E110000}"/>
    <cellStyle name="Total 3 4 3 2" xfId="2524" xr:uid="{00000000-0005-0000-0000-00005F110000}"/>
    <cellStyle name="Total 3 4 3 2 2" xfId="3947" xr:uid="{00000000-0005-0000-0000-000060110000}"/>
    <cellStyle name="Total 3 4 3 3" xfId="3280" xr:uid="{00000000-0005-0000-0000-000061110000}"/>
    <cellStyle name="Total 3 4 4" xfId="2525" xr:uid="{00000000-0005-0000-0000-000062110000}"/>
    <cellStyle name="Total 3 4 4 2" xfId="2526" xr:uid="{00000000-0005-0000-0000-000063110000}"/>
    <cellStyle name="Total 3 4 4 2 2" xfId="4125" xr:uid="{00000000-0005-0000-0000-000064110000}"/>
    <cellStyle name="Total 3 4 4 3" xfId="3458" xr:uid="{00000000-0005-0000-0000-000065110000}"/>
    <cellStyle name="Total 3 4 5" xfId="2527" xr:uid="{00000000-0005-0000-0000-000066110000}"/>
    <cellStyle name="Total 3 4 5 2" xfId="2528" xr:uid="{00000000-0005-0000-0000-000067110000}"/>
    <cellStyle name="Total 3 4 5 2 2" xfId="4314" xr:uid="{00000000-0005-0000-0000-000068110000}"/>
    <cellStyle name="Total 3 4 5 3" xfId="3647" xr:uid="{00000000-0005-0000-0000-000069110000}"/>
    <cellStyle name="Total 3 4 6" xfId="2529" xr:uid="{00000000-0005-0000-0000-00006A110000}"/>
    <cellStyle name="Total 3 4 6 2" xfId="4588" xr:uid="{00000000-0005-0000-0000-00006B110000}"/>
    <cellStyle name="Total 3 4 7" xfId="2867" xr:uid="{00000000-0005-0000-0000-00006C110000}"/>
    <cellStyle name="Total 3 5" xfId="2530" xr:uid="{00000000-0005-0000-0000-00006D110000}"/>
    <cellStyle name="Total 3 5 2" xfId="2531" xr:uid="{00000000-0005-0000-0000-00006E110000}"/>
    <cellStyle name="Total 3 5 2 2" xfId="2532" xr:uid="{00000000-0005-0000-0000-00006F110000}"/>
    <cellStyle name="Total 3 5 2 2 2" xfId="2533" xr:uid="{00000000-0005-0000-0000-000070110000}"/>
    <cellStyle name="Total 3 5 2 2 2 2" xfId="4083" xr:uid="{00000000-0005-0000-0000-000071110000}"/>
    <cellStyle name="Total 3 5 2 2 3" xfId="3416" xr:uid="{00000000-0005-0000-0000-000072110000}"/>
    <cellStyle name="Total 3 5 2 3" xfId="2534" xr:uid="{00000000-0005-0000-0000-000073110000}"/>
    <cellStyle name="Total 3 5 2 3 2" xfId="2535" xr:uid="{00000000-0005-0000-0000-000074110000}"/>
    <cellStyle name="Total 3 5 2 3 2 2" xfId="4260" xr:uid="{00000000-0005-0000-0000-000075110000}"/>
    <cellStyle name="Total 3 5 2 3 3" xfId="3593" xr:uid="{00000000-0005-0000-0000-000076110000}"/>
    <cellStyle name="Total 3 5 2 4" xfId="2536" xr:uid="{00000000-0005-0000-0000-000077110000}"/>
    <cellStyle name="Total 3 5 2 4 2" xfId="2537" xr:uid="{00000000-0005-0000-0000-000078110000}"/>
    <cellStyle name="Total 3 5 2 4 2 2" xfId="4449" xr:uid="{00000000-0005-0000-0000-000079110000}"/>
    <cellStyle name="Total 3 5 2 4 3" xfId="3782" xr:uid="{00000000-0005-0000-0000-00007A110000}"/>
    <cellStyle name="Total 3 5 2 5" xfId="3198" xr:uid="{00000000-0005-0000-0000-00007B110000}"/>
    <cellStyle name="Total 3 5 3" xfId="2538" xr:uid="{00000000-0005-0000-0000-00007C110000}"/>
    <cellStyle name="Total 3 5 3 2" xfId="2539" xr:uid="{00000000-0005-0000-0000-00007D110000}"/>
    <cellStyle name="Total 3 5 3 2 2" xfId="3978" xr:uid="{00000000-0005-0000-0000-00007E110000}"/>
    <cellStyle name="Total 3 5 3 3" xfId="3311" xr:uid="{00000000-0005-0000-0000-00007F110000}"/>
    <cellStyle name="Total 3 5 4" xfId="2540" xr:uid="{00000000-0005-0000-0000-000080110000}"/>
    <cellStyle name="Total 3 5 4 2" xfId="2541" xr:uid="{00000000-0005-0000-0000-000081110000}"/>
    <cellStyle name="Total 3 5 4 2 2" xfId="4156" xr:uid="{00000000-0005-0000-0000-000082110000}"/>
    <cellStyle name="Total 3 5 4 3" xfId="3489" xr:uid="{00000000-0005-0000-0000-000083110000}"/>
    <cellStyle name="Total 3 5 5" xfId="2542" xr:uid="{00000000-0005-0000-0000-000084110000}"/>
    <cellStyle name="Total 3 5 5 2" xfId="2543" xr:uid="{00000000-0005-0000-0000-000085110000}"/>
    <cellStyle name="Total 3 5 5 2 2" xfId="4345" xr:uid="{00000000-0005-0000-0000-000086110000}"/>
    <cellStyle name="Total 3 5 5 3" xfId="3678" xr:uid="{00000000-0005-0000-0000-000087110000}"/>
    <cellStyle name="Total 3 5 6" xfId="2544" xr:uid="{00000000-0005-0000-0000-000088110000}"/>
    <cellStyle name="Total 3 5 6 2" xfId="3083" xr:uid="{00000000-0005-0000-0000-000089110000}"/>
    <cellStyle name="Total 3 5 7" xfId="2545" xr:uid="{00000000-0005-0000-0000-00008A110000}"/>
    <cellStyle name="Total 3 5 7 2" xfId="4628" xr:uid="{00000000-0005-0000-0000-00008B110000}"/>
    <cellStyle name="Total 3 5 8" xfId="2753" xr:uid="{00000000-0005-0000-0000-00008C110000}"/>
    <cellStyle name="Total 3 6" xfId="2546" xr:uid="{00000000-0005-0000-0000-00008D110000}"/>
    <cellStyle name="Total 3 6 2" xfId="2947" xr:uid="{00000000-0005-0000-0000-00008E110000}"/>
    <cellStyle name="Total 3 7" xfId="2547" xr:uid="{00000000-0005-0000-0000-00008F110000}"/>
    <cellStyle name="Total 3 7 2" xfId="2894" xr:uid="{00000000-0005-0000-0000-000090110000}"/>
    <cellStyle name="Total 3 8" xfId="2548" xr:uid="{00000000-0005-0000-0000-000091110000}"/>
    <cellStyle name="Total 3 8 2" xfId="4506" xr:uid="{00000000-0005-0000-0000-000092110000}"/>
    <cellStyle name="Total 3 9" xfId="2549" xr:uid="{00000000-0005-0000-0000-000093110000}"/>
    <cellStyle name="Total 3_בחירה מרשימה" xfId="2550" xr:uid="{00000000-0005-0000-0000-000094110000}"/>
    <cellStyle name="Total 4" xfId="2551" xr:uid="{00000000-0005-0000-0000-000095110000}"/>
    <cellStyle name="Total 4 10" xfId="2552" xr:uid="{00000000-0005-0000-0000-000096110000}"/>
    <cellStyle name="Total 4 10 2" xfId="2702" xr:uid="{00000000-0005-0000-0000-000097110000}"/>
    <cellStyle name="Total 4 11" xfId="2649" xr:uid="{00000000-0005-0000-0000-000098110000}"/>
    <cellStyle name="Total 4 2" xfId="2553" xr:uid="{00000000-0005-0000-0000-000099110000}"/>
    <cellStyle name="Total 4 2 2" xfId="2554" xr:uid="{00000000-0005-0000-0000-00009A110000}"/>
    <cellStyle name="Total 4 2 2 2" xfId="2555" xr:uid="{00000000-0005-0000-0000-00009B110000}"/>
    <cellStyle name="Total 4 2 2 2 2" xfId="2556" xr:uid="{00000000-0005-0000-0000-00009C110000}"/>
    <cellStyle name="Total 4 2 2 2 2 2" xfId="4075" xr:uid="{00000000-0005-0000-0000-00009D110000}"/>
    <cellStyle name="Total 4 2 2 2 3" xfId="3408" xr:uid="{00000000-0005-0000-0000-00009E110000}"/>
    <cellStyle name="Total 4 2 2 3" xfId="2557" xr:uid="{00000000-0005-0000-0000-00009F110000}"/>
    <cellStyle name="Total 4 2 2 3 2" xfId="2558" xr:uid="{00000000-0005-0000-0000-0000A0110000}"/>
    <cellStyle name="Total 4 2 2 3 2 2" xfId="4252" xr:uid="{00000000-0005-0000-0000-0000A1110000}"/>
    <cellStyle name="Total 4 2 2 3 3" xfId="3585" xr:uid="{00000000-0005-0000-0000-0000A2110000}"/>
    <cellStyle name="Total 4 2 2 4" xfId="2559" xr:uid="{00000000-0005-0000-0000-0000A3110000}"/>
    <cellStyle name="Total 4 2 2 4 2" xfId="2560" xr:uid="{00000000-0005-0000-0000-0000A4110000}"/>
    <cellStyle name="Total 4 2 2 4 2 2" xfId="4441" xr:uid="{00000000-0005-0000-0000-0000A5110000}"/>
    <cellStyle name="Total 4 2 2 4 3" xfId="3774" xr:uid="{00000000-0005-0000-0000-0000A6110000}"/>
    <cellStyle name="Total 4 2 2 5" xfId="3190" xr:uid="{00000000-0005-0000-0000-0000A7110000}"/>
    <cellStyle name="Total 4 2 3" xfId="2561" xr:uid="{00000000-0005-0000-0000-0000A8110000}"/>
    <cellStyle name="Total 4 2 3 2" xfId="2562" xr:uid="{00000000-0005-0000-0000-0000A9110000}"/>
    <cellStyle name="Total 4 2 3 2 2" xfId="3970" xr:uid="{00000000-0005-0000-0000-0000AA110000}"/>
    <cellStyle name="Total 4 2 3 3" xfId="3303" xr:uid="{00000000-0005-0000-0000-0000AB110000}"/>
    <cellStyle name="Total 4 2 4" xfId="2563" xr:uid="{00000000-0005-0000-0000-0000AC110000}"/>
    <cellStyle name="Total 4 2 4 2" xfId="2564" xr:uid="{00000000-0005-0000-0000-0000AD110000}"/>
    <cellStyle name="Total 4 2 4 2 2" xfId="4148" xr:uid="{00000000-0005-0000-0000-0000AE110000}"/>
    <cellStyle name="Total 4 2 4 3" xfId="3481" xr:uid="{00000000-0005-0000-0000-0000AF110000}"/>
    <cellStyle name="Total 4 2 5" xfId="2565" xr:uid="{00000000-0005-0000-0000-0000B0110000}"/>
    <cellStyle name="Total 4 2 5 2" xfId="2566" xr:uid="{00000000-0005-0000-0000-0000B1110000}"/>
    <cellStyle name="Total 4 2 5 2 2" xfId="4337" xr:uid="{00000000-0005-0000-0000-0000B2110000}"/>
    <cellStyle name="Total 4 2 5 3" xfId="3670" xr:uid="{00000000-0005-0000-0000-0000B3110000}"/>
    <cellStyle name="Total 4 2 6" xfId="2567" xr:uid="{00000000-0005-0000-0000-0000B4110000}"/>
    <cellStyle name="Total 4 2 6 2" xfId="4620" xr:uid="{00000000-0005-0000-0000-0000B5110000}"/>
    <cellStyle name="Total 4 2 7" xfId="2871" xr:uid="{00000000-0005-0000-0000-0000B6110000}"/>
    <cellStyle name="Total 4 3" xfId="2568" xr:uid="{00000000-0005-0000-0000-0000B7110000}"/>
    <cellStyle name="Total 4 3 2" xfId="2569" xr:uid="{00000000-0005-0000-0000-0000B8110000}"/>
    <cellStyle name="Total 4 3 2 2" xfId="2570" xr:uid="{00000000-0005-0000-0000-0000B9110000}"/>
    <cellStyle name="Total 4 3 2 2 2" xfId="4007" xr:uid="{00000000-0005-0000-0000-0000BA110000}"/>
    <cellStyle name="Total 4 3 2 3" xfId="3340" xr:uid="{00000000-0005-0000-0000-0000BB110000}"/>
    <cellStyle name="Total 4 3 3" xfId="2571" xr:uid="{00000000-0005-0000-0000-0000BC110000}"/>
    <cellStyle name="Total 4 3 3 2" xfId="2572" xr:uid="{00000000-0005-0000-0000-0000BD110000}"/>
    <cellStyle name="Total 4 3 3 2 2" xfId="4185" xr:uid="{00000000-0005-0000-0000-0000BE110000}"/>
    <cellStyle name="Total 4 3 3 3" xfId="3518" xr:uid="{00000000-0005-0000-0000-0000BF110000}"/>
    <cellStyle name="Total 4 3 4" xfId="2573" xr:uid="{00000000-0005-0000-0000-0000C0110000}"/>
    <cellStyle name="Total 4 3 4 2" xfId="2574" xr:uid="{00000000-0005-0000-0000-0000C1110000}"/>
    <cellStyle name="Total 4 3 4 2 2" xfId="4374" xr:uid="{00000000-0005-0000-0000-0000C2110000}"/>
    <cellStyle name="Total 4 3 4 3" xfId="3707" xr:uid="{00000000-0005-0000-0000-0000C3110000}"/>
    <cellStyle name="Total 4 3 5" xfId="2575" xr:uid="{00000000-0005-0000-0000-0000C4110000}"/>
    <cellStyle name="Total 4 3 5 2" xfId="3111" xr:uid="{00000000-0005-0000-0000-0000C5110000}"/>
    <cellStyle name="Total 4 3 6" xfId="2781" xr:uid="{00000000-0005-0000-0000-0000C6110000}"/>
    <cellStyle name="Total 4 4" xfId="2576" xr:uid="{00000000-0005-0000-0000-0000C7110000}"/>
    <cellStyle name="Total 4 4 2" xfId="3009" xr:uid="{00000000-0005-0000-0000-0000C8110000}"/>
    <cellStyle name="Total 4 5" xfId="2577" xr:uid="{00000000-0005-0000-0000-0000C9110000}"/>
    <cellStyle name="Total 4 5 2" xfId="2578" xr:uid="{00000000-0005-0000-0000-0000CA110000}"/>
    <cellStyle name="Total 4 5 2 2" xfId="3851" xr:uid="{00000000-0005-0000-0000-0000CB110000}"/>
    <cellStyle name="Total 4 5 3" xfId="2949" xr:uid="{00000000-0005-0000-0000-0000CC110000}"/>
    <cellStyle name="Total 4 6" xfId="2579" xr:uid="{00000000-0005-0000-0000-0000CD110000}"/>
    <cellStyle name="Total 4 6 2" xfId="2580" xr:uid="{00000000-0005-0000-0000-0000CE110000}"/>
    <cellStyle name="Total 4 6 2 2" xfId="3821" xr:uid="{00000000-0005-0000-0000-0000CF110000}"/>
    <cellStyle name="Total 4 6 3" xfId="2900" xr:uid="{00000000-0005-0000-0000-0000D0110000}"/>
    <cellStyle name="Total 4 7" xfId="2581" xr:uid="{00000000-0005-0000-0000-0000D1110000}"/>
    <cellStyle name="Total 4 7 2" xfId="2582" xr:uid="{00000000-0005-0000-0000-0000D2110000}"/>
    <cellStyle name="Total 4 7 2 2" xfId="4102" xr:uid="{00000000-0005-0000-0000-0000D3110000}"/>
    <cellStyle name="Total 4 7 3" xfId="3435" xr:uid="{00000000-0005-0000-0000-0000D4110000}"/>
    <cellStyle name="Total 4 8" xfId="2583" xr:uid="{00000000-0005-0000-0000-0000D5110000}"/>
    <cellStyle name="Total 4 8 2" xfId="2898" xr:uid="{00000000-0005-0000-0000-0000D6110000}"/>
    <cellStyle name="Total 4 9" xfId="2584" xr:uid="{00000000-0005-0000-0000-0000D7110000}"/>
    <cellStyle name="Total 4 9 2" xfId="4531" xr:uid="{00000000-0005-0000-0000-0000D8110000}"/>
    <cellStyle name="Total 5" xfId="2585" xr:uid="{00000000-0005-0000-0000-0000D9110000}"/>
    <cellStyle name="Total 5 2" xfId="2586" xr:uid="{00000000-0005-0000-0000-0000DA110000}"/>
    <cellStyle name="Total 5 2 2" xfId="2587" xr:uid="{00000000-0005-0000-0000-0000DB110000}"/>
    <cellStyle name="Total 5 2 2 2" xfId="2588" xr:uid="{00000000-0005-0000-0000-0000DC110000}"/>
    <cellStyle name="Total 5 2 2 2 2" xfId="4020" xr:uid="{00000000-0005-0000-0000-0000DD110000}"/>
    <cellStyle name="Total 5 2 2 3" xfId="3353" xr:uid="{00000000-0005-0000-0000-0000DE110000}"/>
    <cellStyle name="Total 5 2 3" xfId="2589" xr:uid="{00000000-0005-0000-0000-0000DF110000}"/>
    <cellStyle name="Total 5 2 3 2" xfId="2590" xr:uid="{00000000-0005-0000-0000-0000E0110000}"/>
    <cellStyle name="Total 5 2 3 2 2" xfId="4198" xr:uid="{00000000-0005-0000-0000-0000E1110000}"/>
    <cellStyle name="Total 5 2 3 3" xfId="3531" xr:uid="{00000000-0005-0000-0000-0000E2110000}"/>
    <cellStyle name="Total 5 2 4" xfId="2591" xr:uid="{00000000-0005-0000-0000-0000E3110000}"/>
    <cellStyle name="Total 5 2 4 2" xfId="2592" xr:uid="{00000000-0005-0000-0000-0000E4110000}"/>
    <cellStyle name="Total 5 2 4 2 2" xfId="4387" xr:uid="{00000000-0005-0000-0000-0000E5110000}"/>
    <cellStyle name="Total 5 2 4 3" xfId="3720" xr:uid="{00000000-0005-0000-0000-0000E6110000}"/>
    <cellStyle name="Total 5 2 5" xfId="3124" xr:uid="{00000000-0005-0000-0000-0000E7110000}"/>
    <cellStyle name="Total 5 3" xfId="2593" xr:uid="{00000000-0005-0000-0000-0000E8110000}"/>
    <cellStyle name="Total 5 3 2" xfId="2594" xr:uid="{00000000-0005-0000-0000-0000E9110000}"/>
    <cellStyle name="Total 5 3 2 2" xfId="3918" xr:uid="{00000000-0005-0000-0000-0000EA110000}"/>
    <cellStyle name="Total 5 3 3" xfId="3251" xr:uid="{00000000-0005-0000-0000-0000EB110000}"/>
    <cellStyle name="Total 5 4" xfId="2595" xr:uid="{00000000-0005-0000-0000-0000EC110000}"/>
    <cellStyle name="Total 5 4 2" xfId="2596" xr:uid="{00000000-0005-0000-0000-0000ED110000}"/>
    <cellStyle name="Total 5 4 2 2" xfId="3898" xr:uid="{00000000-0005-0000-0000-0000EE110000}"/>
    <cellStyle name="Total 5 4 3" xfId="3024" xr:uid="{00000000-0005-0000-0000-0000EF110000}"/>
    <cellStyle name="Total 5 5" xfId="2597" xr:uid="{00000000-0005-0000-0000-0000F0110000}"/>
    <cellStyle name="Total 5 5 2" xfId="2598" xr:uid="{00000000-0005-0000-0000-0000F1110000}"/>
    <cellStyle name="Total 5 5 2 2" xfId="3875" xr:uid="{00000000-0005-0000-0000-0000F2110000}"/>
    <cellStyle name="Total 5 5 3" xfId="2985" xr:uid="{00000000-0005-0000-0000-0000F3110000}"/>
    <cellStyle name="Total 5 6" xfId="2599" xr:uid="{00000000-0005-0000-0000-0000F4110000}"/>
    <cellStyle name="Total 5 6 2" xfId="3029" xr:uid="{00000000-0005-0000-0000-0000F5110000}"/>
    <cellStyle name="Total 5 7" xfId="2600" xr:uid="{00000000-0005-0000-0000-0000F6110000}"/>
    <cellStyle name="Total 5 7 2" xfId="4548" xr:uid="{00000000-0005-0000-0000-0000F7110000}"/>
    <cellStyle name="Total 5 8" xfId="2738" xr:uid="{00000000-0005-0000-0000-0000F8110000}"/>
    <cellStyle name="Total 6" xfId="2601" xr:uid="{00000000-0005-0000-0000-0000F9110000}"/>
    <cellStyle name="Total 6 2" xfId="2602" xr:uid="{00000000-0005-0000-0000-0000FA110000}"/>
    <cellStyle name="Total 6 2 2" xfId="2603" xr:uid="{00000000-0005-0000-0000-0000FB110000}"/>
    <cellStyle name="Total 6 2 2 2" xfId="2604" xr:uid="{00000000-0005-0000-0000-0000FC110000}"/>
    <cellStyle name="Total 6 2 2 2 2" xfId="4082" xr:uid="{00000000-0005-0000-0000-0000FD110000}"/>
    <cellStyle name="Total 6 2 2 3" xfId="3415" xr:uid="{00000000-0005-0000-0000-0000FE110000}"/>
    <cellStyle name="Total 6 2 3" xfId="2605" xr:uid="{00000000-0005-0000-0000-0000FF110000}"/>
    <cellStyle name="Total 6 2 3 2" xfId="2606" xr:uid="{00000000-0005-0000-0000-000000120000}"/>
    <cellStyle name="Total 6 2 3 2 2" xfId="4259" xr:uid="{00000000-0005-0000-0000-000001120000}"/>
    <cellStyle name="Total 6 2 3 3" xfId="3592" xr:uid="{00000000-0005-0000-0000-000002120000}"/>
    <cellStyle name="Total 6 2 4" xfId="2607" xr:uid="{00000000-0005-0000-0000-000003120000}"/>
    <cellStyle name="Total 6 2 4 2" xfId="2608" xr:uid="{00000000-0005-0000-0000-000004120000}"/>
    <cellStyle name="Total 6 2 4 2 2" xfId="4448" xr:uid="{00000000-0005-0000-0000-000005120000}"/>
    <cellStyle name="Total 6 2 4 3" xfId="3781" xr:uid="{00000000-0005-0000-0000-000006120000}"/>
    <cellStyle name="Total 6 2 5" xfId="3197" xr:uid="{00000000-0005-0000-0000-000007120000}"/>
    <cellStyle name="Total 6 3" xfId="2609" xr:uid="{00000000-0005-0000-0000-000008120000}"/>
    <cellStyle name="Total 6 3 2" xfId="2610" xr:uid="{00000000-0005-0000-0000-000009120000}"/>
    <cellStyle name="Total 6 3 2 2" xfId="3977" xr:uid="{00000000-0005-0000-0000-00000A120000}"/>
    <cellStyle name="Total 6 3 3" xfId="3310" xr:uid="{00000000-0005-0000-0000-00000B120000}"/>
    <cellStyle name="Total 6 4" xfId="2611" xr:uid="{00000000-0005-0000-0000-00000C120000}"/>
    <cellStyle name="Total 6 4 2" xfId="2612" xr:uid="{00000000-0005-0000-0000-00000D120000}"/>
    <cellStyle name="Total 6 4 2 2" xfId="4155" xr:uid="{00000000-0005-0000-0000-00000E120000}"/>
    <cellStyle name="Total 6 4 3" xfId="3488" xr:uid="{00000000-0005-0000-0000-00000F120000}"/>
    <cellStyle name="Total 6 5" xfId="2613" xr:uid="{00000000-0005-0000-0000-000010120000}"/>
    <cellStyle name="Total 6 5 2" xfId="2614" xr:uid="{00000000-0005-0000-0000-000011120000}"/>
    <cellStyle name="Total 6 5 2 2" xfId="4344" xr:uid="{00000000-0005-0000-0000-000012120000}"/>
    <cellStyle name="Total 6 5 3" xfId="3677" xr:uid="{00000000-0005-0000-0000-000013120000}"/>
    <cellStyle name="Total 6 6" xfId="2615" xr:uid="{00000000-0005-0000-0000-000014120000}"/>
    <cellStyle name="Total 6 6 2" xfId="4627" xr:uid="{00000000-0005-0000-0000-000015120000}"/>
    <cellStyle name="Total 6 7" xfId="3082" xr:uid="{00000000-0005-0000-0000-000016120000}"/>
    <cellStyle name="Total 7" xfId="2616" xr:uid="{00000000-0005-0000-0000-000017120000}"/>
    <cellStyle name="Total 7 2" xfId="2914" xr:uid="{00000000-0005-0000-0000-000018120000}"/>
    <cellStyle name="Total 8" xfId="2617" xr:uid="{00000000-0005-0000-0000-000019120000}"/>
    <cellStyle name="Total 8 2" xfId="4492" xr:uid="{00000000-0005-0000-0000-00001A120000}"/>
    <cellStyle name="Total 9" xfId="2618" xr:uid="{00000000-0005-0000-0000-00001B120000}"/>
    <cellStyle name="Total_בחירה מרשימה" xfId="2619" xr:uid="{00000000-0005-0000-0000-00001C120000}"/>
    <cellStyle name="Warning Text" xfId="43" xr:uid="{00000000-0005-0000-0000-00001D120000}"/>
    <cellStyle name="Warning Text 2" xfId="230" xr:uid="{00000000-0005-0000-0000-00001E120000}"/>
    <cellStyle name="Warning Text 2 2" xfId="2620" xr:uid="{00000000-0005-0000-0000-00001F120000}"/>
    <cellStyle name="Warning Text 2 2 2" xfId="2621" xr:uid="{00000000-0005-0000-0000-000020120000}"/>
    <cellStyle name="Warning Text 3" xfId="2622" xr:uid="{00000000-0005-0000-0000-000021120000}"/>
  </cellStyles>
  <dxfs count="383"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>
          <bgColor theme="9" tint="-0.24994659260841701"/>
        </patternFill>
      </fill>
    </dxf>
    <dxf>
      <font>
        <color theme="0" tint="-4.9989318521683403E-2"/>
      </font>
      <fill>
        <patternFill>
          <bgColor rgb="FFC00000"/>
        </patternFill>
      </fill>
    </dxf>
    <dxf>
      <font>
        <color theme="0" tint="-4.9989318521683403E-2"/>
      </font>
      <fill>
        <patternFill>
          <bgColor rgb="FFC00000"/>
        </patternFill>
      </fill>
    </dxf>
    <dxf>
      <fill>
        <patternFill>
          <bgColor theme="9" tint="0.59996337778862885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 patternType="none">
          <bgColor auto="1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none">
          <bgColor auto="1"/>
        </patternFill>
      </fill>
    </dxf>
    <dxf>
      <fill>
        <patternFill>
          <bgColor theme="9" tint="0.59996337778862885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fgColor auto="1"/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FFCC"/>
        </patternFill>
      </fill>
    </dxf>
    <dxf>
      <font>
        <color rgb="FFFF0000"/>
      </font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ont>
        <color rgb="FFFF0000"/>
      </font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ill>
        <patternFill>
          <bgColor rgb="FFFF0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 patternType="solid">
          <bgColor theme="0"/>
        </patternFill>
      </fill>
    </dxf>
    <dxf>
      <fill>
        <patternFill>
          <bgColor rgb="FFFFFFCC"/>
        </patternFill>
      </fill>
    </dxf>
    <dxf>
      <fill>
        <patternFill>
          <bgColor rgb="FFFF0000"/>
        </patternFill>
      </fill>
    </dxf>
    <dxf>
      <fill>
        <patternFill>
          <bgColor rgb="FFFFFFCC"/>
        </patternFill>
      </fill>
    </dxf>
    <dxf>
      <fill>
        <patternFill patternType="solid">
          <bgColor theme="0"/>
        </patternFill>
      </fill>
    </dxf>
    <dxf>
      <font>
        <color rgb="FFFF0000"/>
      </font>
    </dxf>
    <dxf>
      <font>
        <color rgb="FFFF0000"/>
      </font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>
          <bgColor theme="9" tint="0.59996337778862885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/>
        <i val="0"/>
      </font>
      <fill>
        <patternFill>
          <bgColor theme="7" tint="0.59996337778862885"/>
        </patternFill>
      </fill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border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סגנון PivotTable 1" table="0" count="6" xr9:uid="{00000000-0011-0000-FFFF-FFFF00000000}">
      <tableStyleElement type="wholeTable" dxfId="382"/>
      <tableStyleElement type="headerRow" dxfId="381"/>
      <tableStyleElement type="totalRow" dxfId="380"/>
      <tableStyleElement type="firstRowSubheading" dxfId="379"/>
      <tableStyleElement type="secondRowSubheading" dxfId="378"/>
      <tableStyleElement type="thirdRowSubheading" dxfId="377"/>
    </tableStyle>
  </tableStyles>
  <colors>
    <mruColors>
      <color rgb="FFFFFFCC"/>
      <color rgb="FFFFFF99"/>
      <color rgb="FF99C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sheetMetadata" Target="metadata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indexed="10"/>
  </sheetPr>
  <dimension ref="A1:B9"/>
  <sheetViews>
    <sheetView rightToLeft="1" workbookViewId="0">
      <selection activeCell="B46" sqref="B46"/>
    </sheetView>
  </sheetViews>
  <sheetFormatPr defaultColWidth="8.85546875" defaultRowHeight="12.75" x14ac:dyDescent="0.2"/>
  <cols>
    <col min="2" max="2" width="26.28515625" customWidth="1"/>
  </cols>
  <sheetData>
    <row r="1" spans="1:2" x14ac:dyDescent="0.2">
      <c r="B1">
        <v>0.2378045916557312</v>
      </c>
    </row>
    <row r="2" spans="1:2" x14ac:dyDescent="0.2">
      <c r="B2" s="319">
        <v>45515.552627314813</v>
      </c>
    </row>
    <row r="6" spans="1:2" x14ac:dyDescent="0.2">
      <c r="A6" t="s">
        <v>0</v>
      </c>
      <c r="B6" t="b">
        <v>1</v>
      </c>
    </row>
    <row r="7" spans="1:2" x14ac:dyDescent="0.2">
      <c r="A7" t="s">
        <v>1</v>
      </c>
    </row>
    <row r="8" spans="1:2" x14ac:dyDescent="0.2">
      <c r="A8" t="s">
        <v>2</v>
      </c>
      <c r="B8" t="b">
        <v>1</v>
      </c>
    </row>
    <row r="9" spans="1:2" x14ac:dyDescent="0.2">
      <c r="A9" t="s">
        <v>3</v>
      </c>
      <c r="B9" t="b">
        <v>1</v>
      </c>
    </row>
  </sheetData>
  <sheetProtection algorithmName="SHA-512" hashValue="rqqLaht0fne0UGVCbGdqUniCIwCjAhjRydqXEYO5uWU+938ab8z1mp1FHpgdnPm6qbPupd2/Qr6w4cT3eVu8Vw==" saltValue="HfTJOQhfnEfkUJGsmllQDg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249977111117893"/>
  </sheetPr>
  <dimension ref="A1:H42"/>
  <sheetViews>
    <sheetView rightToLeft="1" view="pageBreakPreview" topLeftCell="B1" zoomScaleNormal="100" zoomScaleSheetLayoutView="100" workbookViewId="0">
      <selection activeCell="B1" sqref="B1"/>
    </sheetView>
  </sheetViews>
  <sheetFormatPr defaultColWidth="10" defaultRowHeight="15.75" x14ac:dyDescent="0.25"/>
  <cols>
    <col min="1" max="1" width="2.28515625" style="328" hidden="1" customWidth="1"/>
    <col min="2" max="2" width="21.5703125" style="328" customWidth="1"/>
    <col min="3" max="3" width="20.7109375" style="328" customWidth="1"/>
    <col min="4" max="4" width="40" style="328" customWidth="1"/>
    <col min="5" max="7" width="16.28515625" style="328" customWidth="1"/>
    <col min="8" max="8" width="22.85546875" style="556" customWidth="1"/>
    <col min="9" max="10" width="10" style="328"/>
    <col min="11" max="11" width="31.85546875" style="328" customWidth="1"/>
    <col min="12" max="16384" width="10" style="328"/>
  </cols>
  <sheetData>
    <row r="1" spans="1:8" ht="16.5" thickBot="1" x14ac:dyDescent="0.3">
      <c r="H1" s="328"/>
    </row>
    <row r="2" spans="1:8" ht="30.75" customHeight="1" thickBot="1" x14ac:dyDescent="0.3">
      <c r="B2" s="653" t="s">
        <v>446</v>
      </c>
      <c r="C2" s="654"/>
      <c r="D2" s="654"/>
      <c r="E2" s="654"/>
      <c r="F2" s="654"/>
      <c r="G2" s="654"/>
      <c r="H2" s="655"/>
    </row>
    <row r="3" spans="1:8" ht="15.75" customHeight="1" x14ac:dyDescent="0.25">
      <c r="H3" s="328"/>
    </row>
    <row r="4" spans="1:8" ht="15.75" customHeight="1" x14ac:dyDescent="0.3">
      <c r="B4" s="539" t="s">
        <v>447</v>
      </c>
      <c r="C4" s="540"/>
      <c r="D4" s="541"/>
      <c r="E4" s="541"/>
      <c r="F4" s="541"/>
      <c r="G4" s="541"/>
      <c r="H4" s="541"/>
    </row>
    <row r="5" spans="1:8" ht="14.25" customHeight="1" x14ac:dyDescent="0.3">
      <c r="B5" s="539" t="s">
        <v>448</v>
      </c>
      <c r="C5" s="540">
        <v>44602</v>
      </c>
      <c r="D5" s="541"/>
      <c r="E5" s="541"/>
      <c r="F5" s="541"/>
      <c r="G5" s="541"/>
      <c r="H5" s="541"/>
    </row>
    <row r="6" spans="1:8" ht="15.75" customHeight="1" thickBot="1" x14ac:dyDescent="0.35">
      <c r="A6" s="541"/>
      <c r="B6" s="541"/>
      <c r="C6" s="541"/>
      <c r="D6" s="541"/>
      <c r="E6" s="541"/>
      <c r="F6" s="541"/>
      <c r="G6" s="541"/>
      <c r="H6" s="541"/>
    </row>
    <row r="7" spans="1:8" ht="31.5" customHeight="1" thickBot="1" x14ac:dyDescent="0.3">
      <c r="B7" s="656" t="s">
        <v>449</v>
      </c>
      <c r="C7" s="657"/>
      <c r="D7" s="657"/>
      <c r="E7" s="657"/>
      <c r="F7" s="657"/>
      <c r="G7" s="657"/>
      <c r="H7" s="658"/>
    </row>
    <row r="8" spans="1:8" ht="15.75" customHeight="1" x14ac:dyDescent="0.25">
      <c r="H8" s="328"/>
    </row>
    <row r="9" spans="1:8" ht="15.75" customHeight="1" x14ac:dyDescent="0.3">
      <c r="B9" s="542" t="s">
        <v>450</v>
      </c>
      <c r="C9" s="543"/>
      <c r="H9" s="328"/>
    </row>
    <row r="10" spans="1:8" ht="15.75" customHeight="1" x14ac:dyDescent="0.25">
      <c r="H10" s="328"/>
    </row>
    <row r="11" spans="1:8" ht="23.25" customHeight="1" x14ac:dyDescent="0.35">
      <c r="B11" s="659" t="s">
        <v>451</v>
      </c>
      <c r="C11" s="659"/>
      <c r="D11" s="659"/>
      <c r="E11" s="659"/>
      <c r="F11" s="659"/>
      <c r="G11" s="659"/>
      <c r="H11" s="659"/>
    </row>
    <row r="12" spans="1:8" ht="18" customHeight="1" x14ac:dyDescent="0.3">
      <c r="B12" s="544" t="s">
        <v>452</v>
      </c>
      <c r="C12" s="544" t="s">
        <v>453</v>
      </c>
      <c r="D12" s="660" t="s">
        <v>454</v>
      </c>
      <c r="E12" s="661"/>
      <c r="F12" s="661"/>
      <c r="G12" s="661"/>
      <c r="H12" s="662"/>
    </row>
    <row r="13" spans="1:8" ht="27.75" customHeight="1" x14ac:dyDescent="0.25">
      <c r="B13" s="545" t="s">
        <v>455</v>
      </c>
      <c r="C13" s="546" t="s">
        <v>456</v>
      </c>
      <c r="D13" s="663" t="s">
        <v>457</v>
      </c>
      <c r="E13" s="664"/>
      <c r="F13" s="664"/>
      <c r="G13" s="664"/>
      <c r="H13" s="665"/>
    </row>
    <row r="14" spans="1:8" ht="15" customHeight="1" x14ac:dyDescent="0.25">
      <c r="B14" s="547" t="s">
        <v>458</v>
      </c>
      <c r="C14" s="546" t="s">
        <v>459</v>
      </c>
      <c r="D14" s="639" t="s">
        <v>460</v>
      </c>
      <c r="E14" s="640"/>
      <c r="F14" s="640"/>
      <c r="G14" s="640"/>
      <c r="H14" s="641"/>
    </row>
    <row r="15" spans="1:8" ht="15" customHeight="1" x14ac:dyDescent="0.25">
      <c r="B15" s="548" t="s">
        <v>461</v>
      </c>
      <c r="C15" s="546" t="s">
        <v>462</v>
      </c>
      <c r="D15" s="639" t="s">
        <v>463</v>
      </c>
      <c r="E15" s="640"/>
      <c r="F15" s="640"/>
      <c r="G15" s="640"/>
      <c r="H15" s="641"/>
    </row>
    <row r="16" spans="1:8" x14ac:dyDescent="0.25">
      <c r="B16" s="549"/>
      <c r="C16" s="549"/>
      <c r="D16" s="550"/>
      <c r="E16" s="550"/>
      <c r="F16" s="550"/>
      <c r="G16" s="550"/>
      <c r="H16" s="550"/>
    </row>
    <row r="17" spans="2:8" ht="15" customHeight="1" x14ac:dyDescent="0.25">
      <c r="B17" s="642" t="s">
        <v>464</v>
      </c>
      <c r="C17" s="642"/>
      <c r="D17" s="642"/>
      <c r="E17" s="642"/>
      <c r="F17" s="642"/>
      <c r="G17" s="642"/>
      <c r="H17" s="642"/>
    </row>
    <row r="18" spans="2:8" ht="63" customHeight="1" x14ac:dyDescent="0.25">
      <c r="B18" s="643"/>
      <c r="C18" s="643"/>
      <c r="D18" s="643"/>
      <c r="E18" s="643"/>
      <c r="F18" s="643"/>
      <c r="G18" s="643"/>
      <c r="H18" s="643"/>
    </row>
    <row r="19" spans="2:8" ht="23.25" x14ac:dyDescent="0.25">
      <c r="B19" s="551"/>
      <c r="C19" s="551"/>
      <c r="D19" s="551"/>
      <c r="E19" s="551"/>
      <c r="F19" s="551"/>
      <c r="G19" s="551"/>
      <c r="H19" s="551"/>
    </row>
    <row r="20" spans="2:8" ht="23.25" x14ac:dyDescent="0.25">
      <c r="B20" s="551"/>
      <c r="C20" s="551"/>
      <c r="D20" s="551"/>
      <c r="E20" s="551"/>
      <c r="F20" s="551"/>
      <c r="G20" s="551"/>
      <c r="H20" s="551"/>
    </row>
    <row r="21" spans="2:8" ht="23.25" x14ac:dyDescent="0.25">
      <c r="B21" s="551"/>
      <c r="C21" s="551"/>
      <c r="D21" s="551"/>
      <c r="E21" s="551"/>
      <c r="F21" s="551"/>
      <c r="G21" s="551"/>
      <c r="H21" s="551"/>
    </row>
    <row r="22" spans="2:8" ht="23.25" x14ac:dyDescent="0.25">
      <c r="B22" s="551"/>
      <c r="C22" s="551"/>
      <c r="D22" s="551"/>
      <c r="E22" s="551"/>
      <c r="F22" s="551"/>
      <c r="G22" s="551"/>
      <c r="H22" s="551"/>
    </row>
    <row r="23" spans="2:8" ht="23.25" x14ac:dyDescent="0.25">
      <c r="B23" s="551"/>
      <c r="C23" s="551"/>
      <c r="D23" s="551"/>
      <c r="E23" s="551"/>
      <c r="F23" s="551"/>
      <c r="G23" s="551"/>
      <c r="H23" s="551"/>
    </row>
    <row r="24" spans="2:8" ht="23.25" x14ac:dyDescent="0.25">
      <c r="B24" s="551"/>
      <c r="C24" s="551"/>
      <c r="D24" s="551"/>
      <c r="E24" s="551"/>
      <c r="F24" s="551"/>
      <c r="G24" s="551"/>
      <c r="H24" s="551"/>
    </row>
    <row r="25" spans="2:8" ht="23.25" x14ac:dyDescent="0.25">
      <c r="B25" s="551"/>
      <c r="C25" s="551"/>
      <c r="D25" s="551"/>
      <c r="E25" s="551"/>
      <c r="F25" s="551"/>
      <c r="G25" s="551"/>
      <c r="H25" s="551"/>
    </row>
    <row r="26" spans="2:8" ht="23.25" x14ac:dyDescent="0.25">
      <c r="B26" s="551"/>
      <c r="C26" s="551"/>
      <c r="D26" s="551"/>
      <c r="E26" s="551"/>
      <c r="F26" s="551"/>
      <c r="G26" s="551"/>
      <c r="H26" s="551"/>
    </row>
    <row r="27" spans="2:8" ht="23.25" x14ac:dyDescent="0.25">
      <c r="B27" s="551"/>
      <c r="C27" s="551"/>
      <c r="D27" s="551"/>
      <c r="E27" s="551"/>
      <c r="F27" s="551"/>
      <c r="G27" s="551"/>
      <c r="H27" s="551"/>
    </row>
    <row r="28" spans="2:8" ht="23.25" x14ac:dyDescent="0.25">
      <c r="B28" s="551"/>
      <c r="C28" s="551"/>
      <c r="D28" s="551"/>
      <c r="E28" s="551"/>
      <c r="F28" s="551"/>
      <c r="G28" s="551"/>
      <c r="H28" s="551"/>
    </row>
    <row r="29" spans="2:8" ht="23.25" x14ac:dyDescent="0.25">
      <c r="B29" s="551"/>
      <c r="C29" s="551"/>
      <c r="D29" s="551"/>
      <c r="E29" s="551"/>
      <c r="F29" s="551"/>
      <c r="G29" s="551"/>
      <c r="H29" s="551"/>
    </row>
    <row r="30" spans="2:8" ht="23.25" x14ac:dyDescent="0.25">
      <c r="B30" s="551"/>
      <c r="C30" s="551"/>
      <c r="D30" s="551"/>
      <c r="E30" s="551"/>
      <c r="F30" s="551"/>
      <c r="G30" s="551"/>
      <c r="H30" s="551"/>
    </row>
    <row r="31" spans="2:8" ht="23.25" x14ac:dyDescent="0.25">
      <c r="B31" s="551"/>
      <c r="C31" s="551"/>
      <c r="D31" s="551"/>
      <c r="E31" s="551"/>
      <c r="F31" s="551"/>
      <c r="G31" s="551"/>
      <c r="H31" s="551"/>
    </row>
    <row r="32" spans="2:8" ht="23.25" x14ac:dyDescent="0.25">
      <c r="B32" s="551"/>
      <c r="C32" s="551"/>
      <c r="D32" s="551"/>
      <c r="E32" s="551"/>
      <c r="F32" s="551"/>
      <c r="G32" s="551"/>
      <c r="H32" s="551"/>
    </row>
    <row r="33" spans="2:8" ht="18" hidden="1" customHeight="1" x14ac:dyDescent="0.25">
      <c r="B33" s="644" t="s">
        <v>465</v>
      </c>
      <c r="C33" s="645"/>
      <c r="D33" s="645"/>
      <c r="E33" s="645"/>
      <c r="F33" s="645"/>
      <c r="G33" s="645"/>
      <c r="H33" s="646"/>
    </row>
    <row r="34" spans="2:8" ht="15.75" hidden="1" customHeight="1" x14ac:dyDescent="0.25">
      <c r="B34" s="552" t="s">
        <v>466</v>
      </c>
      <c r="C34" s="552" t="s">
        <v>467</v>
      </c>
      <c r="D34" s="552" t="s">
        <v>468</v>
      </c>
      <c r="E34" s="647" t="s">
        <v>469</v>
      </c>
      <c r="F34" s="648"/>
      <c r="G34" s="648"/>
      <c r="H34" s="649"/>
    </row>
    <row r="35" spans="2:8" ht="49.5" hidden="1" customHeight="1" x14ac:dyDescent="0.25">
      <c r="B35" s="553"/>
      <c r="C35" s="554">
        <v>43103</v>
      </c>
      <c r="D35" s="554"/>
      <c r="E35" s="650" t="s">
        <v>470</v>
      </c>
      <c r="F35" s="651"/>
      <c r="G35" s="651"/>
      <c r="H35" s="652"/>
    </row>
    <row r="36" spans="2:8" x14ac:dyDescent="0.25">
      <c r="C36" s="555"/>
      <c r="H36" s="328"/>
    </row>
    <row r="37" spans="2:8" x14ac:dyDescent="0.25">
      <c r="H37" s="328"/>
    </row>
    <row r="38" spans="2:8" x14ac:dyDescent="0.25">
      <c r="H38" s="328"/>
    </row>
    <row r="39" spans="2:8" x14ac:dyDescent="0.25">
      <c r="H39" s="328"/>
    </row>
    <row r="40" spans="2:8" x14ac:dyDescent="0.25">
      <c r="H40" s="328"/>
    </row>
    <row r="41" spans="2:8" x14ac:dyDescent="0.25">
      <c r="H41" s="328"/>
    </row>
    <row r="42" spans="2:8" x14ac:dyDescent="0.25">
      <c r="H42" s="328"/>
    </row>
  </sheetData>
  <sheetProtection algorithmName="SHA-512" hashValue="hF508QyK4n59xe4KMyApr1R8m97KPPwivKLqnx+cyMU8HWd/qFh3/4s6AKgFt6Bfy5KaMxlxeXt15lgvMdgkXA==" saltValue="Z9t5SVLEwydM4sgDcnxhRQ==" spinCount="100000" sheet="1" scenarios="1" formatColumns="0" formatRows="0" autoFilter="0"/>
  <mergeCells count="11">
    <mergeCell ref="D14:H14"/>
    <mergeCell ref="B2:H2"/>
    <mergeCell ref="B7:H7"/>
    <mergeCell ref="B11:H11"/>
    <mergeCell ref="D12:H12"/>
    <mergeCell ref="D13:H13"/>
    <mergeCell ref="D15:H15"/>
    <mergeCell ref="B17:H18"/>
    <mergeCell ref="B33:H33"/>
    <mergeCell ref="E34:H34"/>
    <mergeCell ref="E35:H35"/>
  </mergeCells>
  <printOptions horizontalCentered="1"/>
  <pageMargins left="0.51181102362204722" right="0.51181102362204722" top="0.74803149606299213" bottom="0.74803149606299213" header="0.31496062992125984" footer="0.31496062992125984"/>
  <pageSetup paperSize="9" scale="49" fitToHeight="2" orientation="portrait" r:id="rId1"/>
  <headerFooter>
    <oddHeader>&amp;C&amp;Uמבחנים לתמיכה של משרד התרבות והספורט</oddHeader>
    <oddFooter>&amp;Lא. חפץ ושות'
יעוץ כלכלי&amp;C&amp;P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Worksheet______1">
    <tabColor theme="2" tint="-0.499984740745262"/>
    <pageSetUpPr fitToPage="1"/>
  </sheetPr>
  <dimension ref="A1:Q112"/>
  <sheetViews>
    <sheetView rightToLeft="1" view="pageBreakPreview" zoomScale="70" zoomScaleNormal="70" zoomScaleSheetLayoutView="70" workbookViewId="0"/>
  </sheetViews>
  <sheetFormatPr defaultColWidth="9.140625" defaultRowHeight="12.75" x14ac:dyDescent="0.2"/>
  <cols>
    <col min="1" max="1" width="2.140625" style="1" customWidth="1"/>
    <col min="2" max="2" width="35.28515625" style="1" bestFit="1" customWidth="1"/>
    <col min="3" max="3" width="23.42578125" style="1" customWidth="1"/>
    <col min="4" max="4" width="33.7109375" style="1" customWidth="1"/>
    <col min="5" max="5" width="25.42578125" style="1" customWidth="1"/>
    <col min="6" max="6" width="37.42578125" style="1" bestFit="1" customWidth="1"/>
    <col min="7" max="7" width="21.85546875" style="1" customWidth="1"/>
    <col min="8" max="8" width="23.140625" style="1" bestFit="1" customWidth="1"/>
    <col min="9" max="9" width="38.42578125" style="1" customWidth="1"/>
    <col min="10" max="10" width="20.85546875" style="1" customWidth="1"/>
    <col min="11" max="12" width="20.7109375" style="1" customWidth="1"/>
    <col min="13" max="13" width="6" style="1" customWidth="1"/>
    <col min="14" max="14" width="12.7109375" style="1" customWidth="1"/>
    <col min="15" max="15" width="13.140625" style="1" customWidth="1"/>
    <col min="16" max="16" width="15.7109375" style="1" customWidth="1"/>
    <col min="17" max="17" width="15.140625" style="1" customWidth="1"/>
    <col min="18" max="18" width="19.85546875" style="1" bestFit="1" customWidth="1"/>
    <col min="19" max="16384" width="9.140625" style="1"/>
  </cols>
  <sheetData>
    <row r="1" spans="2:17" ht="18.75" x14ac:dyDescent="0.2">
      <c r="C1" s="708" t="s">
        <v>4</v>
      </c>
      <c r="D1" s="709"/>
      <c r="E1" s="252">
        <v>2025</v>
      </c>
    </row>
    <row r="2" spans="2:17" ht="18.75" x14ac:dyDescent="0.2">
      <c r="C2" s="710" t="s">
        <v>5</v>
      </c>
      <c r="D2" s="711"/>
      <c r="E2" s="2">
        <v>8082764</v>
      </c>
    </row>
    <row r="3" spans="2:17" ht="19.5" hidden="1" thickBot="1" x14ac:dyDescent="0.25">
      <c r="B3" s="32"/>
      <c r="C3" s="712"/>
      <c r="D3" s="713"/>
      <c r="E3" s="78"/>
    </row>
    <row r="4" spans="2:17" ht="19.5" thickBot="1" x14ac:dyDescent="0.25">
      <c r="B4" s="32"/>
      <c r="C4" s="32"/>
      <c r="D4" s="32"/>
      <c r="E4" s="79"/>
    </row>
    <row r="5" spans="2:17" ht="19.5" thickBot="1" x14ac:dyDescent="0.35">
      <c r="B5" s="714" t="s">
        <v>6</v>
      </c>
      <c r="C5" s="715"/>
      <c r="F5" s="703" t="s">
        <v>435</v>
      </c>
      <c r="G5" s="704"/>
      <c r="H5" s="705"/>
    </row>
    <row r="6" spans="2:17" ht="16.5" thickBot="1" x14ac:dyDescent="0.25">
      <c r="B6" s="716" t="s">
        <v>7</v>
      </c>
      <c r="C6" s="717"/>
      <c r="F6" s="514" t="s">
        <v>436</v>
      </c>
      <c r="G6" s="514" t="s">
        <v>437</v>
      </c>
      <c r="H6" s="515" t="s">
        <v>438</v>
      </c>
    </row>
    <row r="7" spans="2:17" ht="15.75" x14ac:dyDescent="0.25">
      <c r="B7" s="3" t="s">
        <v>8</v>
      </c>
      <c r="C7" s="3" t="s">
        <v>7</v>
      </c>
      <c r="F7" s="516" t="s">
        <v>441</v>
      </c>
      <c r="G7" s="517">
        <f>DATE($E$1,1,1)</f>
        <v>45658</v>
      </c>
      <c r="H7" s="518">
        <f>DATE($E$1,12,31)</f>
        <v>46022</v>
      </c>
    </row>
    <row r="8" spans="2:17" ht="15.75" x14ac:dyDescent="0.25">
      <c r="B8" s="389" t="s">
        <v>9</v>
      </c>
      <c r="C8" s="482">
        <v>0.33</v>
      </c>
      <c r="F8" s="519" t="s">
        <v>439</v>
      </c>
      <c r="G8" s="520">
        <f>DATE($E$1-3,10,1)</f>
        <v>44835</v>
      </c>
      <c r="H8" s="521">
        <f>DATE($E$1-2,9,30)</f>
        <v>45199</v>
      </c>
    </row>
    <row r="9" spans="2:17" ht="16.5" thickBot="1" x14ac:dyDescent="0.3">
      <c r="B9" s="389" t="s">
        <v>10</v>
      </c>
      <c r="C9" s="482">
        <v>0.66</v>
      </c>
      <c r="F9" s="522" t="s">
        <v>440</v>
      </c>
      <c r="G9" s="523">
        <f>DATE($E$1-3,1,1)</f>
        <v>44562</v>
      </c>
      <c r="H9" s="524">
        <f>DATE($E$1-3,12,31)</f>
        <v>44926</v>
      </c>
    </row>
    <row r="10" spans="2:17" ht="16.5" thickBot="1" x14ac:dyDescent="0.3">
      <c r="B10" s="389" t="s">
        <v>11</v>
      </c>
      <c r="C10" s="482">
        <v>1</v>
      </c>
      <c r="F10" s="525"/>
      <c r="G10" s="526"/>
      <c r="H10" s="527"/>
    </row>
    <row r="11" spans="2:17" ht="16.5" thickBot="1" x14ac:dyDescent="0.25">
      <c r="B11" s="254"/>
      <c r="C11" s="254"/>
    </row>
    <row r="12" spans="2:17" ht="16.5" thickBot="1" x14ac:dyDescent="0.25">
      <c r="B12" s="255" t="s">
        <v>12</v>
      </c>
      <c r="C12" s="483">
        <v>1</v>
      </c>
      <c r="D12" s="302" t="s">
        <v>13</v>
      </c>
      <c r="E12" s="301">
        <v>0</v>
      </c>
    </row>
    <row r="13" spans="2:17" ht="13.5" thickBot="1" x14ac:dyDescent="0.25"/>
    <row r="14" spans="2:17" ht="20.25" thickTop="1" thickBot="1" x14ac:dyDescent="0.25">
      <c r="B14" s="666" t="s">
        <v>14</v>
      </c>
      <c r="C14" s="668"/>
      <c r="D14" s="80"/>
      <c r="J14" s="44"/>
      <c r="O14" s="677" t="s">
        <v>15</v>
      </c>
      <c r="P14" s="678"/>
      <c r="Q14" s="679"/>
    </row>
    <row r="15" spans="2:17" ht="18.600000000000001" customHeight="1" thickBot="1" x14ac:dyDescent="0.25">
      <c r="B15" s="4" t="s">
        <v>16</v>
      </c>
      <c r="C15" s="5" t="s">
        <v>17</v>
      </c>
      <c r="D15" s="80"/>
      <c r="J15" s="44"/>
      <c r="O15" s="697" t="s">
        <v>18</v>
      </c>
      <c r="P15" s="698"/>
      <c r="Q15" s="81" t="s">
        <v>17</v>
      </c>
    </row>
    <row r="16" spans="2:17" ht="33" customHeight="1" thickBot="1" x14ac:dyDescent="0.25">
      <c r="B16" s="389" t="s">
        <v>19</v>
      </c>
      <c r="C16" s="482">
        <v>1</v>
      </c>
      <c r="D16" s="80"/>
      <c r="F16" s="718" t="s">
        <v>20</v>
      </c>
      <c r="G16" s="719"/>
      <c r="J16" s="44"/>
      <c r="O16" s="683" t="s">
        <v>22</v>
      </c>
      <c r="P16" s="685"/>
      <c r="Q16" s="82">
        <v>1</v>
      </c>
    </row>
    <row r="17" spans="2:17" ht="16.5" thickBot="1" x14ac:dyDescent="0.25">
      <c r="B17" s="389" t="s">
        <v>23</v>
      </c>
      <c r="C17" s="482">
        <v>1</v>
      </c>
      <c r="D17" s="80"/>
      <c r="F17" s="6" t="s">
        <v>24</v>
      </c>
      <c r="G17" s="463" t="s">
        <v>25</v>
      </c>
      <c r="H17" s="42"/>
      <c r="I17" s="42"/>
      <c r="J17" s="44"/>
      <c r="O17" s="686" t="s">
        <v>26</v>
      </c>
      <c r="P17" s="687"/>
      <c r="Q17" s="83">
        <v>2</v>
      </c>
    </row>
    <row r="18" spans="2:17" ht="17.25" thickTop="1" thickBot="1" x14ac:dyDescent="0.25">
      <c r="D18" s="80"/>
      <c r="F18" s="236" t="s">
        <v>27</v>
      </c>
      <c r="G18" s="237">
        <v>0.3</v>
      </c>
      <c r="H18" s="42"/>
      <c r="I18" s="42"/>
      <c r="J18" s="44"/>
      <c r="K18" s="85"/>
      <c r="L18" s="85"/>
      <c r="M18" s="86"/>
      <c r="O18" s="87"/>
      <c r="Q18" s="44"/>
    </row>
    <row r="19" spans="2:17" ht="19.5" thickBot="1" x14ac:dyDescent="0.25">
      <c r="B19" s="666" t="s">
        <v>28</v>
      </c>
      <c r="C19" s="668"/>
      <c r="D19" s="80"/>
      <c r="F19" s="238" t="s">
        <v>29</v>
      </c>
      <c r="G19" s="239">
        <v>0.2</v>
      </c>
      <c r="H19" s="42"/>
      <c r="I19" s="42"/>
      <c r="J19" s="44"/>
      <c r="K19" s="85"/>
      <c r="L19" s="85"/>
      <c r="M19" s="86"/>
      <c r="O19" s="87"/>
      <c r="Q19" s="44"/>
    </row>
    <row r="20" spans="2:17" ht="16.5" thickBot="1" x14ac:dyDescent="0.25">
      <c r="B20" s="4" t="s">
        <v>30</v>
      </c>
      <c r="C20" s="5" t="s">
        <v>17</v>
      </c>
      <c r="D20" s="80"/>
      <c r="F20" s="238" t="s">
        <v>32</v>
      </c>
      <c r="G20" s="239">
        <v>0.1</v>
      </c>
      <c r="H20" s="42"/>
      <c r="I20" s="42"/>
    </row>
    <row r="21" spans="2:17" ht="20.25" thickTop="1" thickBot="1" x14ac:dyDescent="0.25">
      <c r="B21" s="389" t="s">
        <v>31</v>
      </c>
      <c r="C21" s="484">
        <v>1</v>
      </c>
      <c r="F21" s="238" t="s">
        <v>35</v>
      </c>
      <c r="G21" s="239">
        <v>0.2</v>
      </c>
      <c r="O21" s="694" t="s">
        <v>34</v>
      </c>
      <c r="P21" s="695"/>
      <c r="Q21" s="696"/>
    </row>
    <row r="22" spans="2:17" ht="17.25" thickTop="1" thickBot="1" x14ac:dyDescent="0.25">
      <c r="F22" s="240" t="s">
        <v>38</v>
      </c>
      <c r="G22" s="241">
        <v>0.2</v>
      </c>
      <c r="J22" s="88"/>
      <c r="O22" s="677" t="s">
        <v>15</v>
      </c>
      <c r="P22" s="678"/>
      <c r="Q22" s="679"/>
    </row>
    <row r="23" spans="2:17" ht="18.600000000000001" customHeight="1" thickBot="1" x14ac:dyDescent="0.25">
      <c r="F23" s="234" t="s">
        <v>41</v>
      </c>
      <c r="G23" s="235">
        <f>SUM(G18:G22)</f>
        <v>1</v>
      </c>
      <c r="O23" s="697" t="s">
        <v>18</v>
      </c>
      <c r="P23" s="698"/>
      <c r="Q23" s="81" t="s">
        <v>17</v>
      </c>
    </row>
    <row r="24" spans="2:17" x14ac:dyDescent="0.2">
      <c r="O24" s="683" t="s">
        <v>37</v>
      </c>
      <c r="P24" s="685"/>
      <c r="Q24" s="82">
        <v>1</v>
      </c>
    </row>
    <row r="25" spans="2:17" ht="13.5" hidden="1" thickBot="1" x14ac:dyDescent="0.25">
      <c r="K25" s="686" t="s">
        <v>39</v>
      </c>
      <c r="L25" s="687"/>
      <c r="M25" s="83">
        <v>2</v>
      </c>
      <c r="O25" s="686" t="s">
        <v>40</v>
      </c>
      <c r="P25" s="687"/>
      <c r="Q25" s="83">
        <v>2</v>
      </c>
    </row>
    <row r="26" spans="2:17" ht="13.5" hidden="1" thickTop="1" x14ac:dyDescent="0.2"/>
    <row r="27" spans="2:17" hidden="1" x14ac:dyDescent="0.2"/>
    <row r="28" spans="2:17" ht="19.5" hidden="1" customHeight="1" x14ac:dyDescent="0.2"/>
    <row r="29" spans="2:17" ht="19.5" hidden="1" thickBot="1" x14ac:dyDescent="0.25">
      <c r="B29" s="666"/>
      <c r="C29" s="667"/>
      <c r="D29" s="668"/>
    </row>
    <row r="30" spans="2:17" ht="19.5" hidden="1" thickBot="1" x14ac:dyDescent="0.25">
      <c r="B30" s="718"/>
      <c r="C30" s="719"/>
      <c r="D30" s="723"/>
    </row>
    <row r="31" spans="2:17" ht="16.5" hidden="1" thickBot="1" x14ac:dyDescent="0.25">
      <c r="B31" s="4"/>
      <c r="C31" s="4"/>
      <c r="D31" s="724"/>
    </row>
    <row r="32" spans="2:17" ht="15.75" hidden="1" x14ac:dyDescent="0.2">
      <c r="B32" s="391"/>
      <c r="C32" s="391"/>
      <c r="D32" s="485"/>
    </row>
    <row r="33" spans="2:17" ht="15.75" hidden="1" x14ac:dyDescent="0.2">
      <c r="B33" s="391"/>
      <c r="C33" s="391"/>
      <c r="D33" s="485"/>
    </row>
    <row r="34" spans="2:17" ht="15.75" hidden="1" x14ac:dyDescent="0.2">
      <c r="B34" s="391"/>
      <c r="C34" s="391"/>
      <c r="D34" s="485"/>
    </row>
    <row r="35" spans="2:17" ht="15.75" hidden="1" x14ac:dyDescent="0.2">
      <c r="B35" s="391"/>
      <c r="C35" s="391"/>
      <c r="D35" s="485"/>
    </row>
    <row r="36" spans="2:17" ht="15.75" hidden="1" x14ac:dyDescent="0.2">
      <c r="B36" s="391"/>
      <c r="C36" s="391"/>
      <c r="D36" s="485"/>
    </row>
    <row r="37" spans="2:17" ht="15.75" hidden="1" x14ac:dyDescent="0.2">
      <c r="B37" s="391"/>
      <c r="C37" s="391"/>
      <c r="D37" s="485"/>
    </row>
    <row r="38" spans="2:17" ht="13.5" thickBot="1" x14ac:dyDescent="0.25"/>
    <row r="39" spans="2:17" ht="19.5" customHeight="1" thickBot="1" x14ac:dyDescent="0.25">
      <c r="B39" s="666" t="s">
        <v>42</v>
      </c>
      <c r="C39" s="667"/>
      <c r="D39" s="668"/>
    </row>
    <row r="40" spans="2:17" ht="20.25" thickTop="1" thickBot="1" x14ac:dyDescent="0.3">
      <c r="B40" s="672" t="s">
        <v>43</v>
      </c>
      <c r="C40" s="673"/>
      <c r="D40" s="674"/>
      <c r="O40" s="680" t="s">
        <v>15</v>
      </c>
      <c r="P40" s="681"/>
      <c r="Q40" s="682"/>
    </row>
    <row r="41" spans="2:17" ht="16.5" thickBot="1" x14ac:dyDescent="0.25">
      <c r="B41" s="4" t="s">
        <v>44</v>
      </c>
      <c r="C41" s="65" t="s">
        <v>45</v>
      </c>
      <c r="D41" s="5" t="s">
        <v>46</v>
      </c>
      <c r="O41" s="697" t="s">
        <v>18</v>
      </c>
      <c r="P41" s="698"/>
      <c r="Q41" s="81" t="s">
        <v>17</v>
      </c>
    </row>
    <row r="42" spans="2:17" ht="15.75" x14ac:dyDescent="0.2">
      <c r="B42" s="69" t="s">
        <v>394</v>
      </c>
      <c r="C42" s="486" t="s">
        <v>398</v>
      </c>
      <c r="D42" s="486">
        <v>0</v>
      </c>
      <c r="O42" s="699" t="s">
        <v>21</v>
      </c>
      <c r="P42" s="700"/>
      <c r="Q42" s="692">
        <v>1</v>
      </c>
    </row>
    <row r="43" spans="2:17" ht="16.5" thickBot="1" x14ac:dyDescent="0.25">
      <c r="B43" s="68" t="s">
        <v>395</v>
      </c>
      <c r="C43" s="487" t="s">
        <v>399</v>
      </c>
      <c r="D43" s="487">
        <v>0.5</v>
      </c>
      <c r="O43" s="701"/>
      <c r="P43" s="702"/>
      <c r="Q43" s="693"/>
    </row>
    <row r="44" spans="2:17" ht="16.5" thickTop="1" x14ac:dyDescent="0.2">
      <c r="B44" s="68" t="s">
        <v>396</v>
      </c>
      <c r="C44" s="487" t="s">
        <v>400</v>
      </c>
      <c r="D44" s="487">
        <v>1</v>
      </c>
    </row>
    <row r="45" spans="2:17" ht="16.5" thickBot="1" x14ac:dyDescent="0.25">
      <c r="B45" s="67" t="s">
        <v>397</v>
      </c>
      <c r="C45" s="487" t="s">
        <v>401</v>
      </c>
      <c r="D45" s="487">
        <v>1.5</v>
      </c>
    </row>
    <row r="46" spans="2:17" ht="20.25" thickTop="1" thickBot="1" x14ac:dyDescent="0.25">
      <c r="O46" s="694" t="s">
        <v>33</v>
      </c>
      <c r="P46" s="695"/>
      <c r="Q46" s="696"/>
    </row>
    <row r="47" spans="2:17" ht="17.25" hidden="1" customHeight="1" thickTop="1" thickBot="1" x14ac:dyDescent="0.25">
      <c r="O47" s="677"/>
      <c r="P47" s="678"/>
      <c r="Q47" s="679"/>
    </row>
    <row r="48" spans="2:17" ht="17.25" hidden="1" customHeight="1" thickTop="1" thickBot="1" x14ac:dyDescent="0.25">
      <c r="O48" s="690"/>
      <c r="P48" s="691"/>
      <c r="Q48" s="81"/>
    </row>
    <row r="49" spans="2:17" ht="13.5" hidden="1" customHeight="1" thickTop="1" x14ac:dyDescent="0.2">
      <c r="O49" s="683"/>
      <c r="P49" s="684"/>
      <c r="Q49" s="82"/>
    </row>
    <row r="50" spans="2:17" hidden="1" x14ac:dyDescent="0.2"/>
    <row r="51" spans="2:17" hidden="1" x14ac:dyDescent="0.2"/>
    <row r="52" spans="2:17" hidden="1" x14ac:dyDescent="0.2"/>
    <row r="53" spans="2:17" hidden="1" x14ac:dyDescent="0.2"/>
    <row r="54" spans="2:17" hidden="1" x14ac:dyDescent="0.2"/>
    <row r="55" spans="2:17" ht="17.25" thickTop="1" thickBot="1" x14ac:dyDescent="0.25">
      <c r="O55" s="677" t="s">
        <v>15</v>
      </c>
      <c r="P55" s="678"/>
      <c r="Q55" s="679"/>
    </row>
    <row r="56" spans="2:17" ht="19.5" thickBot="1" x14ac:dyDescent="0.25">
      <c r="B56" s="666" t="s">
        <v>47</v>
      </c>
      <c r="C56" s="668"/>
      <c r="O56" s="690" t="s">
        <v>18</v>
      </c>
      <c r="P56" s="691"/>
      <c r="Q56" s="81" t="s">
        <v>17</v>
      </c>
    </row>
    <row r="57" spans="2:17" ht="16.5" thickBot="1" x14ac:dyDescent="0.25">
      <c r="B57" s="4" t="s">
        <v>30</v>
      </c>
      <c r="C57" s="5" t="s">
        <v>17</v>
      </c>
      <c r="O57" s="683" t="s">
        <v>36</v>
      </c>
      <c r="P57" s="684"/>
      <c r="Q57" s="82">
        <v>1</v>
      </c>
    </row>
    <row r="58" spans="2:17" ht="15.75" x14ac:dyDescent="0.2">
      <c r="B58" s="390" t="s">
        <v>48</v>
      </c>
      <c r="C58" s="484">
        <v>1.5</v>
      </c>
    </row>
    <row r="59" spans="2:17" ht="15.75" x14ac:dyDescent="0.2">
      <c r="B59" s="390" t="s">
        <v>49</v>
      </c>
      <c r="C59" s="484">
        <v>1</v>
      </c>
    </row>
    <row r="61" spans="2:17" ht="36.6" hidden="1" customHeight="1" x14ac:dyDescent="0.2"/>
    <row r="62" spans="2:17" ht="31.5" hidden="1" customHeight="1" x14ac:dyDescent="0.2"/>
    <row r="63" spans="2:17" hidden="1" x14ac:dyDescent="0.2"/>
    <row r="64" spans="2:17" hidden="1" x14ac:dyDescent="0.2"/>
    <row r="65" spans="2:5" ht="24.75" customHeight="1" thickBot="1" x14ac:dyDescent="0.25"/>
    <row r="66" spans="2:5" ht="36.6" customHeight="1" thickBot="1" x14ac:dyDescent="0.25">
      <c r="B66" s="666" t="s">
        <v>50</v>
      </c>
      <c r="C66" s="667"/>
      <c r="D66" s="667"/>
      <c r="E66" s="668"/>
    </row>
    <row r="67" spans="2:5" ht="36.6" customHeight="1" thickBot="1" x14ac:dyDescent="0.25">
      <c r="B67" s="666" t="s">
        <v>51</v>
      </c>
      <c r="C67" s="667"/>
      <c r="D67" s="666" t="s">
        <v>9</v>
      </c>
      <c r="E67" s="668"/>
    </row>
    <row r="68" spans="2:5" ht="31.5" customHeight="1" x14ac:dyDescent="0.2">
      <c r="B68" s="688" t="s">
        <v>416</v>
      </c>
      <c r="C68" s="675" t="s">
        <v>17</v>
      </c>
      <c r="D68" s="688" t="s">
        <v>417</v>
      </c>
      <c r="E68" s="675" t="s">
        <v>17</v>
      </c>
    </row>
    <row r="69" spans="2:5" ht="15" customHeight="1" x14ac:dyDescent="0.2">
      <c r="B69" s="689"/>
      <c r="C69" s="676"/>
      <c r="D69" s="689"/>
      <c r="E69" s="676"/>
    </row>
    <row r="70" spans="2:5" ht="15.75" x14ac:dyDescent="0.2">
      <c r="B70" s="493">
        <f>IF($E$1&lt;2024,'הוראת שעה'!A27,'הוראת שעה'!E27)</f>
        <v>5</v>
      </c>
      <c r="C70" s="505">
        <f>IF($E$1&lt;2024,'הוראת שעה'!B27,'הוראת שעה'!F27)</f>
        <v>8</v>
      </c>
      <c r="D70" s="493">
        <f>IF($E$1&lt;2024,'הוראת שעה'!C27,'הוראת שעה'!G27)</f>
        <v>5</v>
      </c>
      <c r="E70" s="505">
        <f>IF($E$1&lt;2024,'הוראת שעה'!D27,'הוראת שעה'!H27)</f>
        <v>8</v>
      </c>
    </row>
    <row r="71" spans="2:5" ht="18.75" customHeight="1" x14ac:dyDescent="0.2">
      <c r="B71" s="493">
        <f>IF($E$1&lt;2024,'הוראת שעה'!A28,'הוראת שעה'!E28)</f>
        <v>4.99</v>
      </c>
      <c r="C71" s="505">
        <f>IF($E$1&lt;2024,'הוראת שעה'!B28,'הוראת שעה'!F28)</f>
        <v>5</v>
      </c>
      <c r="D71" s="493">
        <f>IF($E$1&lt;2024,'הוראת שעה'!C28,'הוראת שעה'!G28)</f>
        <v>4.99</v>
      </c>
      <c r="E71" s="505">
        <f>IF($E$1&lt;2024,'הוראת שעה'!D28,'הוראת שעה'!H28)</f>
        <v>5</v>
      </c>
    </row>
    <row r="72" spans="2:5" ht="18.75" customHeight="1" x14ac:dyDescent="0.2">
      <c r="B72" s="585">
        <f>IF($E$1&lt;2024,'הוראת שעה'!A29,'הוראת שעה'!E29)</f>
        <v>4</v>
      </c>
      <c r="C72" s="505">
        <f>IF($E$1&lt;2024,'הוראת שעה'!B29,'הוראת שעה'!F29)</f>
        <v>3</v>
      </c>
      <c r="D72" s="585">
        <f>IF($E$1&lt;2024,'הוראת שעה'!C29,'הוראת שעה'!G29)</f>
        <v>4</v>
      </c>
      <c r="E72" s="505">
        <f>IF($E$1&lt;2024,'הוראת שעה'!D29,'הוראת שעה'!H29)</f>
        <v>3</v>
      </c>
    </row>
    <row r="73" spans="2:5" ht="18.75" customHeight="1" x14ac:dyDescent="0.2">
      <c r="B73" s="493">
        <f>IF($E$1&lt;2024,'הוראת שעה'!A30,'הוראת שעה'!E30)</f>
        <v>3.5</v>
      </c>
      <c r="C73" s="505">
        <f>IF($E$1&lt;2024,'הוראת שעה'!B30,'הוראת שעה'!F30)</f>
        <v>2</v>
      </c>
      <c r="D73" s="493">
        <f>IF($E$1&lt;2024,'הוראת שעה'!C30,'הוראת שעה'!G30)</f>
        <v>3.5</v>
      </c>
      <c r="E73" s="505">
        <f>IF($E$1&lt;2024,'הוראת שעה'!D30,'הוראת שעה'!H30)</f>
        <v>2</v>
      </c>
    </row>
    <row r="74" spans="2:5" ht="18.75" customHeight="1" x14ac:dyDescent="0.2">
      <c r="B74" s="493">
        <f>IF($E$1&lt;2024,'הוראת שעה'!A31,'הוראת שעה'!E31)</f>
        <v>2.99</v>
      </c>
      <c r="C74" s="505">
        <f>IF($E$1&lt;2024,'הוראת שעה'!B31,'הוראת שעה'!F31)</f>
        <v>0</v>
      </c>
      <c r="D74" s="493">
        <f>IF($E$1&lt;2024,'הוראת שעה'!C31,'הוראת שעה'!G31)</f>
        <v>1.99</v>
      </c>
      <c r="E74" s="505">
        <f>IF($E$1&lt;2024,'הוראת שעה'!D31,'הוראת שעה'!H31)</f>
        <v>0</v>
      </c>
    </row>
    <row r="75" spans="2:5" ht="33" customHeight="1" thickBot="1" x14ac:dyDescent="0.25"/>
    <row r="76" spans="2:5" ht="33" customHeight="1" thickBot="1" x14ac:dyDescent="0.25">
      <c r="B76" s="669" t="s">
        <v>52</v>
      </c>
      <c r="C76" s="671"/>
    </row>
    <row r="77" spans="2:5" ht="31.5" customHeight="1" thickBot="1" x14ac:dyDescent="0.25">
      <c r="B77" s="4" t="s">
        <v>30</v>
      </c>
      <c r="C77" s="5" t="s">
        <v>17</v>
      </c>
    </row>
    <row r="78" spans="2:5" ht="15.75" customHeight="1" x14ac:dyDescent="0.2">
      <c r="B78" s="392" t="s">
        <v>53</v>
      </c>
      <c r="C78" s="488">
        <v>1</v>
      </c>
    </row>
    <row r="79" spans="2:5" ht="15.75" x14ac:dyDescent="0.2">
      <c r="B79" s="392" t="s">
        <v>54</v>
      </c>
      <c r="C79" s="488">
        <v>3</v>
      </c>
    </row>
    <row r="80" spans="2:5" ht="15.75" x14ac:dyDescent="0.2">
      <c r="B80" s="392" t="s">
        <v>55</v>
      </c>
      <c r="C80" s="488">
        <v>5</v>
      </c>
    </row>
    <row r="82" spans="2:7" ht="13.5" thickBot="1" x14ac:dyDescent="0.25">
      <c r="B82" s="89"/>
      <c r="C82" s="44"/>
      <c r="E82" s="87"/>
      <c r="F82" s="87"/>
      <c r="G82" s="90"/>
    </row>
    <row r="83" spans="2:7" ht="16.5" thickBot="1" x14ac:dyDescent="0.25">
      <c r="B83" s="669" t="s">
        <v>56</v>
      </c>
      <c r="C83" s="671"/>
      <c r="E83" s="87"/>
      <c r="F83" s="87"/>
      <c r="G83" s="90"/>
    </row>
    <row r="84" spans="2:7" ht="16.5" thickBot="1" x14ac:dyDescent="0.25">
      <c r="B84" s="4" t="s">
        <v>30</v>
      </c>
      <c r="C84" s="5" t="s">
        <v>17</v>
      </c>
      <c r="E84" s="87"/>
      <c r="F84" s="87"/>
      <c r="G84" s="90"/>
    </row>
    <row r="85" spans="2:7" ht="15.75" x14ac:dyDescent="0.2">
      <c r="B85" s="392" t="s">
        <v>57</v>
      </c>
      <c r="C85" s="488">
        <v>1</v>
      </c>
      <c r="E85" s="87"/>
      <c r="F85" s="87"/>
      <c r="G85" s="90"/>
    </row>
    <row r="86" spans="2:7" ht="15.75" x14ac:dyDescent="0.2">
      <c r="B86" s="392" t="s">
        <v>58</v>
      </c>
      <c r="C86" s="488">
        <v>3</v>
      </c>
      <c r="E86" s="87"/>
      <c r="F86" s="87"/>
      <c r="G86" s="90"/>
    </row>
    <row r="87" spans="2:7" x14ac:dyDescent="0.2">
      <c r="B87" s="89"/>
      <c r="C87" s="44"/>
      <c r="E87" s="87"/>
      <c r="F87" s="87"/>
      <c r="G87" s="90"/>
    </row>
    <row r="88" spans="2:7" ht="13.5" thickBot="1" x14ac:dyDescent="0.25">
      <c r="B88" s="89"/>
      <c r="C88" s="44"/>
      <c r="E88" s="87"/>
      <c r="F88" s="87"/>
      <c r="G88" s="90"/>
    </row>
    <row r="89" spans="2:7" ht="18.75" customHeight="1" thickBot="1" x14ac:dyDescent="0.25">
      <c r="B89" s="666" t="s">
        <v>59</v>
      </c>
      <c r="C89" s="667"/>
      <c r="D89" s="667"/>
      <c r="E89" s="667"/>
      <c r="F89" s="668"/>
    </row>
    <row r="90" spans="2:7" ht="16.5" thickBot="1" x14ac:dyDescent="0.25">
      <c r="B90" s="669" t="s">
        <v>60</v>
      </c>
      <c r="C90" s="670"/>
      <c r="D90" s="671"/>
      <c r="E90" s="669" t="s">
        <v>61</v>
      </c>
      <c r="F90" s="671"/>
    </row>
    <row r="91" spans="2:7" ht="32.25" customHeight="1" thickBot="1" x14ac:dyDescent="0.25">
      <c r="B91" s="462" t="s">
        <v>62</v>
      </c>
      <c r="C91" s="462" t="s">
        <v>63</v>
      </c>
      <c r="D91" s="462" t="s">
        <v>45</v>
      </c>
      <c r="E91" s="4" t="s">
        <v>64</v>
      </c>
      <c r="F91" s="7" t="s">
        <v>65</v>
      </c>
    </row>
    <row r="92" spans="2:7" ht="15.75" x14ac:dyDescent="0.2">
      <c r="B92" s="393" t="s">
        <v>66</v>
      </c>
      <c r="C92" s="394">
        <v>0.5</v>
      </c>
      <c r="D92" s="485">
        <v>1</v>
      </c>
      <c r="E92" s="395">
        <v>2</v>
      </c>
      <c r="F92" s="484">
        <v>1</v>
      </c>
    </row>
    <row r="93" spans="2:7" ht="15.75" x14ac:dyDescent="0.2">
      <c r="B93" s="393" t="s">
        <v>67</v>
      </c>
      <c r="C93" s="394">
        <v>0.85</v>
      </c>
      <c r="D93" s="485">
        <v>0</v>
      </c>
    </row>
    <row r="94" spans="2:7" ht="15.75" x14ac:dyDescent="0.2">
      <c r="B94" s="393"/>
      <c r="C94" s="394"/>
      <c r="D94" s="485"/>
    </row>
    <row r="95" spans="2:7" ht="13.5" thickBot="1" x14ac:dyDescent="0.25"/>
    <row r="96" spans="2:7" ht="19.5" thickBot="1" x14ac:dyDescent="0.25">
      <c r="B96" s="666" t="s">
        <v>68</v>
      </c>
      <c r="C96" s="668"/>
    </row>
    <row r="97" spans="1:11" ht="16.5" thickBot="1" x14ac:dyDescent="0.25">
      <c r="B97" s="669" t="s">
        <v>69</v>
      </c>
      <c r="C97" s="671"/>
    </row>
    <row r="98" spans="1:11" ht="15.75" x14ac:dyDescent="0.2">
      <c r="B98" s="91" t="s">
        <v>70</v>
      </c>
      <c r="C98" s="91" t="s">
        <v>71</v>
      </c>
      <c r="D98" s="85"/>
    </row>
    <row r="99" spans="1:11" ht="15.75" x14ac:dyDescent="0.2">
      <c r="B99" s="419" t="str">
        <f>'הוראת שעה'!B5</f>
        <v>שיעור פיחות מירבי בתמיכה</v>
      </c>
      <c r="C99" s="250">
        <f>IF($E$1&lt;2023,'הוראת שעה'!B9,'הוראת שעה'!B10)</f>
        <v>0.2</v>
      </c>
      <c r="D99" s="85"/>
    </row>
    <row r="100" spans="1:11" ht="15.75" x14ac:dyDescent="0.2">
      <c r="B100" s="419" t="str">
        <f>'הוראת שעה'!C5</f>
        <v>שיעור תמיכה מינימלי משנה קודמת</v>
      </c>
      <c r="C100" s="250">
        <f>IF($E$1&lt;2023,'הוראת שעה'!C9,'הוראת שעה'!C10)</f>
        <v>0.8</v>
      </c>
      <c r="D100" s="85"/>
    </row>
    <row r="101" spans="1:11" hidden="1" x14ac:dyDescent="0.2">
      <c r="D101" s="85"/>
    </row>
    <row r="102" spans="1:11" ht="16.5" hidden="1" thickBot="1" x14ac:dyDescent="0.25">
      <c r="A102" s="721" t="s">
        <v>74</v>
      </c>
      <c r="B102" s="722"/>
      <c r="C102" s="84">
        <v>0.9</v>
      </c>
      <c r="D102" s="85"/>
    </row>
    <row r="103" spans="1:11" x14ac:dyDescent="0.2">
      <c r="D103" s="85"/>
    </row>
    <row r="104" spans="1:11" ht="18.75" customHeight="1" thickBot="1" x14ac:dyDescent="0.25">
      <c r="B104" s="720"/>
      <c r="C104" s="720"/>
      <c r="D104" s="720"/>
      <c r="E104" s="720"/>
      <c r="F104" s="720"/>
      <c r="G104" s="720"/>
      <c r="H104" s="720"/>
      <c r="I104" s="720"/>
      <c r="J104" s="720"/>
    </row>
    <row r="105" spans="1:11" ht="58.5" customHeight="1" thickBot="1" x14ac:dyDescent="0.25">
      <c r="B105" s="262" t="s">
        <v>46</v>
      </c>
      <c r="C105" s="262" t="s">
        <v>415</v>
      </c>
      <c r="D105" s="36" t="s">
        <v>197</v>
      </c>
      <c r="E105" s="36" t="s">
        <v>198</v>
      </c>
      <c r="F105" s="36" t="s">
        <v>199</v>
      </c>
      <c r="G105" s="36" t="s">
        <v>200</v>
      </c>
      <c r="H105" s="36" t="s">
        <v>414</v>
      </c>
      <c r="I105" s="36" t="s">
        <v>390</v>
      </c>
      <c r="J105" s="36" t="s">
        <v>392</v>
      </c>
      <c r="K105" s="529" t="s">
        <v>413</v>
      </c>
    </row>
    <row r="106" spans="1:11" ht="15.75" x14ac:dyDescent="0.2">
      <c r="B106" s="530" t="s">
        <v>9</v>
      </c>
      <c r="C106" s="271">
        <v>30</v>
      </c>
      <c r="D106" s="396">
        <v>0</v>
      </c>
      <c r="E106" s="396">
        <v>0</v>
      </c>
      <c r="F106" s="396">
        <v>0</v>
      </c>
      <c r="G106" s="396">
        <v>2</v>
      </c>
      <c r="H106" s="396">
        <v>3</v>
      </c>
      <c r="I106" s="396">
        <v>1</v>
      </c>
      <c r="J106" s="502">
        <v>1</v>
      </c>
      <c r="K106" s="531">
        <v>1</v>
      </c>
    </row>
    <row r="107" spans="1:11" ht="15.75" x14ac:dyDescent="0.2">
      <c r="B107" s="530" t="s">
        <v>10</v>
      </c>
      <c r="C107" s="271">
        <v>0</v>
      </c>
      <c r="D107" s="397" t="s">
        <v>204</v>
      </c>
      <c r="E107" s="396">
        <v>0</v>
      </c>
      <c r="F107" s="396">
        <v>2</v>
      </c>
      <c r="G107" s="396">
        <v>3</v>
      </c>
      <c r="H107" s="396">
        <v>3</v>
      </c>
      <c r="I107" s="396">
        <v>0</v>
      </c>
      <c r="J107" s="502">
        <v>0</v>
      </c>
      <c r="K107" s="531">
        <v>0</v>
      </c>
    </row>
    <row r="108" spans="1:11" ht="16.5" thickBot="1" x14ac:dyDescent="0.25">
      <c r="B108" s="107" t="s">
        <v>11</v>
      </c>
      <c r="C108" s="272">
        <v>0</v>
      </c>
      <c r="D108" s="244">
        <v>5</v>
      </c>
      <c r="E108" s="244">
        <v>3</v>
      </c>
      <c r="F108" s="244">
        <v>0</v>
      </c>
      <c r="G108" s="244">
        <v>5</v>
      </c>
      <c r="H108" s="244">
        <v>3</v>
      </c>
      <c r="I108" s="244">
        <v>0</v>
      </c>
      <c r="J108" s="537">
        <v>0</v>
      </c>
      <c r="K108" s="532">
        <v>0</v>
      </c>
    </row>
    <row r="109" spans="1:11" ht="16.5" customHeight="1" thickBot="1" x14ac:dyDescent="0.25">
      <c r="B109" s="528" t="s">
        <v>202</v>
      </c>
      <c r="C109" s="706" t="s">
        <v>203</v>
      </c>
    </row>
    <row r="110" spans="1:11" ht="37.5" customHeight="1" x14ac:dyDescent="0.2">
      <c r="B110" s="534">
        <v>0.33</v>
      </c>
      <c r="C110" s="707"/>
    </row>
    <row r="111" spans="1:11" ht="16.5" thickBot="1" x14ac:dyDescent="0.25">
      <c r="B111" s="535">
        <v>0.66</v>
      </c>
      <c r="C111" s="533">
        <v>2</v>
      </c>
    </row>
    <row r="112" spans="1:11" ht="16.5" thickBot="1" x14ac:dyDescent="0.25">
      <c r="B112" s="536">
        <v>1</v>
      </c>
    </row>
  </sheetData>
  <sheetProtection algorithmName="SHA-512" hashValue="HNYCkU+fGIxBM7jtX0bJvlyhwFZd3SWhJ8eEuvCnu8XAEYpVc1Jq86kyOH62SUL8HdNFilRRh2c2Cw/uRS2ulg==" saltValue="cZNvpcc2/F7ZH3XQ8mzYKQ==" spinCount="100000" sheet="1" scenarios="1" formatColumns="0" formatRows="0" autoFilter="0"/>
  <mergeCells count="53">
    <mergeCell ref="F5:H5"/>
    <mergeCell ref="C109:C110"/>
    <mergeCell ref="C1:D1"/>
    <mergeCell ref="C2:D2"/>
    <mergeCell ref="B14:C14"/>
    <mergeCell ref="C3:D3"/>
    <mergeCell ref="B5:C5"/>
    <mergeCell ref="B6:C6"/>
    <mergeCell ref="F16:G16"/>
    <mergeCell ref="B19:C19"/>
    <mergeCell ref="B104:J104"/>
    <mergeCell ref="A102:B102"/>
    <mergeCell ref="B29:D29"/>
    <mergeCell ref="B30:C30"/>
    <mergeCell ref="D30:D31"/>
    <mergeCell ref="B39:D39"/>
    <mergeCell ref="O56:P56"/>
    <mergeCell ref="O23:P23"/>
    <mergeCell ref="O41:P41"/>
    <mergeCell ref="O15:P15"/>
    <mergeCell ref="O42:P43"/>
    <mergeCell ref="Q42:Q43"/>
    <mergeCell ref="O16:P16"/>
    <mergeCell ref="O17:P17"/>
    <mergeCell ref="O22:Q22"/>
    <mergeCell ref="O46:Q46"/>
    <mergeCell ref="O21:Q21"/>
    <mergeCell ref="O14:Q14"/>
    <mergeCell ref="O40:Q40"/>
    <mergeCell ref="O55:Q55"/>
    <mergeCell ref="B97:C97"/>
    <mergeCell ref="O57:P57"/>
    <mergeCell ref="O24:P24"/>
    <mergeCell ref="K25:L25"/>
    <mergeCell ref="O25:P25"/>
    <mergeCell ref="D68:D69"/>
    <mergeCell ref="B66:E66"/>
    <mergeCell ref="E68:E69"/>
    <mergeCell ref="D67:E67"/>
    <mergeCell ref="B68:B69"/>
    <mergeCell ref="O47:Q47"/>
    <mergeCell ref="O48:P48"/>
    <mergeCell ref="O49:P49"/>
    <mergeCell ref="B89:F89"/>
    <mergeCell ref="B90:D90"/>
    <mergeCell ref="E90:F90"/>
    <mergeCell ref="B96:C96"/>
    <mergeCell ref="B40:D40"/>
    <mergeCell ref="B83:C83"/>
    <mergeCell ref="B56:C56"/>
    <mergeCell ref="B67:C67"/>
    <mergeCell ref="C68:C69"/>
    <mergeCell ref="B76:C76"/>
  </mergeCells>
  <conditionalFormatting sqref="B8:B12">
    <cfRule type="containsBlanks" dxfId="376" priority="8">
      <formula>LEN(TRIM(B8))=0</formula>
    </cfRule>
  </conditionalFormatting>
  <conditionalFormatting sqref="B16:B17">
    <cfRule type="containsBlanks" dxfId="375" priority="27">
      <formula>LEN(TRIM(B16))=0</formula>
    </cfRule>
  </conditionalFormatting>
  <conditionalFormatting sqref="B21">
    <cfRule type="containsBlanks" dxfId="374" priority="25">
      <formula>LEN(TRIM(B21))=0</formula>
    </cfRule>
  </conditionalFormatting>
  <conditionalFormatting sqref="B53:B54">
    <cfRule type="containsBlanks" dxfId="373" priority="15">
      <formula>LEN(TRIM(B53))=0</formula>
    </cfRule>
  </conditionalFormatting>
  <conditionalFormatting sqref="B58:B59">
    <cfRule type="containsBlanks" dxfId="372" priority="14">
      <formula>LEN(TRIM(B58))=0</formula>
    </cfRule>
  </conditionalFormatting>
  <conditionalFormatting sqref="B78:B80">
    <cfRule type="containsBlanks" dxfId="371" priority="11">
      <formula>LEN(TRIM(B78))=0</formula>
    </cfRule>
  </conditionalFormatting>
  <conditionalFormatting sqref="B85:B86">
    <cfRule type="containsBlanks" dxfId="370" priority="10">
      <formula>LEN(TRIM(B85))=0</formula>
    </cfRule>
  </conditionalFormatting>
  <conditionalFormatting sqref="B99:B100">
    <cfRule type="containsBlanks" dxfId="369" priority="3">
      <formula>LEN(TRIM(B99))=0</formula>
    </cfRule>
  </conditionalFormatting>
  <conditionalFormatting sqref="B106:B108">
    <cfRule type="containsBlanks" dxfId="368" priority="1">
      <formula>LEN(TRIM(B106))=0</formula>
    </cfRule>
  </conditionalFormatting>
  <conditionalFormatting sqref="B110:B112">
    <cfRule type="notContainsBlanks" dxfId="367" priority="2">
      <formula>LEN(TRIM(B110))&gt;0</formula>
    </cfRule>
  </conditionalFormatting>
  <conditionalFormatting sqref="B32:C37">
    <cfRule type="containsBlanks" dxfId="366" priority="24">
      <formula>LEN(TRIM(B32))=0</formula>
    </cfRule>
  </conditionalFormatting>
  <conditionalFormatting sqref="B92:C94">
    <cfRule type="containsBlanks" dxfId="365" priority="17">
      <formula>LEN(TRIM(B92))=0</formula>
    </cfRule>
  </conditionalFormatting>
  <conditionalFormatting sqref="C11">
    <cfRule type="containsBlanks" dxfId="364" priority="28">
      <formula>LEN(TRIM(C11))=0</formula>
    </cfRule>
  </conditionalFormatting>
  <conditionalFormatting sqref="D12">
    <cfRule type="containsBlanks" dxfId="363" priority="6">
      <formula>LEN(TRIM(D12))=0</formula>
    </cfRule>
  </conditionalFormatting>
  <conditionalFormatting sqref="E1:E4 F18:F22 B42:B45 B70:B74 D70:D74">
    <cfRule type="containsBlanks" dxfId="362" priority="29">
      <formula>LEN(TRIM(B1))=0</formula>
    </cfRule>
  </conditionalFormatting>
  <conditionalFormatting sqref="E92">
    <cfRule type="containsBlanks" dxfId="361" priority="18">
      <formula>LEN(TRIM(E92))=0</formula>
    </cfRule>
  </conditionalFormatting>
  <dataValidations count="1">
    <dataValidation type="whole" operator="greaterThanOrEqual" allowBlank="1" showInputMessage="1" showErrorMessage="1" error="מודל זה רלוונטי החל משנת 2019" sqref="E1" xr:uid="{00000000-0002-0000-0200-000000000000}">
      <formula1>2019</formula1>
    </dataValidation>
  </dataValidations>
  <printOptions horizontalCentered="1"/>
  <pageMargins left="0.27559055118110237" right="0.19685039370078741" top="0.62992125984251968" bottom="0.47244094488188981" header="0.31496062992125984" footer="0.23622047244094491"/>
  <pageSetup paperSize="9" scale="27" orientation="portrait" horizontalDpi="1200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2">
    <tabColor theme="4" tint="-0.249977111117893"/>
  </sheetPr>
  <dimension ref="A1:DU142"/>
  <sheetViews>
    <sheetView rightToLeft="1" view="pageBreakPreview" topLeftCell="B1" zoomScaleNormal="100" zoomScaleSheetLayoutView="100" workbookViewId="0">
      <selection activeCell="B1" sqref="B1:AQ1"/>
    </sheetView>
  </sheetViews>
  <sheetFormatPr defaultColWidth="9.140625" defaultRowHeight="15.75" x14ac:dyDescent="0.25"/>
  <cols>
    <col min="1" max="1" width="9.140625" style="341" hidden="1" customWidth="1"/>
    <col min="2" max="2" width="6.7109375" style="341" customWidth="1"/>
    <col min="3" max="5" width="10.42578125" style="341" hidden="1" customWidth="1"/>
    <col min="6" max="6" width="55.85546875" style="341" bestFit="1" customWidth="1"/>
    <col min="7" max="7" width="16.28515625" style="341" customWidth="1"/>
    <col min="8" max="8" width="23.7109375" style="341" customWidth="1"/>
    <col min="9" max="9" width="25.7109375" style="341" customWidth="1"/>
    <col min="10" max="10" width="16.42578125" style="341" customWidth="1"/>
    <col min="11" max="11" width="23.7109375" style="341" customWidth="1"/>
    <col min="12" max="12" width="15.140625" style="341" customWidth="1"/>
    <col min="13" max="13" width="23.85546875" style="341" customWidth="1"/>
    <col min="14" max="14" width="18.85546875" style="341" customWidth="1"/>
    <col min="15" max="15" width="21.85546875" style="341" customWidth="1"/>
    <col min="16" max="16" width="20.28515625" style="341" customWidth="1"/>
    <col min="17" max="17" width="18.28515625" style="341" customWidth="1"/>
    <col min="18" max="18" width="25.140625" style="341" hidden="1" customWidth="1"/>
    <col min="19" max="19" width="20.7109375" style="341" customWidth="1"/>
    <col min="20" max="20" width="18.28515625" style="341" customWidth="1"/>
    <col min="21" max="21" width="27" style="341" customWidth="1"/>
    <col min="22" max="22" width="23.42578125" style="341" customWidth="1"/>
    <col min="23" max="34" width="27" style="341" customWidth="1"/>
    <col min="35" max="35" width="19.140625" style="341" hidden="1" customWidth="1"/>
    <col min="36" max="36" width="15.42578125" style="341" hidden="1" customWidth="1"/>
    <col min="37" max="37" width="13.7109375" style="341" hidden="1" customWidth="1"/>
    <col min="38" max="38" width="17.28515625" style="341" hidden="1" customWidth="1"/>
    <col min="39" max="41" width="21.42578125" style="341" hidden="1" customWidth="1"/>
    <col min="42" max="42" width="21.42578125" style="341" customWidth="1"/>
    <col min="43" max="43" width="21" style="341" customWidth="1"/>
    <col min="44" max="46" width="9.140625" style="341" hidden="1" customWidth="1"/>
    <col min="47" max="47" width="11.85546875" style="341" hidden="1" customWidth="1"/>
    <col min="48" max="49" width="9.140625" style="341" hidden="1" customWidth="1"/>
    <col min="50" max="50" width="10.140625" style="341" hidden="1" customWidth="1"/>
    <col min="51" max="51" width="16.7109375" style="341" hidden="1" customWidth="1"/>
    <col min="52" max="52" width="8.85546875" style="341" hidden="1" customWidth="1"/>
    <col min="53" max="53" width="11.85546875" style="341" hidden="1" customWidth="1"/>
    <col min="54" max="54" width="17.7109375" style="341" hidden="1" customWidth="1"/>
    <col min="55" max="75" width="9.140625" style="341" hidden="1" customWidth="1"/>
    <col min="76" max="76" width="9.7109375" style="341" hidden="1" customWidth="1"/>
    <col min="77" max="80" width="9.140625" style="341" hidden="1" customWidth="1"/>
    <col min="81" max="81" width="10.7109375" style="341" hidden="1" customWidth="1"/>
    <col min="82" max="99" width="9.140625" style="341" hidden="1" customWidth="1"/>
    <col min="100" max="100" width="12.7109375" style="341" hidden="1" customWidth="1"/>
    <col min="101" max="101" width="9.140625" style="341" hidden="1" customWidth="1"/>
    <col min="102" max="102" width="9.42578125" style="341" hidden="1" customWidth="1"/>
    <col min="103" max="125" width="9.140625" style="341" hidden="1" customWidth="1"/>
    <col min="126" max="202" width="9.140625" style="341" customWidth="1"/>
    <col min="203" max="16384" width="9.140625" style="341"/>
  </cols>
  <sheetData>
    <row r="1" spans="2:113" ht="25.5" customHeight="1" thickBot="1" x14ac:dyDescent="0.3">
      <c r="B1" s="728" t="str">
        <f ca="1">MID(CELL("filename",AT2),FIND("]",CELL("filename",AT2),1)+1,99)</f>
        <v>תנאי סף - כלליים</v>
      </c>
      <c r="C1" s="729"/>
      <c r="D1" s="729"/>
      <c r="E1" s="729"/>
      <c r="F1" s="729"/>
      <c r="G1" s="729"/>
      <c r="H1" s="729"/>
      <c r="I1" s="729"/>
      <c r="J1" s="729"/>
      <c r="K1" s="729"/>
      <c r="L1" s="729"/>
      <c r="M1" s="729"/>
      <c r="N1" s="729"/>
      <c r="O1" s="729"/>
      <c r="P1" s="729"/>
      <c r="Q1" s="729"/>
      <c r="R1" s="729"/>
      <c r="S1" s="729"/>
      <c r="T1" s="729"/>
      <c r="U1" s="729"/>
      <c r="V1" s="729"/>
      <c r="W1" s="729"/>
      <c r="X1" s="729"/>
      <c r="Y1" s="729"/>
      <c r="Z1" s="729"/>
      <c r="AA1" s="729"/>
      <c r="AB1" s="729"/>
      <c r="AC1" s="729"/>
      <c r="AD1" s="729"/>
      <c r="AE1" s="729"/>
      <c r="AF1" s="729"/>
      <c r="AG1" s="729"/>
      <c r="AH1" s="729"/>
      <c r="AI1" s="729"/>
      <c r="AJ1" s="729"/>
      <c r="AK1" s="729"/>
      <c r="AL1" s="729"/>
      <c r="AM1" s="729"/>
      <c r="AN1" s="729"/>
      <c r="AO1" s="729"/>
      <c r="AP1" s="729"/>
      <c r="AQ1" s="729"/>
      <c r="AS1" s="341" t="s">
        <v>76</v>
      </c>
      <c r="AU1" s="342" t="s">
        <v>77</v>
      </c>
      <c r="AV1" s="343" t="s">
        <v>78</v>
      </c>
      <c r="AW1" s="343" t="s">
        <v>79</v>
      </c>
      <c r="AX1" s="343" t="s">
        <v>80</v>
      </c>
      <c r="AY1" s="343" t="s">
        <v>81</v>
      </c>
      <c r="AZ1" s="343" t="s">
        <v>82</v>
      </c>
      <c r="BA1" s="343" t="s">
        <v>83</v>
      </c>
      <c r="BB1" s="344" t="s">
        <v>84</v>
      </c>
      <c r="BC1" s="343" t="s">
        <v>85</v>
      </c>
      <c r="BD1" s="344" t="s">
        <v>86</v>
      </c>
      <c r="BE1" s="343"/>
      <c r="BF1" s="343"/>
      <c r="BG1" s="343"/>
      <c r="BH1" s="343" t="s">
        <v>418</v>
      </c>
      <c r="BI1" s="343" t="s">
        <v>419</v>
      </c>
      <c r="BJ1" s="343"/>
      <c r="BK1" s="343"/>
      <c r="BL1" s="343"/>
      <c r="BM1" s="343"/>
      <c r="BN1" s="343"/>
      <c r="BO1" s="343"/>
      <c r="BP1" s="343"/>
      <c r="BQ1" s="343"/>
      <c r="BR1" s="343"/>
      <c r="BS1" s="343"/>
      <c r="BT1" s="343"/>
      <c r="BU1" s="343"/>
      <c r="BV1" s="343"/>
      <c r="BW1" s="343"/>
      <c r="BX1" s="343"/>
      <c r="BY1" s="343"/>
      <c r="BZ1" s="343"/>
      <c r="CA1" s="343"/>
      <c r="CB1" s="343"/>
      <c r="CC1" s="343"/>
      <c r="CD1" s="343"/>
      <c r="CE1" s="343"/>
      <c r="CF1" s="344"/>
    </row>
    <row r="2" spans="2:113" ht="20.25" customHeight="1" x14ac:dyDescent="0.25">
      <c r="AP2" s="345" t="str">
        <f>פרמטרים!C1</f>
        <v>שנת התקציב</v>
      </c>
      <c r="AQ2" s="346">
        <f>פרמטרים!E1</f>
        <v>2025</v>
      </c>
      <c r="AV2" s="341">
        <f>IF(ISNA(MATCH(G31,$AS$30:$AT$30,0)),0,1)</f>
        <v>1</v>
      </c>
      <c r="AW2" s="341">
        <f>IF(IFERROR(G31*1,"bad")="bad",0,1)</f>
        <v>1</v>
      </c>
      <c r="AX2" s="341">
        <f>IF(IFERROR(IF(G31=TRUNC(G31),1,"bad"),"bad")="bad",0,1)</f>
        <v>1</v>
      </c>
      <c r="AY2" s="341">
        <f>IF(AND(IF(IFERROR(G31*1,"bad")="bad",0,1)=1,G31&gt;=0),1,0)</f>
        <v>1</v>
      </c>
      <c r="AZ2" s="341">
        <f>IF(AND(IF(IFERROR(IF(G31=TRUNC(G31),1,"bad"),"bad")="bad",0,1)=1,G31&gt;=0),1,0)</f>
        <v>1</v>
      </c>
      <c r="BA2" s="341">
        <f>IF(AND(IF(IFERROR(G31*1,"bad")="bad",0,1)=1,G31&gt;0),1,0)</f>
        <v>1</v>
      </c>
      <c r="BB2" s="341">
        <f>IF(AND(IF(IFERROR(IF(G31=TRUNC(G31),1,"bad"),"bad")="bad",0,1)=1,G31&gt;0),1,0)</f>
        <v>1</v>
      </c>
      <c r="BC2" s="341">
        <v>1</v>
      </c>
      <c r="BD2" s="341">
        <f>IF(IFERROR(HLOOKUP(G31,$CH$30:$CR$30,1,0),"bad")="bad",0,1)</f>
        <v>1</v>
      </c>
      <c r="DC2" s="347" t="s">
        <v>87</v>
      </c>
      <c r="DD2" s="348">
        <v>0.8</v>
      </c>
    </row>
    <row r="3" spans="2:113" ht="19.5" thickBot="1" x14ac:dyDescent="0.3">
      <c r="F3" s="349"/>
      <c r="G3" s="350"/>
      <c r="H3" s="350"/>
      <c r="I3" s="350"/>
      <c r="J3" s="350"/>
      <c r="K3" s="350"/>
      <c r="L3" s="350"/>
      <c r="M3" s="350"/>
      <c r="N3" s="350"/>
      <c r="O3" s="350"/>
      <c r="P3" s="350"/>
      <c r="Q3" s="350"/>
      <c r="R3" s="350"/>
      <c r="S3" s="350"/>
      <c r="T3" s="350"/>
      <c r="U3" s="350"/>
      <c r="V3" s="350"/>
      <c r="W3" s="350"/>
      <c r="X3" s="350"/>
      <c r="Y3" s="350"/>
      <c r="Z3" s="350"/>
      <c r="AA3" s="350"/>
      <c r="AB3" s="350"/>
      <c r="AC3" s="350"/>
      <c r="AD3" s="350"/>
      <c r="AE3" s="350"/>
      <c r="AF3" s="350"/>
      <c r="AG3" s="350"/>
      <c r="AH3" s="350"/>
      <c r="AI3" s="350"/>
      <c r="AJ3" s="350"/>
      <c r="AK3" s="350"/>
      <c r="AL3" s="350"/>
      <c r="AP3" s="351" t="str">
        <f>פרמטרים!C2</f>
        <v>תקציב</v>
      </c>
      <c r="AQ3" s="352">
        <f>פרמטרים!E2</f>
        <v>8082764</v>
      </c>
      <c r="AU3" s="341" t="s">
        <v>88</v>
      </c>
      <c r="AV3" s="341">
        <v>1</v>
      </c>
      <c r="AW3" s="341">
        <v>2</v>
      </c>
      <c r="AX3" s="341">
        <v>3</v>
      </c>
      <c r="AY3" s="341">
        <v>4</v>
      </c>
      <c r="AZ3" s="341">
        <v>5</v>
      </c>
      <c r="BA3" s="341">
        <v>6</v>
      </c>
      <c r="BB3" s="341">
        <v>7</v>
      </c>
      <c r="BC3" s="341">
        <v>8</v>
      </c>
      <c r="BD3" s="341">
        <v>9</v>
      </c>
      <c r="CV3" s="347" t="s">
        <v>89</v>
      </c>
      <c r="CW3" s="347">
        <v>3</v>
      </c>
      <c r="DC3" s="353" t="s">
        <v>90</v>
      </c>
      <c r="DD3" s="354">
        <v>1</v>
      </c>
    </row>
    <row r="4" spans="2:113" ht="46.5" customHeight="1" thickBot="1" x14ac:dyDescent="0.3">
      <c r="F4" s="355" t="s">
        <v>91</v>
      </c>
      <c r="G4" s="356">
        <v>1</v>
      </c>
      <c r="H4" s="356">
        <v>1</v>
      </c>
      <c r="I4" s="356">
        <v>1</v>
      </c>
      <c r="J4" s="356">
        <v>1</v>
      </c>
      <c r="K4" s="356">
        <v>1</v>
      </c>
      <c r="L4" s="356">
        <v>1</v>
      </c>
      <c r="M4" s="356">
        <v>1</v>
      </c>
      <c r="N4" s="356">
        <v>1</v>
      </c>
      <c r="O4" s="356">
        <v>1</v>
      </c>
      <c r="P4" s="356">
        <v>1</v>
      </c>
      <c r="Q4" s="356">
        <v>1</v>
      </c>
      <c r="R4" s="356"/>
      <c r="S4" s="356">
        <v>0</v>
      </c>
      <c r="T4" s="356">
        <v>0</v>
      </c>
      <c r="U4" s="356">
        <v>0</v>
      </c>
      <c r="V4" s="356">
        <v>0</v>
      </c>
      <c r="W4" s="356">
        <v>0</v>
      </c>
      <c r="X4" s="356">
        <v>0</v>
      </c>
      <c r="Y4" s="356">
        <v>0</v>
      </c>
      <c r="Z4" s="356">
        <v>1</v>
      </c>
      <c r="AA4" s="356">
        <v>0</v>
      </c>
      <c r="AB4" s="356">
        <v>99</v>
      </c>
      <c r="AC4" s="356">
        <v>99</v>
      </c>
      <c r="AD4" s="356">
        <v>99</v>
      </c>
      <c r="AE4" s="356">
        <v>99</v>
      </c>
      <c r="AF4" s="356"/>
      <c r="AG4" s="356">
        <v>1</v>
      </c>
      <c r="AH4" s="356">
        <v>1</v>
      </c>
      <c r="AI4" s="356"/>
      <c r="AJ4" s="356"/>
      <c r="AK4" s="356"/>
      <c r="AL4" s="357">
        <v>99</v>
      </c>
      <c r="AU4" s="341" t="s">
        <v>92</v>
      </c>
      <c r="AV4" s="342">
        <v>1</v>
      </c>
      <c r="AW4" s="343">
        <v>2</v>
      </c>
      <c r="AX4" s="343">
        <v>3</v>
      </c>
      <c r="AY4" s="343">
        <v>4</v>
      </c>
      <c r="AZ4" s="343">
        <v>5</v>
      </c>
      <c r="BA4" s="343">
        <v>6</v>
      </c>
      <c r="BB4" s="343">
        <v>7</v>
      </c>
      <c r="BC4" s="343">
        <v>8</v>
      </c>
      <c r="BD4" s="343">
        <v>9</v>
      </c>
      <c r="BE4" s="344">
        <v>10</v>
      </c>
      <c r="CV4" s="358"/>
      <c r="CW4" s="358"/>
      <c r="DC4" s="353" t="s">
        <v>93</v>
      </c>
      <c r="DD4" s="354"/>
      <c r="DE4" s="354"/>
    </row>
    <row r="5" spans="2:113" s="470" customFormat="1" ht="16.5" thickBot="1" x14ac:dyDescent="0.3">
      <c r="F5" s="471" t="s">
        <v>94</v>
      </c>
      <c r="G5" s="472">
        <v>1</v>
      </c>
      <c r="H5" s="472">
        <v>1</v>
      </c>
      <c r="I5" s="472">
        <v>1</v>
      </c>
      <c r="J5" s="472">
        <v>1</v>
      </c>
      <c r="K5" s="472">
        <v>1</v>
      </c>
      <c r="L5" s="472">
        <v>1</v>
      </c>
      <c r="M5" s="472">
        <v>1</v>
      </c>
      <c r="N5" s="472">
        <v>1</v>
      </c>
      <c r="O5" s="472">
        <v>1</v>
      </c>
      <c r="P5" s="472">
        <v>1</v>
      </c>
      <c r="Q5" s="472">
        <v>1</v>
      </c>
      <c r="R5" s="472"/>
      <c r="S5" s="472"/>
      <c r="T5" s="472"/>
      <c r="U5" s="472"/>
      <c r="V5" s="472"/>
      <c r="W5" s="472"/>
      <c r="X5" s="472"/>
      <c r="Y5" s="472"/>
      <c r="Z5" s="472">
        <v>1</v>
      </c>
      <c r="AA5" s="472">
        <v>1</v>
      </c>
      <c r="AB5" s="472"/>
      <c r="AC5" s="472"/>
      <c r="AD5" s="472"/>
      <c r="AE5" s="472"/>
      <c r="AF5" s="472"/>
      <c r="AG5" s="472">
        <v>1</v>
      </c>
      <c r="AH5" s="472">
        <v>1</v>
      </c>
      <c r="AI5" s="472"/>
      <c r="AJ5" s="472"/>
      <c r="AK5" s="472"/>
      <c r="AL5" s="473"/>
      <c r="CS5" s="474"/>
      <c r="CT5" s="475"/>
      <c r="CU5" s="475"/>
      <c r="CV5" s="476">
        <v>0.6</v>
      </c>
      <c r="CW5" s="477">
        <v>2</v>
      </c>
      <c r="CX5" s="470">
        <f>Y5</f>
        <v>0</v>
      </c>
      <c r="DC5" s="474">
        <f>$DD$2*CV5</f>
        <v>0.48</v>
      </c>
      <c r="DD5" s="474">
        <f>$DD$2*CW5</f>
        <v>1.6</v>
      </c>
      <c r="DE5" s="474">
        <f>$DD$2*CX5</f>
        <v>0</v>
      </c>
      <c r="DF5" s="475"/>
      <c r="DG5" s="475"/>
      <c r="DH5" s="475"/>
      <c r="DI5" s="475"/>
    </row>
    <row r="6" spans="2:113" s="468" customFormat="1" ht="16.5" thickBot="1" x14ac:dyDescent="0.3">
      <c r="G6" s="478" t="s">
        <v>375</v>
      </c>
      <c r="H6" s="478" t="s">
        <v>377</v>
      </c>
      <c r="I6" s="478" t="s">
        <v>378</v>
      </c>
      <c r="J6" s="478" t="s">
        <v>380</v>
      </c>
      <c r="K6" s="478" t="s">
        <v>381</v>
      </c>
      <c r="L6" s="478" t="s">
        <v>382</v>
      </c>
      <c r="M6" s="478" t="s">
        <v>383</v>
      </c>
      <c r="N6" s="478" t="s">
        <v>384</v>
      </c>
      <c r="O6" s="478" t="s">
        <v>412</v>
      </c>
      <c r="P6" s="478" t="s">
        <v>387</v>
      </c>
      <c r="Q6" s="478" t="s">
        <v>536</v>
      </c>
      <c r="R6" s="478" t="s">
        <v>443</v>
      </c>
      <c r="S6" s="469" t="s">
        <v>407</v>
      </c>
      <c r="T6" s="469" t="s">
        <v>407</v>
      </c>
      <c r="U6" s="469" t="s">
        <v>407</v>
      </c>
      <c r="V6" s="469" t="s">
        <v>408</v>
      </c>
      <c r="W6" s="469" t="s">
        <v>408</v>
      </c>
      <c r="X6" s="469" t="s">
        <v>409</v>
      </c>
      <c r="Y6" s="469" t="s">
        <v>408</v>
      </c>
      <c r="AA6" s="469" t="s">
        <v>388</v>
      </c>
      <c r="AB6" s="469" t="s">
        <v>388</v>
      </c>
      <c r="AC6" s="469" t="s">
        <v>389</v>
      </c>
      <c r="AD6" s="469" t="s">
        <v>388</v>
      </c>
      <c r="AE6" s="469" t="s">
        <v>388</v>
      </c>
      <c r="AH6" s="469" t="s">
        <v>472</v>
      </c>
      <c r="CS6" s="479"/>
      <c r="CT6" s="480"/>
      <c r="CU6" s="480"/>
      <c r="DF6" s="480"/>
      <c r="DG6" s="480"/>
      <c r="DH6" s="480"/>
      <c r="DI6" s="480"/>
    </row>
    <row r="7" spans="2:113" ht="16.5" hidden="1" thickBot="1" x14ac:dyDescent="0.3">
      <c r="F7" s="349"/>
      <c r="G7" s="350"/>
      <c r="H7" s="350"/>
      <c r="I7" s="350"/>
      <c r="J7" s="350"/>
      <c r="K7" s="350"/>
      <c r="L7" s="350"/>
      <c r="M7" s="350"/>
      <c r="N7" s="350"/>
      <c r="O7" s="350"/>
      <c r="P7" s="350"/>
      <c r="Q7" s="350"/>
      <c r="R7" s="350"/>
      <c r="S7" s="350"/>
      <c r="T7" s="350"/>
      <c r="U7" s="350"/>
      <c r="V7" s="350"/>
      <c r="W7" s="350"/>
      <c r="X7" s="350"/>
      <c r="Y7" s="350"/>
      <c r="Z7" s="350"/>
      <c r="AA7" s="350"/>
      <c r="AB7" s="350"/>
      <c r="AC7" s="350"/>
      <c r="AD7" s="350"/>
      <c r="AE7" s="350"/>
      <c r="AF7" s="350"/>
      <c r="AG7" s="350"/>
      <c r="AH7" s="350"/>
      <c r="AI7" s="350"/>
      <c r="AJ7" s="350"/>
      <c r="AK7" s="350"/>
      <c r="AL7" s="350"/>
      <c r="CS7" s="353"/>
      <c r="CT7" s="353"/>
      <c r="CU7" s="353"/>
      <c r="CV7" s="359"/>
      <c r="CW7" s="359"/>
      <c r="DF7" s="353"/>
      <c r="DG7" s="353"/>
      <c r="DH7" s="353"/>
      <c r="DI7" s="353"/>
    </row>
    <row r="8" spans="2:113" ht="16.5" hidden="1" thickBot="1" x14ac:dyDescent="0.3">
      <c r="F8" s="341" t="s">
        <v>95</v>
      </c>
      <c r="G8" s="341">
        <f ca="1">SUMPRODUCT(MAX(($B:$B&lt;&gt;"")*(ROW(B:B))))</f>
        <v>141</v>
      </c>
      <c r="CS8" s="354"/>
      <c r="CT8" s="354"/>
      <c r="CU8" s="354"/>
      <c r="CV8" s="358"/>
      <c r="CW8" s="358"/>
      <c r="DC8" s="354"/>
      <c r="DD8" s="354"/>
      <c r="DE8" s="354"/>
      <c r="DF8" s="354"/>
      <c r="DG8" s="354"/>
      <c r="DH8" s="354"/>
      <c r="DI8" s="354"/>
    </row>
    <row r="9" spans="2:113" ht="16.5" hidden="1" thickBot="1" x14ac:dyDescent="0.3">
      <c r="CS9" s="354"/>
      <c r="CT9" s="354"/>
      <c r="CU9" s="354"/>
      <c r="CV9" s="358"/>
      <c r="CW9" s="358"/>
      <c r="DC9" s="354"/>
      <c r="DD9" s="354"/>
      <c r="DE9" s="354"/>
      <c r="DF9" s="354"/>
      <c r="DG9" s="354"/>
      <c r="DH9" s="354"/>
      <c r="DI9" s="354"/>
    </row>
    <row r="10" spans="2:113" ht="16.5" hidden="1" thickBot="1" x14ac:dyDescent="0.3">
      <c r="CS10" s="354"/>
      <c r="CT10" s="354"/>
      <c r="CU10" s="354"/>
      <c r="CV10" s="358"/>
      <c r="CW10" s="358"/>
      <c r="DC10" s="354"/>
      <c r="DD10" s="354"/>
      <c r="DE10" s="354"/>
      <c r="DF10" s="354"/>
      <c r="DG10" s="354"/>
      <c r="DH10" s="354"/>
      <c r="DI10" s="354"/>
    </row>
    <row r="11" spans="2:113" ht="16.5" hidden="1" thickBot="1" x14ac:dyDescent="0.3">
      <c r="CS11" s="354"/>
      <c r="CT11" s="354"/>
      <c r="CU11" s="354"/>
      <c r="CV11" s="358"/>
      <c r="CW11" s="358"/>
      <c r="DC11" s="354"/>
      <c r="DD11" s="354"/>
      <c r="DE11" s="354"/>
      <c r="DF11" s="354"/>
      <c r="DG11" s="354"/>
      <c r="DH11" s="354"/>
      <c r="DI11" s="354"/>
    </row>
    <row r="12" spans="2:113" ht="16.5" hidden="1" thickBot="1" x14ac:dyDescent="0.3">
      <c r="CS12" s="354"/>
      <c r="CT12" s="354"/>
      <c r="CU12" s="354"/>
      <c r="CV12" s="358"/>
      <c r="CW12" s="358"/>
      <c r="DC12" s="354"/>
      <c r="DD12" s="354"/>
      <c r="DE12" s="354"/>
      <c r="DF12" s="354"/>
      <c r="DG12" s="354"/>
      <c r="DH12" s="354"/>
      <c r="DI12" s="354"/>
    </row>
    <row r="13" spans="2:113" ht="16.5" hidden="1" thickBot="1" x14ac:dyDescent="0.3">
      <c r="CS13" s="354"/>
      <c r="CT13" s="354"/>
      <c r="CU13" s="354"/>
      <c r="CV13" s="358"/>
      <c r="CW13" s="358"/>
      <c r="DC13" s="354"/>
      <c r="DD13" s="354"/>
      <c r="DE13" s="354"/>
      <c r="DF13" s="354"/>
      <c r="DG13" s="354"/>
      <c r="DH13" s="354"/>
      <c r="DI13" s="354"/>
    </row>
    <row r="14" spans="2:113" ht="16.5" hidden="1" thickBot="1" x14ac:dyDescent="0.3">
      <c r="CS14" s="354"/>
      <c r="CT14" s="354"/>
      <c r="CU14" s="354"/>
      <c r="CV14" s="358"/>
      <c r="CW14" s="358"/>
      <c r="DC14" s="354"/>
      <c r="DD14" s="354"/>
      <c r="DE14" s="354"/>
      <c r="DF14" s="354"/>
      <c r="DG14" s="354"/>
      <c r="DH14" s="354"/>
      <c r="DI14" s="354"/>
    </row>
    <row r="15" spans="2:113" ht="16.5" hidden="1" thickBot="1" x14ac:dyDescent="0.3">
      <c r="CS15" s="354"/>
      <c r="CT15" s="354"/>
      <c r="CU15" s="354"/>
      <c r="CV15" s="358"/>
      <c r="CW15" s="358"/>
      <c r="DC15" s="354"/>
      <c r="DD15" s="354"/>
      <c r="DE15" s="354"/>
      <c r="DF15" s="354"/>
      <c r="DG15" s="354"/>
      <c r="DH15" s="354"/>
      <c r="DI15" s="354"/>
    </row>
    <row r="16" spans="2:113" ht="16.5" hidden="1" thickBot="1" x14ac:dyDescent="0.3">
      <c r="CS16" s="354"/>
      <c r="CT16" s="354"/>
      <c r="CU16" s="354"/>
      <c r="CV16" s="358"/>
      <c r="CW16" s="358"/>
      <c r="DC16" s="354"/>
      <c r="DD16" s="354"/>
      <c r="DE16" s="354"/>
      <c r="DF16" s="354"/>
      <c r="DG16" s="354"/>
      <c r="DH16" s="354"/>
      <c r="DI16" s="354"/>
    </row>
    <row r="17" spans="1:117" ht="16.5" hidden="1" thickBot="1" x14ac:dyDescent="0.3">
      <c r="CS17" s="354"/>
      <c r="CT17" s="354"/>
      <c r="CU17" s="354"/>
      <c r="CV17" s="358"/>
      <c r="CW17" s="358"/>
      <c r="DC17" s="354"/>
      <c r="DD17" s="354"/>
      <c r="DE17" s="354"/>
      <c r="DF17" s="354"/>
      <c r="DG17" s="354"/>
      <c r="DH17" s="354"/>
      <c r="DI17" s="354"/>
      <c r="DJ17" s="354"/>
    </row>
    <row r="18" spans="1:117" ht="16.5" hidden="1" thickBot="1" x14ac:dyDescent="0.3">
      <c r="CS18" s="354"/>
      <c r="CT18" s="354"/>
      <c r="CU18" s="354"/>
      <c r="CV18" s="358"/>
      <c r="CW18" s="358"/>
      <c r="DC18" s="354"/>
      <c r="DD18" s="354"/>
      <c r="DE18" s="354"/>
      <c r="DF18" s="354"/>
      <c r="DG18" s="354"/>
      <c r="DH18" s="354"/>
      <c r="DI18" s="354"/>
      <c r="DJ18" s="354"/>
    </row>
    <row r="19" spans="1:117" ht="16.5" hidden="1" thickBot="1" x14ac:dyDescent="0.3">
      <c r="CS19" s="354"/>
      <c r="CT19" s="354"/>
      <c r="CU19" s="354"/>
      <c r="CV19" s="358"/>
      <c r="CW19" s="358"/>
      <c r="DC19" s="354"/>
      <c r="DD19" s="354"/>
      <c r="DE19" s="354"/>
      <c r="DF19" s="354"/>
      <c r="DG19" s="354"/>
      <c r="DH19" s="354"/>
      <c r="DI19" s="354"/>
      <c r="DJ19" s="354"/>
    </row>
    <row r="20" spans="1:117" ht="16.5" hidden="1" thickBot="1" x14ac:dyDescent="0.3">
      <c r="CS20" s="354"/>
      <c r="CT20" s="354"/>
      <c r="CU20" s="354"/>
      <c r="CV20" s="358"/>
      <c r="CW20" s="358"/>
      <c r="DC20" s="354"/>
      <c r="DD20" s="354"/>
      <c r="DE20" s="354"/>
      <c r="DF20" s="354"/>
      <c r="DG20" s="354"/>
      <c r="DH20" s="354"/>
      <c r="DI20" s="354"/>
      <c r="DJ20" s="354"/>
    </row>
    <row r="21" spans="1:117" ht="16.5" hidden="1" thickBot="1" x14ac:dyDescent="0.3">
      <c r="CS21" s="354"/>
      <c r="CT21" s="354"/>
      <c r="CU21" s="354"/>
      <c r="CV21" s="358"/>
      <c r="CW21" s="358"/>
      <c r="DC21" s="354"/>
      <c r="DD21" s="354"/>
      <c r="DE21" s="354"/>
      <c r="DF21" s="354"/>
      <c r="DG21" s="354"/>
      <c r="DH21" s="354"/>
      <c r="DI21" s="354"/>
      <c r="DJ21" s="354"/>
    </row>
    <row r="22" spans="1:117" ht="16.5" hidden="1" thickBot="1" x14ac:dyDescent="0.3">
      <c r="CS22" s="354"/>
      <c r="CT22" s="354"/>
      <c r="CU22" s="354"/>
      <c r="CV22" s="358"/>
      <c r="CW22" s="358"/>
      <c r="DC22" s="354"/>
      <c r="DD22" s="354"/>
      <c r="DE22" s="354"/>
      <c r="DF22" s="354"/>
      <c r="DG22" s="354"/>
      <c r="DH22" s="354"/>
      <c r="DI22" s="354"/>
      <c r="DJ22" s="354"/>
    </row>
    <row r="23" spans="1:117" ht="16.5" hidden="1" thickBot="1" x14ac:dyDescent="0.3">
      <c r="CS23" s="354"/>
      <c r="CT23" s="354"/>
      <c r="CU23" s="354"/>
      <c r="CV23" s="358"/>
      <c r="CW23" s="358"/>
      <c r="DC23" s="354"/>
      <c r="DD23" s="354"/>
      <c r="DE23" s="354"/>
      <c r="DF23" s="354"/>
      <c r="DG23" s="354"/>
      <c r="DH23" s="354"/>
      <c r="DI23" s="354"/>
      <c r="DJ23" s="354"/>
    </row>
    <row r="24" spans="1:117" ht="16.5" hidden="1" thickBot="1" x14ac:dyDescent="0.3">
      <c r="B24" s="350"/>
      <c r="G24" s="360"/>
      <c r="H24" s="360"/>
      <c r="I24" s="360"/>
      <c r="J24" s="360"/>
      <c r="K24" s="360"/>
      <c r="L24" s="360"/>
      <c r="M24" s="360"/>
      <c r="N24" s="360"/>
      <c r="O24" s="360"/>
      <c r="P24" s="360"/>
      <c r="Q24" s="360"/>
      <c r="R24" s="360"/>
      <c r="S24" s="360"/>
      <c r="T24" s="360"/>
      <c r="U24" s="360"/>
      <c r="V24" s="360"/>
      <c r="W24" s="360"/>
      <c r="X24" s="360"/>
      <c r="Y24" s="360"/>
      <c r="Z24" s="360"/>
      <c r="AA24" s="360"/>
      <c r="AB24" s="360"/>
      <c r="AC24" s="360"/>
      <c r="AD24" s="360"/>
      <c r="AE24" s="360"/>
      <c r="AF24" s="360"/>
      <c r="AG24" s="360"/>
      <c r="AH24" s="360"/>
      <c r="AI24" s="360"/>
      <c r="AJ24" s="360"/>
      <c r="AK24" s="360"/>
      <c r="AL24" s="360"/>
      <c r="AM24" s="360"/>
      <c r="AN24" s="360"/>
      <c r="AO24" s="360"/>
      <c r="AP24" s="360"/>
      <c r="CS24" s="354"/>
      <c r="CT24" s="354"/>
      <c r="CU24" s="354"/>
      <c r="CV24" s="358"/>
      <c r="CW24" s="358"/>
      <c r="DC24" s="354"/>
      <c r="DD24" s="354"/>
      <c r="DE24" s="354"/>
      <c r="DF24" s="354"/>
      <c r="DG24" s="354"/>
      <c r="DH24" s="354"/>
      <c r="DI24" s="354"/>
      <c r="DJ24" s="354"/>
    </row>
    <row r="25" spans="1:117" ht="16.5" hidden="1" thickBot="1" x14ac:dyDescent="0.3">
      <c r="CS25" s="354"/>
      <c r="CT25" s="354"/>
      <c r="CU25" s="354"/>
      <c r="CV25" s="358"/>
      <c r="CW25" s="358"/>
      <c r="DC25" s="354"/>
      <c r="DD25" s="354"/>
      <c r="DE25" s="354"/>
      <c r="DF25" s="354"/>
      <c r="DG25" s="354"/>
      <c r="DH25" s="354"/>
      <c r="DI25" s="354"/>
      <c r="DJ25" s="354"/>
    </row>
    <row r="26" spans="1:117" ht="16.5" hidden="1" thickBot="1" x14ac:dyDescent="0.3">
      <c r="F26" s="360"/>
      <c r="G26" s="360"/>
      <c r="H26" s="360"/>
      <c r="I26" s="360"/>
      <c r="J26" s="360"/>
      <c r="K26" s="360"/>
      <c r="L26" s="360"/>
      <c r="M26" s="360"/>
      <c r="N26" s="360"/>
      <c r="O26" s="360"/>
      <c r="P26" s="360"/>
      <c r="Q26" s="360"/>
      <c r="R26" s="360"/>
      <c r="S26" s="360"/>
      <c r="T26" s="360"/>
      <c r="U26" s="360"/>
      <c r="V26" s="360"/>
      <c r="W26" s="360"/>
      <c r="X26" s="360"/>
      <c r="Y26" s="360"/>
      <c r="Z26" s="360"/>
      <c r="AA26" s="360"/>
      <c r="AB26" s="360"/>
      <c r="AC26" s="360"/>
      <c r="AD26" s="360"/>
      <c r="AE26" s="360"/>
      <c r="AF26" s="360"/>
      <c r="AG26" s="360"/>
      <c r="AH26" s="360"/>
      <c r="AI26" s="360"/>
      <c r="AJ26" s="360"/>
      <c r="AK26" s="360"/>
      <c r="AL26" s="360"/>
      <c r="AM26" s="360"/>
      <c r="AN26" s="360"/>
      <c r="AO26" s="360"/>
      <c r="AP26" s="360"/>
      <c r="CS26" s="354"/>
      <c r="CT26" s="354"/>
      <c r="CU26" s="354"/>
      <c r="CV26" s="358"/>
      <c r="CW26" s="358"/>
      <c r="DC26" s="354"/>
      <c r="DD26" s="354"/>
      <c r="DE26" s="354"/>
      <c r="DF26" s="354"/>
      <c r="DG26" s="354"/>
      <c r="DH26" s="354"/>
      <c r="DI26" s="354"/>
      <c r="DJ26" s="354"/>
    </row>
    <row r="27" spans="1:117" ht="16.5" hidden="1" thickBot="1" x14ac:dyDescent="0.3">
      <c r="B27" s="350"/>
      <c r="C27" s="350"/>
      <c r="D27" s="350"/>
      <c r="E27" s="350"/>
      <c r="F27" s="350"/>
      <c r="G27" s="360"/>
      <c r="H27" s="360"/>
      <c r="I27" s="360"/>
      <c r="J27" s="360"/>
      <c r="K27" s="360"/>
      <c r="L27" s="360"/>
      <c r="M27" s="360"/>
      <c r="N27" s="360"/>
      <c r="O27" s="360"/>
      <c r="P27" s="360"/>
      <c r="Q27" s="360"/>
      <c r="R27" s="360"/>
      <c r="S27" s="360"/>
      <c r="T27" s="360"/>
      <c r="U27" s="360"/>
      <c r="V27" s="360"/>
      <c r="W27" s="360"/>
      <c r="X27" s="360"/>
      <c r="Y27" s="360"/>
      <c r="Z27" s="360"/>
      <c r="AA27" s="360"/>
      <c r="AB27" s="360"/>
      <c r="AC27" s="360"/>
      <c r="AD27" s="360"/>
      <c r="AE27" s="360"/>
      <c r="AF27" s="360"/>
      <c r="AG27" s="360"/>
      <c r="AH27" s="360"/>
      <c r="AI27" s="360"/>
      <c r="AJ27" s="360"/>
      <c r="AK27" s="360"/>
      <c r="AL27" s="360"/>
      <c r="AM27" s="360"/>
      <c r="AN27" s="360"/>
      <c r="AO27" s="360"/>
      <c r="AP27" s="360"/>
      <c r="AQ27" s="360"/>
      <c r="CS27" s="354"/>
      <c r="CT27" s="354"/>
      <c r="CU27" s="354"/>
      <c r="CV27" s="358"/>
      <c r="CW27" s="358"/>
      <c r="DC27" s="354"/>
      <c r="DD27" s="354"/>
      <c r="DE27" s="354"/>
      <c r="DF27" s="354"/>
      <c r="DG27" s="354"/>
      <c r="DH27" s="354"/>
      <c r="DI27" s="354"/>
      <c r="DJ27" s="354"/>
    </row>
    <row r="28" spans="1:117" ht="32.25" hidden="1" thickBot="1" x14ac:dyDescent="0.3">
      <c r="B28" s="350"/>
      <c r="C28" s="350"/>
      <c r="D28" s="350"/>
      <c r="E28" s="350"/>
      <c r="F28" s="350"/>
      <c r="H28" s="360"/>
      <c r="I28" s="360"/>
      <c r="J28" s="360"/>
      <c r="K28" s="360"/>
      <c r="L28" s="360"/>
      <c r="M28" s="360"/>
      <c r="N28" s="360"/>
      <c r="O28" s="360"/>
      <c r="P28" s="360"/>
      <c r="Q28" s="360"/>
      <c r="R28" s="360"/>
      <c r="S28" s="465" t="s">
        <v>96</v>
      </c>
      <c r="T28" s="465"/>
      <c r="U28" s="465" t="s">
        <v>97</v>
      </c>
      <c r="V28" s="465"/>
      <c r="W28" s="466"/>
      <c r="X28" s="466"/>
      <c r="Y28" s="467"/>
      <c r="Z28" s="360"/>
      <c r="AA28" s="360"/>
      <c r="AB28" s="360"/>
      <c r="AC28" s="360"/>
      <c r="AD28" s="360"/>
      <c r="AE28" s="360"/>
      <c r="AF28" s="360"/>
      <c r="AG28" s="360"/>
      <c r="AH28" s="360"/>
      <c r="AI28" s="360"/>
      <c r="AJ28" s="360"/>
      <c r="AK28" s="360"/>
      <c r="AL28" s="360"/>
      <c r="AM28" s="360"/>
      <c r="AN28" s="360"/>
      <c r="AO28" s="360"/>
      <c r="AP28" s="360"/>
      <c r="AR28" s="360">
        <f>IF(SUM(AR31:AR130)=COUNT(AR31:AR130),1,0)</f>
        <v>0</v>
      </c>
      <c r="AU28" s="361">
        <f t="shared" ref="AU28:BE28" si="0">MATCH(G$30,$AV$1:$BD$1,0)</f>
        <v>1</v>
      </c>
      <c r="AV28" s="361">
        <f t="shared" si="0"/>
        <v>1</v>
      </c>
      <c r="AW28" s="361">
        <f t="shared" si="0"/>
        <v>1</v>
      </c>
      <c r="AX28" s="361">
        <f t="shared" si="0"/>
        <v>1</v>
      </c>
      <c r="AY28" s="361">
        <f t="shared" si="0"/>
        <v>1</v>
      </c>
      <c r="AZ28" s="361">
        <f t="shared" si="0"/>
        <v>1</v>
      </c>
      <c r="BA28" s="361">
        <f t="shared" si="0"/>
        <v>1</v>
      </c>
      <c r="BB28" s="361">
        <f t="shared" si="0"/>
        <v>1</v>
      </c>
      <c r="BC28" s="361">
        <f t="shared" si="0"/>
        <v>1</v>
      </c>
      <c r="BD28" s="361">
        <f t="shared" si="0"/>
        <v>1</v>
      </c>
      <c r="BE28" s="361">
        <f t="shared" si="0"/>
        <v>1</v>
      </c>
      <c r="BF28" s="361">
        <f t="shared" ref="BF28:BS28" si="1">MATCH(S$30,$AV$1:$BD$1,0)</f>
        <v>1</v>
      </c>
      <c r="BG28" s="361">
        <f t="shared" si="1"/>
        <v>1</v>
      </c>
      <c r="BH28" s="361">
        <f t="shared" si="1"/>
        <v>1</v>
      </c>
      <c r="BI28" s="361">
        <f t="shared" si="1"/>
        <v>1</v>
      </c>
      <c r="BJ28" s="361">
        <f t="shared" si="1"/>
        <v>1</v>
      </c>
      <c r="BK28" s="361">
        <f t="shared" si="1"/>
        <v>1</v>
      </c>
      <c r="BL28" s="361">
        <f t="shared" si="1"/>
        <v>1</v>
      </c>
      <c r="BM28" s="361" t="e">
        <f t="shared" si="1"/>
        <v>#N/A</v>
      </c>
      <c r="BN28" s="361">
        <f t="shared" si="1"/>
        <v>1</v>
      </c>
      <c r="BO28" s="361">
        <f t="shared" si="1"/>
        <v>9</v>
      </c>
      <c r="BP28" s="361">
        <f t="shared" si="1"/>
        <v>1</v>
      </c>
      <c r="BQ28" s="361">
        <f t="shared" si="1"/>
        <v>1</v>
      </c>
      <c r="BR28" s="361">
        <f t="shared" si="1"/>
        <v>1</v>
      </c>
      <c r="BS28" s="361" t="e">
        <f t="shared" si="1"/>
        <v>#N/A</v>
      </c>
      <c r="BT28" s="361" t="e">
        <f t="shared" ref="BT28:CB28" si="2">MATCH(AH$30,$AV$1:$BD$1,0)</f>
        <v>#N/A</v>
      </c>
      <c r="BU28" s="361" t="e">
        <f t="shared" si="2"/>
        <v>#N/A</v>
      </c>
      <c r="BV28" s="361" t="e">
        <f t="shared" si="2"/>
        <v>#N/A</v>
      </c>
      <c r="BW28" s="361" t="e">
        <f t="shared" si="2"/>
        <v>#N/A</v>
      </c>
      <c r="BX28" s="361" t="e">
        <f t="shared" si="2"/>
        <v>#N/A</v>
      </c>
      <c r="BY28" s="361" t="e">
        <f t="shared" si="2"/>
        <v>#N/A</v>
      </c>
      <c r="BZ28" s="361" t="e">
        <f t="shared" si="2"/>
        <v>#N/A</v>
      </c>
      <c r="CA28" s="361" t="e">
        <f t="shared" si="2"/>
        <v>#N/A</v>
      </c>
      <c r="CB28" s="361" t="e">
        <f t="shared" si="2"/>
        <v>#N/A</v>
      </c>
      <c r="CS28" s="354"/>
      <c r="CT28" s="354"/>
      <c r="CU28" s="354"/>
      <c r="CV28" s="358"/>
      <c r="CW28" s="358"/>
      <c r="DC28" s="354"/>
      <c r="DD28" s="354"/>
      <c r="DE28" s="354"/>
      <c r="DF28" s="354"/>
      <c r="DG28" s="354"/>
      <c r="DH28" s="354"/>
      <c r="DI28" s="354"/>
      <c r="DJ28" s="354"/>
    </row>
    <row r="29" spans="1:117" ht="187.5" customHeight="1" x14ac:dyDescent="0.25">
      <c r="A29" s="362">
        <v>100</v>
      </c>
      <c r="B29" s="730"/>
      <c r="C29" s="732">
        <f>COLUMN()</f>
        <v>3</v>
      </c>
      <c r="D29" s="732">
        <f>COLUMN()</f>
        <v>4</v>
      </c>
      <c r="E29" s="732">
        <f>COLUMN()</f>
        <v>5</v>
      </c>
      <c r="F29" s="725" t="s">
        <v>98</v>
      </c>
      <c r="G29" s="363" t="s">
        <v>99</v>
      </c>
      <c r="H29" s="363" t="s">
        <v>376</v>
      </c>
      <c r="I29" s="363" t="s">
        <v>100</v>
      </c>
      <c r="J29" s="363" t="s">
        <v>379</v>
      </c>
      <c r="K29" s="363" t="s">
        <v>101</v>
      </c>
      <c r="L29" s="363" t="s">
        <v>410</v>
      </c>
      <c r="M29" s="363" t="str">
        <f>IF(פרמטרים!$E$1&lt;2023,'הוראת שעה'!$E$9,'הוראת שעה'!$E$10)</f>
        <v>המוסד השלים את הגשת כל הדו"חות הנדרשים לצורך ניקודו לפי מבחנים אלה, כשהם מלאים ותקינים, עד יום 1 במרס של שנת הכספים הקודמת</v>
      </c>
      <c r="N29" s="363" t="s">
        <v>385</v>
      </c>
      <c r="O29" s="363" t="s">
        <v>386</v>
      </c>
      <c r="P29" s="363" t="s">
        <v>102</v>
      </c>
      <c r="Q29" s="363" t="s">
        <v>537</v>
      </c>
      <c r="R29" s="363"/>
      <c r="S29" s="363" t="s">
        <v>444</v>
      </c>
      <c r="T29" s="363" t="s">
        <v>445</v>
      </c>
      <c r="U29" s="363" t="s">
        <v>406</v>
      </c>
      <c r="V29" s="363" t="s">
        <v>103</v>
      </c>
      <c r="W29" s="363" t="s">
        <v>104</v>
      </c>
      <c r="X29" s="363" t="s">
        <v>105</v>
      </c>
      <c r="Y29" s="363" t="s">
        <v>106</v>
      </c>
      <c r="Z29" s="725" t="s">
        <v>107</v>
      </c>
      <c r="AA29" s="363" t="s">
        <v>433</v>
      </c>
      <c r="AB29" s="363" t="s">
        <v>434</v>
      </c>
      <c r="AC29" s="363" t="str">
        <f>IF(פרמטרים!$E$1&lt;2023,'הוראת שעה'!$G$9,'הוראת שעה'!$G$10)</f>
        <v xml:space="preserve"> העביר למינהל התרבות, לא יאוחר מיום 1 במרס של שנת הכספים הקודמת, קישור לצפייה דיגיטלית בהפקה או בפעילות שקיים בשנת ההערכה או בשנת הכספים הקודמת</v>
      </c>
      <c r="AD29" s="363" t="str">
        <f>IF(פרמטרים!$E$1&lt;2023,'הוראת שעה'!$F$9,'הוראת שעה'!$F$10)</f>
        <v xml:space="preserve">  הודיע למינהל התרבות  לא יאוחר מיום 1 בינואר של שנת הכספים הקודמת, על כוונתו להגיש בקשה לתמיכה לפי מבחנים אלה, ונתן לחברי המדור למחול הזדמנות סבירה לצפות בהפקותיו או להתרשם מפעילותו, לפי העניין</v>
      </c>
      <c r="AE29" s="363" t="s">
        <v>421</v>
      </c>
      <c r="AF29" s="725" t="s">
        <v>113</v>
      </c>
      <c r="AG29" s="363" t="s">
        <v>568</v>
      </c>
      <c r="AH29" s="725" t="s">
        <v>471</v>
      </c>
      <c r="AI29" s="363" t="s">
        <v>115</v>
      </c>
      <c r="AJ29" s="363" t="s">
        <v>115</v>
      </c>
      <c r="AK29" s="732"/>
      <c r="AL29" s="364" t="s">
        <v>114</v>
      </c>
      <c r="AM29" s="734" t="s">
        <v>115</v>
      </c>
      <c r="AN29" s="725" t="s">
        <v>115</v>
      </c>
      <c r="AO29" s="725" t="s">
        <v>115</v>
      </c>
      <c r="AP29" s="725" t="s">
        <v>116</v>
      </c>
      <c r="AQ29" s="365" t="s">
        <v>75</v>
      </c>
      <c r="AR29" s="366" t="s">
        <v>117</v>
      </c>
      <c r="AU29" s="361" t="str">
        <f t="shared" ref="AU29:BT29" si="3">"בקרת "&amp;G29</f>
        <v>בקרת תקציבה של הפעילות בעדה מבוקשת התמיכה מנוהל כמשק סגור</v>
      </c>
      <c r="AV29" s="361" t="str">
        <f t="shared" si="3"/>
        <v>בקרת המוסד עומד בדרישות הנוהל, ובכלל זה יעמיד עצמו לביקורת המשרד להבטחת עמידתו בתנאים למתן תמיכה</v>
      </c>
      <c r="AW29" s="361" t="str">
        <f t="shared" si="3"/>
        <v>בקרת מטרות המוסד כמפורט במסמכי היסוד שלו ואופן פעולתו עולים בקנה אחד עם מטרות התמיכה המפורטות במבחנים</v>
      </c>
      <c r="AX29" s="361" t="str">
        <f t="shared" si="3"/>
        <v>בקרת המוסד משתמש בכספי התמיכה רק למטרות שלשמן ניתנו</v>
      </c>
      <c r="AY29" s="361" t="str">
        <f t="shared" si="3"/>
        <v>בקרת מקיים את הוראות החוק הנוגעות לפעילותו, מקפיד על כללי ניהול תקין ושומר על שקיפות מלאה</v>
      </c>
      <c r="AZ29" s="361" t="str">
        <f t="shared" si="3"/>
        <v>בקרת המוסד פועל ביעילות ובתקורה מיזערית</v>
      </c>
      <c r="BA29" s="361" t="str">
        <f t="shared" si="3"/>
        <v>בקרת המוסד השלים את הגשת כל הדו"חות הנדרשים לצורך ניקודו לפי מבחנים אלה, כשהם מלאים ותקינים, עד יום 1 במרס של שנת הכספים הקודמת</v>
      </c>
      <c r="BB29" s="361" t="str">
        <f t="shared" si="3"/>
        <v>בקרת המוסד הגיש תכנית עבודה כללית לשנת התמיכה התואמת את תנאי הסף שנקבעו לתחום פעילותו</v>
      </c>
      <c r="BC29" s="361" t="str">
        <f t="shared" si="3"/>
        <v>בקרת המוסד הגיש, במהלך שנת התמיכה, דו"חות ביצוע שוטפים, דוחות פעילות רבעוניים שוטפים ודוחות שנתיים המעידים על עמידתו בתכנית העבודה ובתנאי הזכאות לקבלת התמיכה</v>
      </c>
      <c r="BD29" s="361" t="str">
        <f t="shared" si="3"/>
        <v>בקרת צורפה הצהרתו של מנהל המוסד לפיה הנתונים הכלולים בבקשה הם נכונים, שלמים ומדויקים</v>
      </c>
      <c r="BE29" s="361" t="str">
        <f t="shared" si="3"/>
        <v>בקרת הפעילות שבעדה מבוקשת התמיכה אינה ממומנת ע"י משרד ממשלתי אחר</v>
      </c>
      <c r="BF29" s="361" t="str">
        <f t="shared" si="3"/>
        <v xml:space="preserve">בקרת </v>
      </c>
      <c r="BG29" s="361" t="str">
        <f t="shared" si="3"/>
        <v>בקרת הבקשה הוגשה בידי מוסד ציבור המבצע את הפעילות
נושא התמיכה</v>
      </c>
      <c r="BH29" s="361" t="str">
        <f t="shared" si="3"/>
        <v>בקרת הבקשה הוגשה בידי ארגון גג שנתמך על ידי מינהל התרבות</v>
      </c>
      <c r="BI29" s="361" t="str">
        <f t="shared" si="3"/>
        <v>בקרת מחזור פעילותו השנתי של היוצר או מוסד ציבור בשנת התקציב המבוקר ובשנה שקדמה לה, המגישים את הבקשה באמצעות ארגון גג, לא עלה על 400,000 שקלים חדשים</v>
      </c>
      <c r="BJ29" s="361" t="str">
        <f t="shared" si="3"/>
        <v>בקרת הבקשה כוללת התייחסות לפעילות נשוא התמיכה בלבד, ולא לפעילויות או תחומי עשייה אחרים של ארגון הגג</v>
      </c>
      <c r="BK29" s="361" t="str">
        <f t="shared" si="3"/>
        <v>בקרת הבקשה נחתמה בנוסף בידי הגורם המקצועי המנהל את הפעילות נשוא הבקשה לתמיכה בארגון</v>
      </c>
      <c r="BL29" s="361" t="str">
        <f t="shared" si="3"/>
        <v>בקרת ארגון הגג מנהל באופן ישיר את ההוצאות בשל הפעילות, והוא אינו מעביר כספים ליוצרי מחול עצמאיים לשם
ביצוע הפעילות</v>
      </c>
      <c r="BM29" s="361" t="str">
        <f t="shared" si="3"/>
        <v>בקרת ארגון הגג לא כלל בבקשה  הוצאות שבעדן קיבל תמיכה כארגון גג</v>
      </c>
      <c r="BN29" s="361" t="str">
        <f t="shared" si="3"/>
        <v>בקרת עובר תנאי הגשה בידי מוסד ציבור/ארגון גג</v>
      </c>
      <c r="BO29" s="361" t="str">
        <f t="shared" si="3"/>
        <v>בקרת המוסד קיבל תמיכה ממינהל התרבות בשנת הכספים הקודמת</v>
      </c>
      <c r="BP29" s="361" t="str">
        <f t="shared" si="3"/>
        <v>בקרת האם מגיש הבקשה הוא יוצר עצמאי</v>
      </c>
      <c r="BQ29" s="361" t="str">
        <f t="shared" si="3"/>
        <v>בקרת  העביר למינהל התרבות, לא יאוחר מיום 1 במרס של שנת הכספים הקודמת, קישור לצפייה דיגיטלית בהפקה או בפעילות שקיים בשנת ההערכה או בשנת הכספים הקודמת</v>
      </c>
      <c r="BR29" s="361" t="str">
        <f t="shared" si="3"/>
        <v>בקרת   הודיע למינהל התרבות  לא יאוחר מיום 1 בינואר של שנת הכספים הקודמת, על כוונתו להגיש בקשה לתמיכה לפי מבחנים אלה, ונתן לחברי המדור למחול הזדמנות סבירה לצפות בהפקותיו או להתרשם מפעילותו, לפי העניין</v>
      </c>
      <c r="BS29" s="361" t="str">
        <f t="shared" si="3"/>
        <v>בקרת עם מתן הודעה כאמור, יעדכן המוסד את מינהל התרבות, בכתב, על אודות הפקותיו, מועדי ההרצות ומיקומן (להלן בפסקה זו – פעילותו) לתקופה של 21 ימים ממועד מתן ההודעה כאמור וימשיך לעדכן בכתב את המינהל באופן שוטף על אודות פעילותו 21  ימים מראש לפחות</v>
      </c>
      <c r="BT29" s="361" t="str">
        <f t="shared" si="3"/>
        <v>בקרת עומד בתנאים לאור הקלות</v>
      </c>
      <c r="BU29" s="361" t="str">
        <f t="shared" ref="BU29:CC29" si="4">"בקרת "&amp;AH29</f>
        <v>בקרת המוסד לא קיבל תמיכה ממינהל התרבות בשנת הכספים הקודמת אך עומד בסעיפים 7 (א) (13) (א),(ב)</v>
      </c>
      <c r="BV29" s="361" t="str">
        <f t="shared" si="4"/>
        <v>בקרת ריק</v>
      </c>
      <c r="BW29" s="361" t="str">
        <f t="shared" si="4"/>
        <v>בקרת ריק</v>
      </c>
      <c r="BX29" s="361" t="str">
        <f t="shared" si="4"/>
        <v xml:space="preserve">בקרת </v>
      </c>
      <c r="BY29" s="361" t="str">
        <f t="shared" si="4"/>
        <v>בקרת מעבר תנאי סף-אישור מיוחד</v>
      </c>
      <c r="BZ29" s="361" t="str">
        <f t="shared" si="4"/>
        <v>בקרת ריק</v>
      </c>
      <c r="CA29" s="361" t="str">
        <f t="shared" si="4"/>
        <v>בקרת ריק</v>
      </c>
      <c r="CB29" s="361" t="str">
        <f t="shared" si="4"/>
        <v>בקרת ריק</v>
      </c>
      <c r="CC29" s="361" t="str">
        <f t="shared" si="4"/>
        <v>בקרת מעבר תנאי סף</v>
      </c>
      <c r="CH29" s="341" t="s">
        <v>92</v>
      </c>
      <c r="CT29" s="367"/>
      <c r="CU29" s="367"/>
      <c r="CV29" s="367"/>
      <c r="CW29" s="367" t="s">
        <v>108</v>
      </c>
      <c r="CX29" s="367" t="s">
        <v>109</v>
      </c>
      <c r="CY29" s="367" t="s">
        <v>110</v>
      </c>
      <c r="CZ29" s="367" t="s">
        <v>111</v>
      </c>
      <c r="DA29" s="367" t="s">
        <v>112</v>
      </c>
      <c r="DB29" s="367"/>
      <c r="DD29" s="367" t="s">
        <v>108</v>
      </c>
      <c r="DE29" s="367" t="s">
        <v>109</v>
      </c>
      <c r="DF29" s="367" t="s">
        <v>110</v>
      </c>
      <c r="DG29" s="367" t="s">
        <v>111</v>
      </c>
      <c r="DH29" s="367" t="s">
        <v>112</v>
      </c>
      <c r="DI29" s="367"/>
      <c r="DJ29" s="367"/>
      <c r="DK29" s="368" t="s">
        <v>118</v>
      </c>
      <c r="DL29" s="369" t="s">
        <v>119</v>
      </c>
      <c r="DM29" s="369" t="s">
        <v>120</v>
      </c>
    </row>
    <row r="30" spans="1:117" ht="18.75" customHeight="1" thickBot="1" x14ac:dyDescent="0.3">
      <c r="A30" s="370"/>
      <c r="B30" s="731"/>
      <c r="C30" s="733"/>
      <c r="D30" s="733"/>
      <c r="E30" s="733"/>
      <c r="F30" s="726"/>
      <c r="G30" s="371" t="s">
        <v>78</v>
      </c>
      <c r="H30" s="371" t="s">
        <v>78</v>
      </c>
      <c r="I30" s="371" t="s">
        <v>78</v>
      </c>
      <c r="J30" s="371" t="s">
        <v>78</v>
      </c>
      <c r="K30" s="371" t="s">
        <v>78</v>
      </c>
      <c r="L30" s="371" t="s">
        <v>78</v>
      </c>
      <c r="M30" s="371" t="s">
        <v>78</v>
      </c>
      <c r="N30" s="371" t="s">
        <v>78</v>
      </c>
      <c r="O30" s="371" t="s">
        <v>78</v>
      </c>
      <c r="P30" s="371" t="s">
        <v>78</v>
      </c>
      <c r="Q30" s="371" t="s">
        <v>78</v>
      </c>
      <c r="R30" s="371" t="s">
        <v>78</v>
      </c>
      <c r="S30" s="371" t="s">
        <v>78</v>
      </c>
      <c r="T30" s="371" t="s">
        <v>78</v>
      </c>
      <c r="U30" s="371" t="s">
        <v>78</v>
      </c>
      <c r="V30" s="371" t="s">
        <v>78</v>
      </c>
      <c r="W30" s="371" t="s">
        <v>78</v>
      </c>
      <c r="X30" s="371" t="s">
        <v>78</v>
      </c>
      <c r="Y30" s="371" t="s">
        <v>78</v>
      </c>
      <c r="Z30" s="727"/>
      <c r="AA30" s="371" t="s">
        <v>78</v>
      </c>
      <c r="AB30" s="371" t="s">
        <v>86</v>
      </c>
      <c r="AC30" s="371" t="s">
        <v>78</v>
      </c>
      <c r="AD30" s="371" t="s">
        <v>78</v>
      </c>
      <c r="AE30" s="371" t="s">
        <v>78</v>
      </c>
      <c r="AF30" s="727"/>
      <c r="AG30" s="371" t="s">
        <v>78</v>
      </c>
      <c r="AH30" s="727"/>
      <c r="AI30" s="371"/>
      <c r="AJ30" s="371"/>
      <c r="AK30" s="733"/>
      <c r="AL30" s="371"/>
      <c r="AM30" s="735"/>
      <c r="AN30" s="726"/>
      <c r="AO30" s="726"/>
      <c r="AP30" s="726"/>
      <c r="AQ30" s="372" t="s">
        <v>85</v>
      </c>
      <c r="AS30" s="341">
        <v>0</v>
      </c>
      <c r="AT30" s="341">
        <v>1</v>
      </c>
      <c r="AU30" s="361" t="str">
        <f t="shared" ref="AU30:BT30" si="5">G30</f>
        <v>0/1</v>
      </c>
      <c r="AV30" s="361" t="str">
        <f t="shared" si="5"/>
        <v>0/1</v>
      </c>
      <c r="AW30" s="361" t="str">
        <f t="shared" si="5"/>
        <v>0/1</v>
      </c>
      <c r="AX30" s="361" t="str">
        <f t="shared" si="5"/>
        <v>0/1</v>
      </c>
      <c r="AY30" s="361" t="str">
        <f t="shared" si="5"/>
        <v>0/1</v>
      </c>
      <c r="AZ30" s="361" t="str">
        <f t="shared" si="5"/>
        <v>0/1</v>
      </c>
      <c r="BA30" s="361" t="str">
        <f t="shared" si="5"/>
        <v>0/1</v>
      </c>
      <c r="BB30" s="361" t="str">
        <f t="shared" si="5"/>
        <v>0/1</v>
      </c>
      <c r="BC30" s="361" t="str">
        <f t="shared" si="5"/>
        <v>0/1</v>
      </c>
      <c r="BD30" s="361" t="str">
        <f t="shared" si="5"/>
        <v>0/1</v>
      </c>
      <c r="BE30" s="361" t="str">
        <f t="shared" si="5"/>
        <v>0/1</v>
      </c>
      <c r="BF30" s="361" t="str">
        <f t="shared" si="5"/>
        <v>0/1</v>
      </c>
      <c r="BG30" s="361" t="str">
        <f t="shared" si="5"/>
        <v>0/1</v>
      </c>
      <c r="BH30" s="361" t="str">
        <f t="shared" si="5"/>
        <v>0/1</v>
      </c>
      <c r="BI30" s="361" t="str">
        <f t="shared" si="5"/>
        <v>0/1</v>
      </c>
      <c r="BJ30" s="361" t="str">
        <f t="shared" si="5"/>
        <v>0/1</v>
      </c>
      <c r="BK30" s="361" t="str">
        <f t="shared" si="5"/>
        <v>0/1</v>
      </c>
      <c r="BL30" s="361" t="str">
        <f t="shared" si="5"/>
        <v>0/1</v>
      </c>
      <c r="BM30" s="361" t="str">
        <f t="shared" si="5"/>
        <v>0/1</v>
      </c>
      <c r="BN30" s="361">
        <f t="shared" si="5"/>
        <v>0</v>
      </c>
      <c r="BO30" s="361" t="str">
        <f t="shared" si="5"/>
        <v>0/1</v>
      </c>
      <c r="BP30" s="361" t="str">
        <f t="shared" si="5"/>
        <v>טקסט מרשימה סגורה</v>
      </c>
      <c r="BQ30" s="361" t="str">
        <f t="shared" si="5"/>
        <v>0/1</v>
      </c>
      <c r="BR30" s="361" t="str">
        <f t="shared" si="5"/>
        <v>0/1</v>
      </c>
      <c r="BS30" s="361" t="str">
        <f t="shared" si="5"/>
        <v>0/1</v>
      </c>
      <c r="BT30" s="361">
        <f t="shared" si="5"/>
        <v>0</v>
      </c>
      <c r="BU30" s="361">
        <f t="shared" ref="BU30:CC30" si="6">AH30</f>
        <v>0</v>
      </c>
      <c r="BV30" s="361">
        <f t="shared" si="6"/>
        <v>0</v>
      </c>
      <c r="BW30" s="361">
        <f t="shared" si="6"/>
        <v>0</v>
      </c>
      <c r="BX30" s="361">
        <f t="shared" si="6"/>
        <v>0</v>
      </c>
      <c r="BY30" s="361">
        <f t="shared" si="6"/>
        <v>0</v>
      </c>
      <c r="BZ30" s="361">
        <f t="shared" si="6"/>
        <v>0</v>
      </c>
      <c r="CA30" s="361">
        <f t="shared" si="6"/>
        <v>0</v>
      </c>
      <c r="CB30" s="361">
        <f t="shared" si="6"/>
        <v>0</v>
      </c>
      <c r="CC30" s="361">
        <f t="shared" si="6"/>
        <v>0</v>
      </c>
      <c r="CH30" s="341">
        <f t="shared" ref="CH30:CQ30" si="7">AV4</f>
        <v>1</v>
      </c>
      <c r="CI30" s="341">
        <f t="shared" si="7"/>
        <v>2</v>
      </c>
      <c r="CJ30" s="341">
        <f t="shared" si="7"/>
        <v>3</v>
      </c>
      <c r="CK30" s="341">
        <f t="shared" si="7"/>
        <v>4</v>
      </c>
      <c r="CL30" s="341">
        <f t="shared" si="7"/>
        <v>5</v>
      </c>
      <c r="CM30" s="341">
        <f t="shared" si="7"/>
        <v>6</v>
      </c>
      <c r="CN30" s="341">
        <f t="shared" si="7"/>
        <v>7</v>
      </c>
      <c r="CO30" s="341">
        <f t="shared" si="7"/>
        <v>8</v>
      </c>
      <c r="CP30" s="341">
        <f t="shared" si="7"/>
        <v>9</v>
      </c>
      <c r="CQ30" s="341">
        <f t="shared" si="7"/>
        <v>10</v>
      </c>
      <c r="CT30" s="354"/>
      <c r="CU30" s="354"/>
      <c r="CV30" s="354"/>
      <c r="DD30" s="354"/>
      <c r="DE30" s="354"/>
      <c r="DF30" s="354"/>
      <c r="DG30" s="354"/>
      <c r="DH30" s="354"/>
      <c r="DI30" s="354"/>
      <c r="DJ30" s="354"/>
      <c r="DK30" s="354"/>
    </row>
    <row r="31" spans="1:117" x14ac:dyDescent="0.25">
      <c r="B31" s="373">
        <f>IF(F31="","",ROW()-30)</f>
        <v>1</v>
      </c>
      <c r="C31" s="373"/>
      <c r="D31" s="373"/>
      <c r="E31" s="373"/>
      <c r="F31" s="374" t="s">
        <v>121</v>
      </c>
      <c r="G31" s="375">
        <v>1</v>
      </c>
      <c r="H31" s="375">
        <v>1</v>
      </c>
      <c r="I31" s="375">
        <v>1</v>
      </c>
      <c r="J31" s="375">
        <v>1</v>
      </c>
      <c r="K31" s="375">
        <v>1</v>
      </c>
      <c r="L31" s="375">
        <v>1</v>
      </c>
      <c r="M31" s="375">
        <v>1</v>
      </c>
      <c r="N31" s="375">
        <v>1</v>
      </c>
      <c r="O31" s="375">
        <v>1</v>
      </c>
      <c r="P31" s="375">
        <v>1</v>
      </c>
      <c r="Q31" s="375">
        <v>1</v>
      </c>
      <c r="R31" s="375">
        <v>1</v>
      </c>
      <c r="S31" s="375">
        <v>0</v>
      </c>
      <c r="T31" s="376">
        <v>1</v>
      </c>
      <c r="U31" s="376">
        <v>1</v>
      </c>
      <c r="V31" s="376">
        <v>1</v>
      </c>
      <c r="W31" s="376">
        <v>1</v>
      </c>
      <c r="X31" s="376">
        <v>1</v>
      </c>
      <c r="Y31" s="376">
        <v>1</v>
      </c>
      <c r="Z31" s="376">
        <f t="shared" ref="Z31:Z62" si="8">IF(F31="","",IF(AND(S31=1,T31=1),$AS$1,IF(OR(S31=1,AND(T31=1,U31=1,V31=1,W31=1,X31=1,Y31=1)),1,0)))</f>
        <v>1</v>
      </c>
      <c r="AA31" s="376">
        <v>1</v>
      </c>
      <c r="AB31" s="376"/>
      <c r="AC31" s="376"/>
      <c r="AD31" s="376"/>
      <c r="AE31" s="376"/>
      <c r="AF31" s="376">
        <f t="shared" ref="AF31:AF62" si="9">IF($F31="","",IF(OR(DL31=1,AND(DM31=1,AA31=1)),1,0))</f>
        <v>0</v>
      </c>
      <c r="AG31" s="376">
        <v>1</v>
      </c>
      <c r="AH31" s="376">
        <f t="shared" ref="AH31:AH62" si="10">IF(F31="","",IF(AA31=1,1,IF(AND(AB31="לא",SUM(AC31:AD31)=2),1,IF(AND(AB31="כן",SUM(AC31:AE31)=3),1,0))))</f>
        <v>1</v>
      </c>
      <c r="AI31" s="376"/>
      <c r="AJ31" s="376"/>
      <c r="AK31" s="373">
        <f t="shared" ref="AK31:AK62" si="11">IF(F31="","",IF(G31&gt;=$G$5,1,0))</f>
        <v>1</v>
      </c>
      <c r="AL31" s="373"/>
      <c r="AM31" s="373"/>
      <c r="AN31" s="373"/>
      <c r="AO31" s="373"/>
      <c r="AP31" s="377" cm="1">
        <f t="array" ref="AP31">IF($F31="","",IF(AL31=1,1,IF(AR31&lt;&gt;1,$AS$1,IF(SUMPRODUCT(--(G31:AK31&gt;=$G$5:$AK$5)*($G$5:$AK$5&lt;&gt;"")*($G$4:$AK$4=1))=COUNTIF($G$4:$AK$4,1),1,0))))</f>
        <v>1</v>
      </c>
      <c r="AQ31" s="378"/>
      <c r="AR31" s="341">
        <f t="shared" ref="AR31:AR62" si="12">IF(OR(SUM(AU31:CC31)&lt;&gt;COUNT(AU31:CC31),SUMPRODUCT(--(G31:AK31=$AS$1))&lt;&gt;0),0,1)</f>
        <v>1</v>
      </c>
      <c r="AS31" s="341">
        <f>IF($F31="","",AS$30)</f>
        <v>0</v>
      </c>
      <c r="AT31" s="341">
        <f>IF($F31="","",AT$30)</f>
        <v>1</v>
      </c>
      <c r="AU31" s="361">
        <f t="shared" ref="AU31:AU62" si="13">IF(OR(G$30="",G$4=99),1,IF(G31="",0,IFERROR(CHOOSE(AU$28,IF(ISNA(MATCH(G31,$AS$30:$AT$30,0)),0,1),IF(ISNUMBER(G31),1,0),IF(G31=TRUNC(G31),1,0),IF(AND(G31*1=G31,G31&gt;=0),1,0),IF(AND(G31=TRUNC(G31),G31&gt;=0),1,0),IF(AND(G31*1=G31,G31&gt;0),1,0),IF(AND(G31=TRUNC(G31),G31&gt;0),1,0),1,IF(ISNA(HLOOKUP(G31,$AV$4:$BE$4,1,0)),0,1)),0)))</f>
        <v>1</v>
      </c>
      <c r="AV31" s="361">
        <f t="shared" ref="AV31:AV62" si="14">IF(OR(H$30="",H$4=99),1,IF(H31="",0,IFERROR(CHOOSE(AV$28,IF(ISNA(MATCH(H31,$AS$30:$AT$30,0)),0,1),IF(ISNUMBER(H31),1,0),IF(H31=TRUNC(H31),1,0),IF(AND(H31*1=H31,H31&gt;=0),1,0),IF(AND(H31=TRUNC(H31),H31&gt;=0),1,0),IF(AND(H31*1=H31,H31&gt;0),1,0),IF(AND(H31=TRUNC(H31),H31&gt;0),1,0),1,IF(ISNA(HLOOKUP(H31,$AV$4:$BE$4,1,0)),0,1)),0)))</f>
        <v>1</v>
      </c>
      <c r="AW31" s="361">
        <f t="shared" ref="AW31:AW62" si="15">IF(OR(I$30="",I$4=99),1,IF(I31="",0,IFERROR(CHOOSE(AW$28,IF(ISNA(MATCH(I31,$AS$30:$AT$30,0)),0,1),IF(ISNUMBER(I31),1,0),IF(I31=TRUNC(I31),1,0),IF(AND(I31*1=I31,I31&gt;=0),1,0),IF(AND(I31=TRUNC(I31),I31&gt;=0),1,0),IF(AND(I31*1=I31,I31&gt;0),1,0),IF(AND(I31=TRUNC(I31),I31&gt;0),1,0),1,IF(ISNA(HLOOKUP(I31,$AV$4:$BE$4,1,0)),0,1)),0)))</f>
        <v>1</v>
      </c>
      <c r="AX31" s="361">
        <f t="shared" ref="AX31:AX62" si="16">IF(OR(J$30="",J$4=99),1,IF(J31="",0,IFERROR(CHOOSE(AX$28,IF(ISNA(MATCH(J31,$AS$30:$AT$30,0)),0,1),IF(ISNUMBER(J31),1,0),IF(J31=TRUNC(J31),1,0),IF(AND(J31*1=J31,J31&gt;=0),1,0),IF(AND(J31=TRUNC(J31),J31&gt;=0),1,0),IF(AND(J31*1=J31,J31&gt;0),1,0),IF(AND(J31=TRUNC(J31),J31&gt;0),1,0),1,IF(ISNA(HLOOKUP(J31,$AV$4:$BE$4,1,0)),0,1)),0)))</f>
        <v>1</v>
      </c>
      <c r="AY31" s="361">
        <f t="shared" ref="AY31:AY62" si="17">IF(OR(K$30="",K$4=99),1,IF(K31="",0,IFERROR(CHOOSE(AY$28,IF(ISNA(MATCH(K31,$AS$30:$AT$30,0)),0,1),IF(ISNUMBER(K31),1,0),IF(K31=TRUNC(K31),1,0),IF(AND(K31*1=K31,K31&gt;=0),1,0),IF(AND(K31=TRUNC(K31),K31&gt;=0),1,0),IF(AND(K31*1=K31,K31&gt;0),1,0),IF(AND(K31=TRUNC(K31),K31&gt;0),1,0),1,IF(ISNA(HLOOKUP(K31,$AV$4:$BE$4,1,0)),0,1)),0)))</f>
        <v>1</v>
      </c>
      <c r="AZ31" s="361">
        <f t="shared" ref="AZ31:AZ62" si="18">IF(OR(L$30="",L$4=99),1,IF(L31="",0,IFERROR(CHOOSE(AZ$28,IF(ISNA(MATCH(L31,$AS$30:$AT$30,0)),0,1),IF(ISNUMBER(L31),1,0),IF(L31=TRUNC(L31),1,0),IF(AND(L31*1=L31,L31&gt;=0),1,0),IF(AND(L31=TRUNC(L31),L31&gt;=0),1,0),IF(AND(L31*1=L31,L31&gt;0),1,0),IF(AND(L31=TRUNC(L31),L31&gt;0),1,0),1,IF(ISNA(HLOOKUP(L31,$AV$4:$BE$4,1,0)),0,1)),0)))</f>
        <v>1</v>
      </c>
      <c r="BA31" s="361">
        <f t="shared" ref="BA31:BA62" si="19">IF(OR(M$30="",M$4=99),1,IF(M31="",0,IFERROR(CHOOSE(BA$28,IF(ISNA(MATCH(M31,$AS$30:$AT$30,0)),0,1),IF(ISNUMBER(M31),1,0),IF(M31=TRUNC(M31),1,0),IF(AND(M31*1=M31,M31&gt;=0),1,0),IF(AND(M31=TRUNC(M31),M31&gt;=0),1,0),IF(AND(M31*1=M31,M31&gt;0),1,0),IF(AND(M31=TRUNC(M31),M31&gt;0),1,0),1,IF(ISNA(HLOOKUP(M31,$AV$4:$BE$4,1,0)),0,1)),0)))</f>
        <v>1</v>
      </c>
      <c r="BB31" s="361">
        <f t="shared" ref="BB31:BB62" si="20">IF(OR(N$30="",N$4=99),1,IF(N31="",0,IFERROR(CHOOSE(BB$28,IF(ISNA(MATCH(N31,$AS$30:$AT$30,0)),0,1),IF(ISNUMBER(N31),1,0),IF(N31=TRUNC(N31),1,0),IF(AND(N31*1=N31,N31&gt;=0),1,0),IF(AND(N31=TRUNC(N31),N31&gt;=0),1,0),IF(AND(N31*1=N31,N31&gt;0),1,0),IF(AND(N31=TRUNC(N31),N31&gt;0),1,0),1,IF(ISNA(HLOOKUP(N31,$AV$4:$BE$4,1,0)),0,1)),0)))</f>
        <v>1</v>
      </c>
      <c r="BC31" s="361">
        <f t="shared" ref="BC31:BC62" si="21">IF(OR(O$30="",O$4=99),1,IF(O31="",0,IFERROR(CHOOSE(BC$28,IF(ISNA(MATCH(O31,$AS$30:$AT$30,0)),0,1),IF(ISNUMBER(O31),1,0),IF(O31=TRUNC(O31),1,0),IF(AND(O31*1=O31,O31&gt;=0),1,0),IF(AND(O31=TRUNC(O31),O31&gt;=0),1,0),IF(AND(O31*1=O31,O31&gt;0),1,0),IF(AND(O31=TRUNC(O31),O31&gt;0),1,0),1,IF(ISNA(HLOOKUP(O31,$AV$4:$BE$4,1,0)),0,1)),0)))</f>
        <v>1</v>
      </c>
      <c r="BD31" s="361">
        <f t="shared" ref="BD31:BD62" si="22">IF(OR(P$30="",P$4=99),1,IF(P31="",0,IFERROR(CHOOSE(BD$28,IF(ISNA(MATCH(P31,$AS$30:$AT$30,0)),0,1),IF(ISNUMBER(P31),1,0),IF(P31=TRUNC(P31),1,0),IF(AND(P31*1=P31,P31&gt;=0),1,0),IF(AND(P31=TRUNC(P31),P31&gt;=0),1,0),IF(AND(P31*1=P31,P31&gt;0),1,0),IF(AND(P31=TRUNC(P31),P31&gt;0),1,0),1,IF(ISNA(HLOOKUP(P31,$AV$4:$BE$4,1,0)),0,1)),0)))</f>
        <v>1</v>
      </c>
      <c r="BE31" s="361">
        <f t="shared" ref="BE31:BE62" si="23">IF(OR(Q$30="",Q$4=99),1,IF(Q31="",0,IFERROR(CHOOSE(BE$28,IF(ISNA(MATCH(Q31,$AS$30:$AT$30,0)),0,1),IF(ISNUMBER(Q31),1,0),IF(Q31=TRUNC(Q31),1,0),IF(AND(Q31*1=Q31,Q31&gt;=0),1,0),IF(AND(Q31=TRUNC(Q31),Q31&gt;=0),1,0),IF(AND(Q31*1=Q31,Q31&gt;0),1,0),IF(AND(Q31=TRUNC(Q31),Q31&gt;0),1,0),1,IF(ISNA(HLOOKUP(Q31,$AV$4:$BE$4,1,0)),0,1)),0)))</f>
        <v>1</v>
      </c>
      <c r="BF31" s="361">
        <f t="shared" ref="BF31:BF62" si="24">IF(OR(R$30="",R$4=99),1,IF(R31="",0,IFERROR(CHOOSE(BF$28,IF(ISNA(MATCH(R31,$AS$30:$AT$30,0)),0,1),IF(ISNUMBER(R31),1,0),IF(R31=TRUNC(R31),1,0),IF(AND(R31*1=R31,R31&gt;=0),1,0),IF(AND(R31=TRUNC(R31),R31&gt;=0),1,0),IF(AND(R31*1=R31,R31&gt;0),1,0),IF(AND(R31=TRUNC(R31),R31&gt;0),1,0),1,IF(ISNA(HLOOKUP(R31,$AV$4:$BE$4,1,0)),0,1)),0)))</f>
        <v>1</v>
      </c>
      <c r="BG31" s="361">
        <f t="shared" ref="BG31:BG62" si="25">IF(OR(S$30="",S$4=99),1,IF(S31="",0,IFERROR(CHOOSE(BF$28,IF(ISNA(MATCH(S31,$AS$30:$AT$30,0)),0,1),IF(ISNUMBER(S31),1,0),IF(S31=TRUNC(S31),1,0),IF(AND(S31*1=S31,S31&gt;=0),1,0),IF(AND(S31=TRUNC(S31),S31&gt;=0),1,0),IF(AND(S31*1=S31,S31&gt;0),1,0),IF(AND(S31=TRUNC(S31),S31&gt;0),1,0),1,IF(ISNA(HLOOKUP(S31,$AV$4:$BE$4,1,0)),0,1)),0)))</f>
        <v>1</v>
      </c>
      <c r="BH31" s="361">
        <f t="shared" ref="BH31:BH62" si="26">IF(OR(T$30="",T$4=99),1,IF(T31="",0,IFERROR(CHOOSE(BG$28,IF(ISNA(MATCH(T31,$AS$30:$AT$30,0)),0,1),IF(ISNUMBER(T31),1,0),IF(T31=TRUNC(T31),1,0),IF(AND(T31*1=T31,T31&gt;=0),1,0),IF(AND(T31=TRUNC(T31),T31&gt;=0),1,0),IF(AND(T31*1=T31,T31&gt;0),1,0),IF(AND(T31=TRUNC(T31),T31&gt;0),1,0),1,IF(ISNA(HLOOKUP(T31,$AV$4:$BE$4,1,0)),0,1)),0)))</f>
        <v>1</v>
      </c>
      <c r="BI31" s="361">
        <f t="shared" ref="BI31:BI62" si="27">IF(OR(U$30="",U$4=99),1,IF(U31="",0,IFERROR(CHOOSE(BH$28,IF(ISNA(MATCH(U31,$AS$30:$AT$30,0)),0,1),IF(ISNUMBER(U31),1,0),IF(U31=TRUNC(U31),1,0),IF(AND(U31*1=U31,U31&gt;=0),1,0),IF(AND(U31=TRUNC(U31),U31&gt;=0),1,0),IF(AND(U31*1=U31,U31&gt;0),1,0),IF(AND(U31=TRUNC(U31),U31&gt;0),1,0),1,IF(ISNA(HLOOKUP(U31,$AV$4:$BE$4,1,0)),0,1)),0)))</f>
        <v>1</v>
      </c>
      <c r="BJ31" s="361">
        <f t="shared" ref="BJ31:BJ62" si="28">IF(OR(V$30="",V$4=99),1,IF(V31="",0,IFERROR(CHOOSE(BI$28,IF(ISNA(MATCH(V31,$AS$30:$AT$30,0)),0,1),IF(ISNUMBER(V31),1,0),IF(V31=TRUNC(V31),1,0),IF(AND(V31*1=V31,V31&gt;=0),1,0),IF(AND(V31=TRUNC(V31),V31&gt;=0),1,0),IF(AND(V31*1=V31,V31&gt;0),1,0),IF(AND(V31=TRUNC(V31),V31&gt;0),1,0),1,IF(ISNA(HLOOKUP(V31,$AV$4:$BE$4,1,0)),0,1)),0)))</f>
        <v>1</v>
      </c>
      <c r="BK31" s="361">
        <f t="shared" ref="BK31:BK62" si="29">IF(OR(W$30="",W$4=99),1,IF(W31="",0,IFERROR(CHOOSE(BJ$28,IF(ISNA(MATCH(W31,$AS$30:$AT$30,0)),0,1),IF(ISNUMBER(W31),1,0),IF(W31=TRUNC(W31),1,0),IF(AND(W31*1=W31,W31&gt;=0),1,0),IF(AND(W31=TRUNC(W31),W31&gt;=0),1,0),IF(AND(W31*1=W31,W31&gt;0),1,0),IF(AND(W31=TRUNC(W31),W31&gt;0),1,0),1,IF(ISNA(HLOOKUP(W31,$AV$4:$BE$4,1,0)),0,1)),0)))</f>
        <v>1</v>
      </c>
      <c r="BL31" s="361">
        <f t="shared" ref="BL31:BL62" si="30">IF(OR(X$30="",X$4=99),1,IF(X31="",0,IFERROR(CHOOSE(BK$28,IF(ISNA(MATCH(X31,$AS$30:$AT$30,0)),0,1),IF(ISNUMBER(X31),1,0),IF(X31=TRUNC(X31),1,0),IF(AND(X31*1=X31,X31&gt;=0),1,0),IF(AND(X31=TRUNC(X31),X31&gt;=0),1,0),IF(AND(X31*1=X31,X31&gt;0),1,0),IF(AND(X31=TRUNC(X31),X31&gt;0),1,0),1,IF(ISNA(HLOOKUP(X31,$AV$4:$BE$4,1,0)),0,1)),0)))</f>
        <v>1</v>
      </c>
      <c r="BM31" s="361">
        <f t="shared" ref="BM31:BM62" si="31">IF(OR(Y$30="",Y$4=99),1,IF(Y31="",0,IFERROR(CHOOSE(BL$28,IF(ISNA(MATCH(Y31,$AS$30:$AT$30,0)),0,1),IF(ISNUMBER(Y31),1,0),IF(Y31=TRUNC(Y31),1,0),IF(AND(Y31*1=Y31,Y31&gt;=0),1,0),IF(AND(Y31=TRUNC(Y31),Y31&gt;=0),1,0),IF(AND(Y31*1=Y31,Y31&gt;0),1,0),IF(AND(Y31=TRUNC(Y31),Y31&gt;0),1,0),1,IF(ISNA(HLOOKUP(Y31,$AV$4:$BE$4,1,0)),0,1)),0)))</f>
        <v>1</v>
      </c>
      <c r="BN31" s="361">
        <f t="shared" ref="BN31:BN62" si="32">IF(OR(Z$30="",Z$4=99),1,IF(Z31="",0,IFERROR(CHOOSE(BM$28,IF(ISNA(MATCH(Z31,$AS$30:$AT$30,0)),0,1),IF(ISNUMBER(Z31),1,0),IF(Z31=TRUNC(Z31),1,0),IF(AND(Z31*1=Z31,Z31&gt;=0),1,0),IF(AND(Z31=TRUNC(Z31),Z31&gt;=0),1,0),IF(AND(Z31*1=Z31,Z31&gt;0),1,0),IF(AND(Z31=TRUNC(Z31),Z31&gt;0),1,0),1,IF(ISNA(HLOOKUP(Z31,$AV$4:$BE$4,1,0)),0,1)),0)))</f>
        <v>1</v>
      </c>
      <c r="BO31" s="361">
        <f t="shared" ref="BO31:BO62" si="33">IF(OR(AA$30="",AA$4=99),1,IF(AA31="",0,IFERROR(CHOOSE(BN$28,IF(ISNA(MATCH(AA31,$AS$30:$AT$30,0)),0,1),IF(ISNUMBER(AA31),1,0),IF(AA31=TRUNC(AA31),1,0),IF(AND(AA31*1=AA31,AA31&gt;=0),1,0),IF(AND(AA31=TRUNC(AA31),AA31&gt;=0),1,0),IF(AND(AA31*1=AA31,AA31&gt;0),1,0),IF(AND(AA31=TRUNC(AA31),AA31&gt;0),1,0),1,IF(ISNA(HLOOKUP(AA31,$AV$4:$BE$4,1,0)),0,1)),0)))</f>
        <v>1</v>
      </c>
      <c r="BP31" s="361">
        <f t="shared" ref="BP31:BP62" si="34">IF(OR(AB$30="",AB$4=99),1,IF(AB31="",0,IFERROR(CHOOSE(BO$28,IF(ISNA(MATCH(AB31,$AS$30:$AT$30,0)),0,1),IF(ISNUMBER(AB31),1,0),IF(AB31=TRUNC(AB31),1,0),IF(AND(AB31*1=AB31,AB31&gt;=0),1,0),IF(AND(AB31=TRUNC(AB31),AB31&gt;=0),1,0),IF(AND(AB31*1=AB31,AB31&gt;0),1,0),IF(AND(AB31=TRUNC(AB31),AB31&gt;0),1,0),1,IF(ISNA(HLOOKUP(AB31,$AV$4:$BE$4,1,0)),0,1)),0)))</f>
        <v>1</v>
      </c>
      <c r="BQ31" s="361">
        <f t="shared" ref="BQ31:BQ62" si="35">IF(OR(AC$30="",AC$4=99),1,IF(AC31="",0,IFERROR(CHOOSE(BP$28,IF(ISNA(MATCH(AC31,$AS$30:$AT$30,0)),0,1),IF(ISNUMBER(AC31),1,0),IF(AC31=TRUNC(AC31),1,0),IF(AND(AC31*1=AC31,AC31&gt;=0),1,0),IF(AND(AC31=TRUNC(AC31),AC31&gt;=0),1,0),IF(AND(AC31*1=AC31,AC31&gt;0),1,0),IF(AND(AC31=TRUNC(AC31),AC31&gt;0),1,0),1,IF(ISNA(HLOOKUP(AC31,$AV$4:$BE$4,1,0)),0,1)),0)))</f>
        <v>1</v>
      </c>
      <c r="BR31" s="361">
        <f t="shared" ref="BR31:BR62" si="36">IF(OR(AD$30="",AD$4=99),1,IF(AD31="",0,IFERROR(CHOOSE(BQ$28,IF(ISNA(MATCH(AD31,$AS$30:$AT$30,0)),0,1),IF(ISNUMBER(AD31),1,0),IF(AD31=TRUNC(AD31),1,0),IF(AND(AD31*1=AD31,AD31&gt;=0),1,0),IF(AND(AD31=TRUNC(AD31),AD31&gt;=0),1,0),IF(AND(AD31*1=AD31,AD31&gt;0),1,0),IF(AND(AD31=TRUNC(AD31),AD31&gt;0),1,0),1,IF(ISNA(HLOOKUP(AD31,$AV$4:$BE$4,1,0)),0,1)),0)))</f>
        <v>1</v>
      </c>
      <c r="BS31" s="361">
        <f t="shared" ref="BS31:BS62" si="37">IF(OR(AE$30="",AE$4=99),1,IF(AE31="",0,IFERROR(CHOOSE(BR$28,IF(ISNA(MATCH(AE31,$AS$30:$AT$30,0)),0,1),IF(ISNUMBER(AE31),1,0),IF(AE31=TRUNC(AE31),1,0),IF(AND(AE31*1=AE31,AE31&gt;=0),1,0),IF(AND(AE31=TRUNC(AE31),AE31&gt;=0),1,0),IF(AND(AE31*1=AE31,AE31&gt;0),1,0),IF(AND(AE31=TRUNC(AE31),AE31&gt;0),1,0),1,IF(ISNA(HLOOKUP(AE31,$AV$4:$BE$4,1,0)),0,1)),0)))</f>
        <v>1</v>
      </c>
      <c r="BT31" s="361">
        <f t="shared" ref="BT31:BT62" si="38">IF(OR(AF$30="",AF$4=99),1,IF(AF31="",0,IFERROR(CHOOSE(BS$28,IF(ISNA(MATCH(AF31,$AS$30:$AT$30,0)),0,1),IF(ISNUMBER(AF31),1,0),IF(AF31=TRUNC(AF31),1,0),IF(AND(AF31*1=AF31,AF31&gt;=0),1,0),IF(AND(AF31=TRUNC(AF31),AF31&gt;=0),1,0),IF(AND(AF31*1=AF31,AF31&gt;0),1,0),IF(AND(AF31=TRUNC(AF31),AF31&gt;0),1,0),1,IF(ISNA(HLOOKUP(AF31,$AV$4:$BE$4,1,0)),0,1)),0)))</f>
        <v>1</v>
      </c>
      <c r="BU31" s="361">
        <f t="shared" ref="BU31:BU62" si="39">IF(OR(AH$30="",AH$4=99),1,IF(AH31="",0,IFERROR(CHOOSE(BT$28,IF(ISNA(MATCH(AH31,$AS$30:$AT$30,0)),0,1),IF(ISNUMBER(AH31),1,0),IF(AH31=TRUNC(AH31),1,0),IF(AND(AH31*1=AH31,AH31&gt;=0),1,0),IF(AND(AH31=TRUNC(AH31),AH31&gt;=0),1,0),IF(AND(AH31*1=AH31,AH31&gt;0),1,0),IF(AND(AH31=TRUNC(AH31),AH31&gt;0),1,0),1,IF(ISNA(HLOOKUP(AH31,$AV$4:$BE$4,1,0)),0,1)),0)))</f>
        <v>1</v>
      </c>
      <c r="BV31" s="361">
        <f t="shared" ref="BV31:BV62" si="40">IF(OR(AI$30="",AI$4=99),1,IF(AI31="",0,IFERROR(CHOOSE(BU$28,IF(ISNA(MATCH(AI31,$AS$30:$AT$30,0)),0,1),IF(ISNUMBER(AI31),1,0),IF(AI31=TRUNC(AI31),1,0),IF(AND(AI31*1=AI31,AI31&gt;=0),1,0),IF(AND(AI31=TRUNC(AI31),AI31&gt;=0),1,0),IF(AND(AI31*1=AI31,AI31&gt;0),1,0),IF(AND(AI31=TRUNC(AI31),AI31&gt;0),1,0),1,IF(ISNA(HLOOKUP(AI31,$AV$4:$BE$4,1,0)),0,1)),0)))</f>
        <v>1</v>
      </c>
      <c r="BW31" s="361">
        <f t="shared" ref="BW31:BW62" si="41">IF(OR(AJ$30="",AJ$4=99),1,IF(AJ31="",0,IFERROR(CHOOSE(BV$28,IF(ISNA(MATCH(AJ31,$AS$30:$AT$30,0)),0,1),IF(ISNUMBER(AJ31),1,0),IF(AJ31=TRUNC(AJ31),1,0),IF(AND(AJ31*1=AJ31,AJ31&gt;=0),1,0),IF(AND(AJ31=TRUNC(AJ31),AJ31&gt;=0),1,0),IF(AND(AJ31*1=AJ31,AJ31&gt;0),1,0),IF(AND(AJ31=TRUNC(AJ31),AJ31&gt;0),1,0),1,IF(ISNA(HLOOKUP(AJ31,$AV$4:$BE$4,1,0)),0,1)),0)))</f>
        <v>1</v>
      </c>
      <c r="BX31" s="361">
        <f t="shared" ref="BX31:BX62" si="42">IF(OR(AK$30="",AK$4=99),1,IF(AK31="",0,IFERROR(CHOOSE(BW$28,IF(ISNA(MATCH(AK31,$AS$30:$AT$30,0)),0,1),IF(ISNUMBER(AK31),1,0),IF(AK31=TRUNC(AK31),1,0),IF(AND(AK31*1=AK31,AK31&gt;=0),1,0),IF(AND(AK31=TRUNC(AK31),AK31&gt;=0),1,0),IF(AND(AK31*1=AK31,AK31&gt;0),1,0),IF(AND(AK31=TRUNC(AK31),AK31&gt;0),1,0),1,IF(ISNA(HLOOKUP(AK31,$AV$4:$BE$4,1,0)),0,1)),0)))</f>
        <v>1</v>
      </c>
      <c r="BY31" s="361">
        <f t="shared" ref="BY31:BY62" si="43">IF(OR(AL$30="",AL$4=99),1,IF(AL31="",0,IFERROR(CHOOSE(BX$28,IF(ISNA(MATCH(AL31,$AS$30:$AT$30,0)),0,1),IF(ISNUMBER(AL31),1,0),IF(AL31=TRUNC(AL31),1,0),IF(AND(AL31*1=AL31,AL31&gt;=0),1,0),IF(AND(AL31=TRUNC(AL31),AL31&gt;=0),1,0),IF(AND(AL31*1=AL31,AL31&gt;0),1,0),IF(AND(AL31=TRUNC(AL31),AL31&gt;0),1,0),1,IF(ISNA(HLOOKUP(AL31,$AV$4:$BE$4,1,0)),0,1)),0)))</f>
        <v>1</v>
      </c>
      <c r="BZ31" s="361">
        <f t="shared" ref="BZ31:BZ62" si="44">IF(OR(AM$30="",AM$4=99),1,IF(AM31="",0,IFERROR(CHOOSE(BY$28,IF(ISNA(MATCH(AM31,$AS$30:$AT$30,0)),0,1),IF(ISNUMBER(AM31),1,0),IF(AM31=TRUNC(AM31),1,0),IF(AND(AM31*1=AM31,AM31&gt;=0),1,0),IF(AND(AM31=TRUNC(AM31),AM31&gt;=0),1,0),IF(AND(AM31*1=AM31,AM31&gt;0),1,0),IF(AND(AM31=TRUNC(AM31),AM31&gt;0),1,0),1,IF(ISNA(HLOOKUP(AM31,$AV$4:$BE$4,1,0)),0,1)),0)))</f>
        <v>1</v>
      </c>
      <c r="CA31" s="361">
        <f t="shared" ref="CA31:CA62" si="45">IF(OR(AN$30="",AN$4=99),1,IF(AN31="",0,IFERROR(CHOOSE(BZ$28,IF(ISNA(MATCH(AN31,$AS$30:$AT$30,0)),0,1),IF(ISNUMBER(AN31),1,0),IF(AN31=TRUNC(AN31),1,0),IF(AND(AN31*1=AN31,AN31&gt;=0),1,0),IF(AND(AN31=TRUNC(AN31),AN31&gt;=0),1,0),IF(AND(AN31*1=AN31,AN31&gt;0),1,0),IF(AND(AN31=TRUNC(AN31),AN31&gt;0),1,0),1,IF(ISNA(HLOOKUP(AN31,$AV$4:$BE$4,1,0)),0,1)),0)))</f>
        <v>1</v>
      </c>
      <c r="CB31" s="361">
        <f t="shared" ref="CB31:CB62" si="46">IF(OR(AO$30="",AO$4=99),1,IF(AO31="",0,IFERROR(CHOOSE(CA$28,IF(ISNA(MATCH(AO31,$AS$30:$AT$30,0)),0,1),IF(ISNUMBER(AO31),1,0),IF(AO31=TRUNC(AO31),1,0),IF(AND(AO31*1=AO31,AO31&gt;=0),1,0),IF(AND(AO31=TRUNC(AO31),AO31&gt;=0),1,0),IF(AND(AO31*1=AO31,AO31&gt;0),1,0),IF(AND(AO31=TRUNC(AO31),AO31&gt;0),1,0),1,IF(ISNA(HLOOKUP(AO31,$AV$4:$BE$4,1,0)),0,1)),0)))</f>
        <v>1</v>
      </c>
      <c r="CC31" s="361">
        <f t="shared" ref="CC31:CC62" si="47">IF(OR(AP$30="",AP$4=99),1,IF(AP31="",0,IFERROR(CHOOSE(CB$28,IF(ISNA(MATCH(AP31,$AS$30:$AT$30,0)),0,1),IF(ISNUMBER(AP31),1,0),IF(AP31=TRUNC(AP31),1,0),IF(AND(AP31*1=AP31,AP31&gt;=0),1,0),IF(AND(AP31=TRUNC(AP31),AP31&gt;=0),1,0),IF(AND(AP31*1=AP31,AP31&gt;0),1,0),IF(AND(AP31=TRUNC(AP31),AP31&gt;0),1,0),1,IF(ISNA(HLOOKUP(AP31,$AV$4:$BE$4,1,0)),0,1)),0)))</f>
        <v>1</v>
      </c>
      <c r="CH31" s="341">
        <f>IF($F31="","",CH$30)</f>
        <v>1</v>
      </c>
      <c r="CI31" s="341">
        <f t="shared" ref="CI31:CQ46" si="48">IF($F31="","",CI$30)</f>
        <v>2</v>
      </c>
      <c r="CJ31" s="341">
        <f t="shared" si="48"/>
        <v>3</v>
      </c>
      <c r="CK31" s="341">
        <f t="shared" si="48"/>
        <v>4</v>
      </c>
      <c r="CL31" s="341">
        <f t="shared" si="48"/>
        <v>5</v>
      </c>
      <c r="CM31" s="341">
        <f t="shared" si="48"/>
        <v>6</v>
      </c>
      <c r="CN31" s="341">
        <f t="shared" si="48"/>
        <v>7</v>
      </c>
      <c r="CO31" s="341">
        <f t="shared" si="48"/>
        <v>8</v>
      </c>
      <c r="CP31" s="341">
        <f t="shared" si="48"/>
        <v>9</v>
      </c>
      <c r="CQ31" s="341">
        <f t="shared" si="48"/>
        <v>10</v>
      </c>
      <c r="CT31" s="353"/>
      <c r="CU31" s="353"/>
      <c r="CV31" s="353"/>
      <c r="CW31" s="353" t="b">
        <f t="shared" ref="CW31:CW62" si="49">W31&gt;=CV$5</f>
        <v>1</v>
      </c>
      <c r="CX31" s="353" t="b">
        <f t="shared" ref="CX31:CX62" si="50">X31&gt;=CW$5</f>
        <v>0</v>
      </c>
      <c r="CY31" s="353" t="b">
        <f t="shared" ref="CY31:CY62" si="51">Y31&gt;=CX$5</f>
        <v>1</v>
      </c>
      <c r="DC31" s="347">
        <f>COUNTIF(CW31:DA31,TRUE)</f>
        <v>2</v>
      </c>
      <c r="DD31" s="353" t="b">
        <f t="shared" ref="DD31:DD62" si="52">W31&gt;=DC$5</f>
        <v>1</v>
      </c>
      <c r="DE31" s="353" t="b">
        <f t="shared" ref="DE31:DE62" si="53">X31&gt;=DD$5</f>
        <v>0</v>
      </c>
      <c r="DF31" s="353" t="b">
        <f t="shared" ref="DF31:DF62" si="54">Y31&gt;=DE$5</f>
        <v>1</v>
      </c>
      <c r="DG31" s="353"/>
      <c r="DH31" s="353"/>
      <c r="DI31" s="353"/>
      <c r="DJ31" s="353"/>
      <c r="DK31" s="353">
        <f>COUNTIF(DD31:DJ31,TRUE)</f>
        <v>2</v>
      </c>
      <c r="DL31" s="341">
        <f>IF($F31="","",IF(DC31=$CW$3,1,0))</f>
        <v>0</v>
      </c>
      <c r="DM31" s="341">
        <f t="shared" ref="DM31:DM62" si="55">IF($F31="","",IF(AND(DK31=$CW$3,DK31-DC31&lt;=$DD$3),1,0))</f>
        <v>0</v>
      </c>
    </row>
    <row r="32" spans="1:117" x14ac:dyDescent="0.25">
      <c r="B32" s="373">
        <f t="shared" ref="B32:B89" si="56">IF(F32="","",ROW()-30)</f>
        <v>2</v>
      </c>
      <c r="C32" s="373"/>
      <c r="D32" s="373"/>
      <c r="E32" s="373"/>
      <c r="F32" s="374" t="s">
        <v>122</v>
      </c>
      <c r="G32" s="376">
        <v>1</v>
      </c>
      <c r="H32" s="375">
        <v>1</v>
      </c>
      <c r="I32" s="375">
        <v>1</v>
      </c>
      <c r="J32" s="375">
        <v>1</v>
      </c>
      <c r="K32" s="375">
        <v>1</v>
      </c>
      <c r="L32" s="375">
        <v>1</v>
      </c>
      <c r="M32" s="375">
        <v>1</v>
      </c>
      <c r="N32" s="375">
        <v>1</v>
      </c>
      <c r="O32" s="375">
        <v>1</v>
      </c>
      <c r="P32" s="375">
        <v>1</v>
      </c>
      <c r="Q32" s="375">
        <v>1</v>
      </c>
      <c r="R32" s="375">
        <v>1</v>
      </c>
      <c r="S32" s="375">
        <v>1</v>
      </c>
      <c r="T32" s="376">
        <v>0</v>
      </c>
      <c r="U32" s="376">
        <v>0</v>
      </c>
      <c r="V32" s="376">
        <v>1</v>
      </c>
      <c r="W32" s="376">
        <v>0</v>
      </c>
      <c r="X32" s="376">
        <v>0</v>
      </c>
      <c r="Y32" s="376">
        <v>0</v>
      </c>
      <c r="Z32" s="376">
        <f t="shared" si="8"/>
        <v>1</v>
      </c>
      <c r="AA32" s="376">
        <v>1</v>
      </c>
      <c r="AB32" s="376" t="s">
        <v>418</v>
      </c>
      <c r="AC32" s="376">
        <v>1</v>
      </c>
      <c r="AD32" s="376">
        <v>1</v>
      </c>
      <c r="AE32" s="376">
        <v>1</v>
      </c>
      <c r="AF32" s="376">
        <f t="shared" si="9"/>
        <v>0</v>
      </c>
      <c r="AG32" s="376">
        <v>1</v>
      </c>
      <c r="AH32" s="376">
        <f t="shared" si="10"/>
        <v>1</v>
      </c>
      <c r="AI32" s="376"/>
      <c r="AJ32" s="376"/>
      <c r="AK32" s="373">
        <f t="shared" si="11"/>
        <v>1</v>
      </c>
      <c r="AL32" s="373"/>
      <c r="AM32" s="373"/>
      <c r="AN32" s="373"/>
      <c r="AO32" s="373"/>
      <c r="AP32" s="377">
        <f t="shared" ref="AP32:AP63" si="57">IF($F32="","",IF(AL32=1,1,IF(AR32&lt;&gt;1,$AS$1,IF(SUMPRODUCT(--(G32:AK32&gt;=$G$5:$AK$5)*($G$5:$AK$5&lt;&gt;"")*($G$4:$AK$4=1))=COUNTIF($G$4:$AK$4,1),1,0))))</f>
        <v>1</v>
      </c>
      <c r="AQ32" s="378"/>
      <c r="AR32" s="341">
        <f t="shared" si="12"/>
        <v>1</v>
      </c>
      <c r="AS32" s="341">
        <f t="shared" ref="AS32:AT63" si="58">IF($F32="","",AS$30)</f>
        <v>0</v>
      </c>
      <c r="AT32" s="341">
        <f t="shared" si="58"/>
        <v>1</v>
      </c>
      <c r="AU32" s="361">
        <f t="shared" si="13"/>
        <v>1</v>
      </c>
      <c r="AV32" s="361">
        <f t="shared" si="14"/>
        <v>1</v>
      </c>
      <c r="AW32" s="361">
        <f t="shared" si="15"/>
        <v>1</v>
      </c>
      <c r="AX32" s="361">
        <f t="shared" si="16"/>
        <v>1</v>
      </c>
      <c r="AY32" s="361">
        <f t="shared" si="17"/>
        <v>1</v>
      </c>
      <c r="AZ32" s="361">
        <f t="shared" si="18"/>
        <v>1</v>
      </c>
      <c r="BA32" s="361">
        <f t="shared" si="19"/>
        <v>1</v>
      </c>
      <c r="BB32" s="361">
        <f t="shared" si="20"/>
        <v>1</v>
      </c>
      <c r="BC32" s="361">
        <f t="shared" si="21"/>
        <v>1</v>
      </c>
      <c r="BD32" s="361">
        <f t="shared" si="22"/>
        <v>1</v>
      </c>
      <c r="BE32" s="361">
        <f t="shared" si="23"/>
        <v>1</v>
      </c>
      <c r="BF32" s="361">
        <f t="shared" si="24"/>
        <v>1</v>
      </c>
      <c r="BG32" s="361">
        <f t="shared" si="25"/>
        <v>1</v>
      </c>
      <c r="BH32" s="361">
        <f t="shared" si="26"/>
        <v>1</v>
      </c>
      <c r="BI32" s="361">
        <f t="shared" si="27"/>
        <v>1</v>
      </c>
      <c r="BJ32" s="361">
        <f t="shared" si="28"/>
        <v>1</v>
      </c>
      <c r="BK32" s="361">
        <f t="shared" si="29"/>
        <v>1</v>
      </c>
      <c r="BL32" s="361">
        <f t="shared" si="30"/>
        <v>1</v>
      </c>
      <c r="BM32" s="361">
        <f t="shared" si="31"/>
        <v>1</v>
      </c>
      <c r="BN32" s="361">
        <f t="shared" si="32"/>
        <v>1</v>
      </c>
      <c r="BO32" s="361">
        <f t="shared" si="33"/>
        <v>1</v>
      </c>
      <c r="BP32" s="361">
        <f t="shared" si="34"/>
        <v>1</v>
      </c>
      <c r="BQ32" s="361">
        <f t="shared" si="35"/>
        <v>1</v>
      </c>
      <c r="BR32" s="361">
        <f t="shared" si="36"/>
        <v>1</v>
      </c>
      <c r="BS32" s="361">
        <f t="shared" si="37"/>
        <v>1</v>
      </c>
      <c r="BT32" s="361">
        <f t="shared" si="38"/>
        <v>1</v>
      </c>
      <c r="BU32" s="361">
        <f t="shared" si="39"/>
        <v>1</v>
      </c>
      <c r="BV32" s="361">
        <f t="shared" si="40"/>
        <v>1</v>
      </c>
      <c r="BW32" s="361">
        <f t="shared" si="41"/>
        <v>1</v>
      </c>
      <c r="BX32" s="361">
        <f t="shared" si="42"/>
        <v>1</v>
      </c>
      <c r="BY32" s="361">
        <f t="shared" si="43"/>
        <v>1</v>
      </c>
      <c r="BZ32" s="361">
        <f t="shared" si="44"/>
        <v>1</v>
      </c>
      <c r="CA32" s="361">
        <f t="shared" si="45"/>
        <v>1</v>
      </c>
      <c r="CB32" s="361">
        <f t="shared" si="46"/>
        <v>1</v>
      </c>
      <c r="CC32" s="361">
        <f t="shared" si="47"/>
        <v>1</v>
      </c>
      <c r="CH32" s="341">
        <f t="shared" ref="CH32:CQ63" si="59">IF($F32="","",CH$30)</f>
        <v>1</v>
      </c>
      <c r="CI32" s="341">
        <f t="shared" si="48"/>
        <v>2</v>
      </c>
      <c r="CJ32" s="341">
        <f t="shared" si="48"/>
        <v>3</v>
      </c>
      <c r="CK32" s="341">
        <f t="shared" si="48"/>
        <v>4</v>
      </c>
      <c r="CL32" s="341">
        <f t="shared" si="48"/>
        <v>5</v>
      </c>
      <c r="CM32" s="341">
        <f t="shared" si="48"/>
        <v>6</v>
      </c>
      <c r="CN32" s="341">
        <f t="shared" si="48"/>
        <v>7</v>
      </c>
      <c r="CO32" s="341">
        <f t="shared" si="48"/>
        <v>8</v>
      </c>
      <c r="CP32" s="341">
        <f t="shared" si="48"/>
        <v>9</v>
      </c>
      <c r="CQ32" s="341">
        <f t="shared" si="48"/>
        <v>10</v>
      </c>
      <c r="CT32" s="353"/>
      <c r="CU32" s="353"/>
      <c r="CV32" s="353"/>
      <c r="CW32" s="353" t="b">
        <f t="shared" si="49"/>
        <v>0</v>
      </c>
      <c r="CX32" s="353" t="b">
        <f t="shared" si="50"/>
        <v>0</v>
      </c>
      <c r="CY32" s="353" t="b">
        <f t="shared" si="51"/>
        <v>1</v>
      </c>
      <c r="DC32" s="347">
        <f t="shared" ref="DC32:DC89" si="60">COUNTIF(CW32:DA32,TRUE)</f>
        <v>1</v>
      </c>
      <c r="DD32" s="353" t="b">
        <f t="shared" si="52"/>
        <v>0</v>
      </c>
      <c r="DE32" s="353" t="b">
        <f t="shared" si="53"/>
        <v>0</v>
      </c>
      <c r="DF32" s="353" t="b">
        <f t="shared" si="54"/>
        <v>1</v>
      </c>
      <c r="DG32" s="353"/>
      <c r="DH32" s="353"/>
      <c r="DI32" s="353"/>
      <c r="DJ32" s="353"/>
      <c r="DK32" s="353">
        <f t="shared" ref="DK32:DK89" si="61">COUNTIF(DD32:DJ32,TRUE)</f>
        <v>1</v>
      </c>
      <c r="DM32" s="341">
        <f t="shared" si="55"/>
        <v>0</v>
      </c>
    </row>
    <row r="33" spans="1:117" x14ac:dyDescent="0.25">
      <c r="B33" s="373">
        <f t="shared" si="56"/>
        <v>3</v>
      </c>
      <c r="C33" s="373"/>
      <c r="D33" s="373"/>
      <c r="E33" s="373"/>
      <c r="F33" s="374" t="s">
        <v>123</v>
      </c>
      <c r="G33" s="375">
        <v>1</v>
      </c>
      <c r="H33" s="375">
        <v>1</v>
      </c>
      <c r="I33" s="375">
        <v>1</v>
      </c>
      <c r="J33" s="375">
        <v>1</v>
      </c>
      <c r="K33" s="375">
        <v>1</v>
      </c>
      <c r="L33" s="375">
        <v>1</v>
      </c>
      <c r="M33" s="375">
        <v>1</v>
      </c>
      <c r="N33" s="375">
        <v>1</v>
      </c>
      <c r="O33" s="375">
        <v>1</v>
      </c>
      <c r="P33" s="375">
        <v>1</v>
      </c>
      <c r="Q33" s="375">
        <v>1</v>
      </c>
      <c r="R33" s="375">
        <v>1</v>
      </c>
      <c r="S33" s="375">
        <v>0</v>
      </c>
      <c r="T33" s="376">
        <v>1</v>
      </c>
      <c r="U33" s="376">
        <v>1</v>
      </c>
      <c r="V33" s="376">
        <v>1</v>
      </c>
      <c r="W33" s="376">
        <v>1</v>
      </c>
      <c r="X33" s="376">
        <v>1</v>
      </c>
      <c r="Y33" s="376">
        <v>1</v>
      </c>
      <c r="Z33" s="376">
        <f t="shared" si="8"/>
        <v>1</v>
      </c>
      <c r="AA33" s="376">
        <v>1</v>
      </c>
      <c r="AB33" s="376"/>
      <c r="AC33" s="376"/>
      <c r="AD33" s="376"/>
      <c r="AE33" s="376"/>
      <c r="AF33" s="376">
        <f t="shared" si="9"/>
        <v>0</v>
      </c>
      <c r="AG33" s="376">
        <v>1</v>
      </c>
      <c r="AH33" s="376">
        <f t="shared" si="10"/>
        <v>1</v>
      </c>
      <c r="AI33" s="376"/>
      <c r="AJ33" s="376"/>
      <c r="AK33" s="373">
        <f t="shared" si="11"/>
        <v>1</v>
      </c>
      <c r="AL33" s="373"/>
      <c r="AM33" s="373"/>
      <c r="AN33" s="373"/>
      <c r="AO33" s="373"/>
      <c r="AP33" s="377">
        <f t="shared" si="57"/>
        <v>1</v>
      </c>
      <c r="AQ33" s="378"/>
      <c r="AR33" s="341">
        <f t="shared" si="12"/>
        <v>1</v>
      </c>
      <c r="AS33" s="341">
        <f t="shared" si="58"/>
        <v>0</v>
      </c>
      <c r="AT33" s="341">
        <f t="shared" si="58"/>
        <v>1</v>
      </c>
      <c r="AU33" s="361">
        <f t="shared" si="13"/>
        <v>1</v>
      </c>
      <c r="AV33" s="361">
        <f t="shared" si="14"/>
        <v>1</v>
      </c>
      <c r="AW33" s="361">
        <f t="shared" si="15"/>
        <v>1</v>
      </c>
      <c r="AX33" s="361">
        <f t="shared" si="16"/>
        <v>1</v>
      </c>
      <c r="AY33" s="361">
        <f t="shared" si="17"/>
        <v>1</v>
      </c>
      <c r="AZ33" s="361">
        <f t="shared" si="18"/>
        <v>1</v>
      </c>
      <c r="BA33" s="361">
        <f t="shared" si="19"/>
        <v>1</v>
      </c>
      <c r="BB33" s="361">
        <f t="shared" si="20"/>
        <v>1</v>
      </c>
      <c r="BC33" s="361">
        <f t="shared" si="21"/>
        <v>1</v>
      </c>
      <c r="BD33" s="361">
        <f t="shared" si="22"/>
        <v>1</v>
      </c>
      <c r="BE33" s="361">
        <f t="shared" si="23"/>
        <v>1</v>
      </c>
      <c r="BF33" s="361">
        <f t="shared" si="24"/>
        <v>1</v>
      </c>
      <c r="BG33" s="361">
        <f t="shared" si="25"/>
        <v>1</v>
      </c>
      <c r="BH33" s="361">
        <f t="shared" si="26"/>
        <v>1</v>
      </c>
      <c r="BI33" s="361">
        <f t="shared" si="27"/>
        <v>1</v>
      </c>
      <c r="BJ33" s="361">
        <f t="shared" si="28"/>
        <v>1</v>
      </c>
      <c r="BK33" s="361">
        <f t="shared" si="29"/>
        <v>1</v>
      </c>
      <c r="BL33" s="361">
        <f t="shared" si="30"/>
        <v>1</v>
      </c>
      <c r="BM33" s="361">
        <f t="shared" si="31"/>
        <v>1</v>
      </c>
      <c r="BN33" s="361">
        <f t="shared" si="32"/>
        <v>1</v>
      </c>
      <c r="BO33" s="361">
        <f t="shared" si="33"/>
        <v>1</v>
      </c>
      <c r="BP33" s="361">
        <f t="shared" si="34"/>
        <v>1</v>
      </c>
      <c r="BQ33" s="361">
        <f t="shared" si="35"/>
        <v>1</v>
      </c>
      <c r="BR33" s="361">
        <f t="shared" si="36"/>
        <v>1</v>
      </c>
      <c r="BS33" s="361">
        <f t="shared" si="37"/>
        <v>1</v>
      </c>
      <c r="BT33" s="361">
        <f t="shared" si="38"/>
        <v>1</v>
      </c>
      <c r="BU33" s="361">
        <f t="shared" si="39"/>
        <v>1</v>
      </c>
      <c r="BV33" s="361">
        <f t="shared" si="40"/>
        <v>1</v>
      </c>
      <c r="BW33" s="361">
        <f t="shared" si="41"/>
        <v>1</v>
      </c>
      <c r="BX33" s="361">
        <f t="shared" si="42"/>
        <v>1</v>
      </c>
      <c r="BY33" s="361">
        <f t="shared" si="43"/>
        <v>1</v>
      </c>
      <c r="BZ33" s="361">
        <f t="shared" si="44"/>
        <v>1</v>
      </c>
      <c r="CA33" s="361">
        <f t="shared" si="45"/>
        <v>1</v>
      </c>
      <c r="CB33" s="361">
        <f t="shared" si="46"/>
        <v>1</v>
      </c>
      <c r="CC33" s="361">
        <f t="shared" si="47"/>
        <v>1</v>
      </c>
      <c r="CH33" s="341">
        <f t="shared" si="59"/>
        <v>1</v>
      </c>
      <c r="CI33" s="341">
        <f t="shared" si="48"/>
        <v>2</v>
      </c>
      <c r="CJ33" s="341">
        <f t="shared" si="48"/>
        <v>3</v>
      </c>
      <c r="CK33" s="341">
        <f t="shared" si="48"/>
        <v>4</v>
      </c>
      <c r="CL33" s="341">
        <f t="shared" si="48"/>
        <v>5</v>
      </c>
      <c r="CM33" s="341">
        <f t="shared" si="48"/>
        <v>6</v>
      </c>
      <c r="CN33" s="341">
        <f t="shared" si="48"/>
        <v>7</v>
      </c>
      <c r="CO33" s="341">
        <f t="shared" si="48"/>
        <v>8</v>
      </c>
      <c r="CP33" s="341">
        <f t="shared" si="48"/>
        <v>9</v>
      </c>
      <c r="CQ33" s="341">
        <f t="shared" si="48"/>
        <v>10</v>
      </c>
      <c r="CT33" s="353"/>
      <c r="CU33" s="353"/>
      <c r="CV33" s="353"/>
      <c r="CW33" s="353" t="b">
        <f t="shared" si="49"/>
        <v>1</v>
      </c>
      <c r="CX33" s="353" t="b">
        <f t="shared" si="50"/>
        <v>0</v>
      </c>
      <c r="CY33" s="353" t="b">
        <f t="shared" si="51"/>
        <v>1</v>
      </c>
      <c r="DC33" s="347">
        <f t="shared" si="60"/>
        <v>2</v>
      </c>
      <c r="DD33" s="353" t="b">
        <f t="shared" si="52"/>
        <v>1</v>
      </c>
      <c r="DE33" s="353" t="b">
        <f t="shared" si="53"/>
        <v>0</v>
      </c>
      <c r="DF33" s="353" t="b">
        <f t="shared" si="54"/>
        <v>1</v>
      </c>
      <c r="DG33" s="353"/>
      <c r="DH33" s="353"/>
      <c r="DI33" s="353"/>
      <c r="DJ33" s="353"/>
      <c r="DK33" s="353">
        <f t="shared" si="61"/>
        <v>2</v>
      </c>
      <c r="DM33" s="341">
        <f t="shared" si="55"/>
        <v>0</v>
      </c>
    </row>
    <row r="34" spans="1:117" x14ac:dyDescent="0.25">
      <c r="B34" s="373" t="str">
        <f t="shared" si="56"/>
        <v/>
      </c>
      <c r="C34" s="373"/>
      <c r="D34" s="373"/>
      <c r="E34" s="373"/>
      <c r="F34" s="374"/>
      <c r="G34" s="375"/>
      <c r="H34" s="375"/>
      <c r="I34" s="375"/>
      <c r="J34" s="375"/>
      <c r="K34" s="375"/>
      <c r="L34" s="375"/>
      <c r="M34" s="375"/>
      <c r="N34" s="375"/>
      <c r="O34" s="375"/>
      <c r="P34" s="375"/>
      <c r="Q34" s="375"/>
      <c r="R34" s="375"/>
      <c r="S34" s="375"/>
      <c r="T34" s="376"/>
      <c r="U34" s="376"/>
      <c r="V34" s="376"/>
      <c r="W34" s="376"/>
      <c r="X34" s="376"/>
      <c r="Y34" s="376"/>
      <c r="Z34" s="376" t="str">
        <f t="shared" si="8"/>
        <v/>
      </c>
      <c r="AA34" s="376"/>
      <c r="AB34" s="376"/>
      <c r="AC34" s="376"/>
      <c r="AD34" s="376"/>
      <c r="AE34" s="376"/>
      <c r="AF34" s="376" t="str">
        <f t="shared" si="9"/>
        <v/>
      </c>
      <c r="AG34" s="376"/>
      <c r="AH34" s="376" t="str">
        <f t="shared" si="10"/>
        <v/>
      </c>
      <c r="AI34" s="376"/>
      <c r="AJ34" s="376"/>
      <c r="AK34" s="373" t="str">
        <f t="shared" si="11"/>
        <v/>
      </c>
      <c r="AL34" s="373"/>
      <c r="AM34" s="373"/>
      <c r="AN34" s="373"/>
      <c r="AO34" s="373"/>
      <c r="AP34" s="377" t="str">
        <f t="shared" si="57"/>
        <v/>
      </c>
      <c r="AQ34" s="378"/>
      <c r="AR34" s="341">
        <f t="shared" si="12"/>
        <v>0</v>
      </c>
      <c r="AS34" s="341" t="str">
        <f t="shared" si="58"/>
        <v/>
      </c>
      <c r="AT34" s="341" t="str">
        <f t="shared" si="58"/>
        <v/>
      </c>
      <c r="AU34" s="361">
        <f t="shared" si="13"/>
        <v>0</v>
      </c>
      <c r="AV34" s="361">
        <f t="shared" si="14"/>
        <v>0</v>
      </c>
      <c r="AW34" s="361">
        <f t="shared" si="15"/>
        <v>0</v>
      </c>
      <c r="AX34" s="361">
        <f t="shared" si="16"/>
        <v>0</v>
      </c>
      <c r="AY34" s="361">
        <f t="shared" si="17"/>
        <v>0</v>
      </c>
      <c r="AZ34" s="361">
        <f t="shared" si="18"/>
        <v>0</v>
      </c>
      <c r="BA34" s="361">
        <f t="shared" si="19"/>
        <v>0</v>
      </c>
      <c r="BB34" s="361">
        <f t="shared" si="20"/>
        <v>0</v>
      </c>
      <c r="BC34" s="361">
        <f t="shared" si="21"/>
        <v>0</v>
      </c>
      <c r="BD34" s="361">
        <f t="shared" si="22"/>
        <v>0</v>
      </c>
      <c r="BE34" s="361">
        <f t="shared" si="23"/>
        <v>0</v>
      </c>
      <c r="BF34" s="361">
        <f t="shared" si="24"/>
        <v>0</v>
      </c>
      <c r="BG34" s="361">
        <f t="shared" si="25"/>
        <v>0</v>
      </c>
      <c r="BH34" s="361">
        <f t="shared" si="26"/>
        <v>0</v>
      </c>
      <c r="BI34" s="361">
        <f t="shared" si="27"/>
        <v>0</v>
      </c>
      <c r="BJ34" s="361">
        <f t="shared" si="28"/>
        <v>0</v>
      </c>
      <c r="BK34" s="361">
        <f t="shared" si="29"/>
        <v>0</v>
      </c>
      <c r="BL34" s="361">
        <f t="shared" si="30"/>
        <v>0</v>
      </c>
      <c r="BM34" s="361">
        <f t="shared" si="31"/>
        <v>0</v>
      </c>
      <c r="BN34" s="361">
        <f t="shared" si="32"/>
        <v>1</v>
      </c>
      <c r="BO34" s="361">
        <f t="shared" si="33"/>
        <v>0</v>
      </c>
      <c r="BP34" s="361">
        <f t="shared" si="34"/>
        <v>1</v>
      </c>
      <c r="BQ34" s="361">
        <f t="shared" si="35"/>
        <v>1</v>
      </c>
      <c r="BR34" s="361">
        <f t="shared" si="36"/>
        <v>1</v>
      </c>
      <c r="BS34" s="361">
        <f t="shared" si="37"/>
        <v>1</v>
      </c>
      <c r="BT34" s="361">
        <f t="shared" si="38"/>
        <v>1</v>
      </c>
      <c r="BU34" s="361">
        <f t="shared" si="39"/>
        <v>1</v>
      </c>
      <c r="BV34" s="361">
        <f t="shared" si="40"/>
        <v>1</v>
      </c>
      <c r="BW34" s="361">
        <f t="shared" si="41"/>
        <v>1</v>
      </c>
      <c r="BX34" s="361">
        <f t="shared" si="42"/>
        <v>1</v>
      </c>
      <c r="BY34" s="361">
        <f t="shared" si="43"/>
        <v>1</v>
      </c>
      <c r="BZ34" s="361">
        <f t="shared" si="44"/>
        <v>1</v>
      </c>
      <c r="CA34" s="361">
        <f t="shared" si="45"/>
        <v>1</v>
      </c>
      <c r="CB34" s="361">
        <f t="shared" si="46"/>
        <v>1</v>
      </c>
      <c r="CC34" s="361">
        <f t="shared" si="47"/>
        <v>1</v>
      </c>
      <c r="CH34" s="341" t="str">
        <f t="shared" si="59"/>
        <v/>
      </c>
      <c r="CI34" s="341" t="str">
        <f t="shared" si="48"/>
        <v/>
      </c>
      <c r="CJ34" s="341" t="str">
        <f t="shared" si="48"/>
        <v/>
      </c>
      <c r="CK34" s="341" t="str">
        <f t="shared" si="48"/>
        <v/>
      </c>
      <c r="CL34" s="341" t="str">
        <f t="shared" si="48"/>
        <v/>
      </c>
      <c r="CM34" s="341" t="str">
        <f t="shared" si="48"/>
        <v/>
      </c>
      <c r="CN34" s="341" t="str">
        <f t="shared" si="48"/>
        <v/>
      </c>
      <c r="CO34" s="341" t="str">
        <f t="shared" si="48"/>
        <v/>
      </c>
      <c r="CP34" s="341" t="str">
        <f t="shared" si="48"/>
        <v/>
      </c>
      <c r="CQ34" s="341" t="str">
        <f t="shared" si="48"/>
        <v/>
      </c>
      <c r="CT34" s="353"/>
      <c r="CU34" s="353"/>
      <c r="CV34" s="353"/>
      <c r="CW34" s="353" t="b">
        <f t="shared" si="49"/>
        <v>0</v>
      </c>
      <c r="CX34" s="353" t="b">
        <f t="shared" si="50"/>
        <v>0</v>
      </c>
      <c r="CY34" s="353" t="b">
        <f t="shared" si="51"/>
        <v>1</v>
      </c>
      <c r="DC34" s="347">
        <f t="shared" si="60"/>
        <v>1</v>
      </c>
      <c r="DD34" s="353" t="b">
        <f t="shared" si="52"/>
        <v>0</v>
      </c>
      <c r="DE34" s="353" t="b">
        <f t="shared" si="53"/>
        <v>0</v>
      </c>
      <c r="DF34" s="353" t="b">
        <f t="shared" si="54"/>
        <v>1</v>
      </c>
      <c r="DG34" s="353"/>
      <c r="DH34" s="353"/>
      <c r="DI34" s="353"/>
      <c r="DJ34" s="353"/>
      <c r="DK34" s="353">
        <f t="shared" si="61"/>
        <v>1</v>
      </c>
      <c r="DM34" s="341" t="str">
        <f t="shared" si="55"/>
        <v/>
      </c>
    </row>
    <row r="35" spans="1:117" x14ac:dyDescent="0.25">
      <c r="B35" s="373">
        <f t="shared" si="56"/>
        <v>5</v>
      </c>
      <c r="C35" s="373"/>
      <c r="D35" s="373"/>
      <c r="E35" s="373"/>
      <c r="F35" s="374" t="s">
        <v>124</v>
      </c>
      <c r="G35" s="375">
        <v>1</v>
      </c>
      <c r="H35" s="375">
        <v>1</v>
      </c>
      <c r="I35" s="375">
        <v>1</v>
      </c>
      <c r="J35" s="375">
        <v>1</v>
      </c>
      <c r="K35" s="375">
        <v>1</v>
      </c>
      <c r="L35" s="375">
        <v>1</v>
      </c>
      <c r="M35" s="375">
        <v>1</v>
      </c>
      <c r="N35" s="375">
        <v>1</v>
      </c>
      <c r="O35" s="375">
        <v>1</v>
      </c>
      <c r="P35" s="375">
        <v>1</v>
      </c>
      <c r="Q35" s="375">
        <v>1</v>
      </c>
      <c r="R35" s="375">
        <v>1</v>
      </c>
      <c r="S35" s="375">
        <v>0</v>
      </c>
      <c r="T35" s="376">
        <v>1</v>
      </c>
      <c r="U35" s="376">
        <v>1</v>
      </c>
      <c r="V35" s="376">
        <v>1</v>
      </c>
      <c r="W35" s="376">
        <v>1</v>
      </c>
      <c r="X35" s="376">
        <v>1</v>
      </c>
      <c r="Y35" s="376">
        <v>1</v>
      </c>
      <c r="Z35" s="376">
        <f t="shared" si="8"/>
        <v>1</v>
      </c>
      <c r="AA35" s="376">
        <v>1</v>
      </c>
      <c r="AB35" s="376"/>
      <c r="AC35" s="376"/>
      <c r="AD35" s="376"/>
      <c r="AE35" s="376"/>
      <c r="AF35" s="376">
        <f t="shared" si="9"/>
        <v>0</v>
      </c>
      <c r="AG35" s="376">
        <v>1</v>
      </c>
      <c r="AH35" s="376">
        <f t="shared" si="10"/>
        <v>1</v>
      </c>
      <c r="AI35" s="376"/>
      <c r="AJ35" s="376"/>
      <c r="AK35" s="373">
        <f t="shared" si="11"/>
        <v>1</v>
      </c>
      <c r="AL35" s="373"/>
      <c r="AM35" s="373"/>
      <c r="AN35" s="373"/>
      <c r="AO35" s="373"/>
      <c r="AP35" s="377">
        <f t="shared" si="57"/>
        <v>1</v>
      </c>
      <c r="AQ35" s="378"/>
      <c r="AR35" s="341">
        <f t="shared" si="12"/>
        <v>1</v>
      </c>
      <c r="AS35" s="341">
        <f t="shared" si="58"/>
        <v>0</v>
      </c>
      <c r="AT35" s="341">
        <f t="shared" si="58"/>
        <v>1</v>
      </c>
      <c r="AU35" s="361">
        <f t="shared" si="13"/>
        <v>1</v>
      </c>
      <c r="AV35" s="361">
        <f t="shared" si="14"/>
        <v>1</v>
      </c>
      <c r="AW35" s="361">
        <f t="shared" si="15"/>
        <v>1</v>
      </c>
      <c r="AX35" s="361">
        <f t="shared" si="16"/>
        <v>1</v>
      </c>
      <c r="AY35" s="361">
        <f t="shared" si="17"/>
        <v>1</v>
      </c>
      <c r="AZ35" s="361">
        <f t="shared" si="18"/>
        <v>1</v>
      </c>
      <c r="BA35" s="361">
        <f t="shared" si="19"/>
        <v>1</v>
      </c>
      <c r="BB35" s="361">
        <f t="shared" si="20"/>
        <v>1</v>
      </c>
      <c r="BC35" s="361">
        <f t="shared" si="21"/>
        <v>1</v>
      </c>
      <c r="BD35" s="361">
        <f t="shared" si="22"/>
        <v>1</v>
      </c>
      <c r="BE35" s="361">
        <f t="shared" si="23"/>
        <v>1</v>
      </c>
      <c r="BF35" s="361">
        <f t="shared" si="24"/>
        <v>1</v>
      </c>
      <c r="BG35" s="361">
        <f t="shared" si="25"/>
        <v>1</v>
      </c>
      <c r="BH35" s="361">
        <f t="shared" si="26"/>
        <v>1</v>
      </c>
      <c r="BI35" s="361">
        <f t="shared" si="27"/>
        <v>1</v>
      </c>
      <c r="BJ35" s="361">
        <f t="shared" si="28"/>
        <v>1</v>
      </c>
      <c r="BK35" s="361">
        <f t="shared" si="29"/>
        <v>1</v>
      </c>
      <c r="BL35" s="361">
        <f t="shared" si="30"/>
        <v>1</v>
      </c>
      <c r="BM35" s="361">
        <f t="shared" si="31"/>
        <v>1</v>
      </c>
      <c r="BN35" s="361">
        <f t="shared" si="32"/>
        <v>1</v>
      </c>
      <c r="BO35" s="361">
        <f t="shared" si="33"/>
        <v>1</v>
      </c>
      <c r="BP35" s="361">
        <f t="shared" si="34"/>
        <v>1</v>
      </c>
      <c r="BQ35" s="361">
        <f t="shared" si="35"/>
        <v>1</v>
      </c>
      <c r="BR35" s="361">
        <f t="shared" si="36"/>
        <v>1</v>
      </c>
      <c r="BS35" s="361">
        <f t="shared" si="37"/>
        <v>1</v>
      </c>
      <c r="BT35" s="361">
        <f t="shared" si="38"/>
        <v>1</v>
      </c>
      <c r="BU35" s="361">
        <f t="shared" si="39"/>
        <v>1</v>
      </c>
      <c r="BV35" s="361">
        <f t="shared" si="40"/>
        <v>1</v>
      </c>
      <c r="BW35" s="361">
        <f t="shared" si="41"/>
        <v>1</v>
      </c>
      <c r="BX35" s="361">
        <f t="shared" si="42"/>
        <v>1</v>
      </c>
      <c r="BY35" s="361">
        <f t="shared" si="43"/>
        <v>1</v>
      </c>
      <c r="BZ35" s="361">
        <f t="shared" si="44"/>
        <v>1</v>
      </c>
      <c r="CA35" s="361">
        <f t="shared" si="45"/>
        <v>1</v>
      </c>
      <c r="CB35" s="361">
        <f t="shared" si="46"/>
        <v>1</v>
      </c>
      <c r="CC35" s="361">
        <f t="shared" si="47"/>
        <v>1</v>
      </c>
      <c r="CH35" s="341">
        <f t="shared" si="59"/>
        <v>1</v>
      </c>
      <c r="CI35" s="341">
        <f t="shared" si="48"/>
        <v>2</v>
      </c>
      <c r="CJ35" s="341">
        <f t="shared" si="48"/>
        <v>3</v>
      </c>
      <c r="CK35" s="341">
        <f t="shared" si="48"/>
        <v>4</v>
      </c>
      <c r="CL35" s="341">
        <f t="shared" si="48"/>
        <v>5</v>
      </c>
      <c r="CM35" s="341">
        <f t="shared" si="48"/>
        <v>6</v>
      </c>
      <c r="CN35" s="341">
        <f t="shared" si="48"/>
        <v>7</v>
      </c>
      <c r="CO35" s="341">
        <f t="shared" si="48"/>
        <v>8</v>
      </c>
      <c r="CP35" s="341">
        <f t="shared" si="48"/>
        <v>9</v>
      </c>
      <c r="CQ35" s="341">
        <f t="shared" si="48"/>
        <v>10</v>
      </c>
      <c r="CT35" s="353"/>
      <c r="CU35" s="353"/>
      <c r="CV35" s="353"/>
      <c r="CW35" s="353" t="b">
        <f t="shared" si="49"/>
        <v>1</v>
      </c>
      <c r="CX35" s="353" t="b">
        <f t="shared" si="50"/>
        <v>0</v>
      </c>
      <c r="CY35" s="353" t="b">
        <f t="shared" si="51"/>
        <v>1</v>
      </c>
      <c r="DC35" s="347">
        <f t="shared" si="60"/>
        <v>2</v>
      </c>
      <c r="DD35" s="353" t="b">
        <f t="shared" si="52"/>
        <v>1</v>
      </c>
      <c r="DE35" s="353" t="b">
        <f t="shared" si="53"/>
        <v>0</v>
      </c>
      <c r="DF35" s="353" t="b">
        <f t="shared" si="54"/>
        <v>1</v>
      </c>
      <c r="DG35" s="353"/>
      <c r="DH35" s="353"/>
      <c r="DI35" s="353"/>
      <c r="DJ35" s="353"/>
      <c r="DK35" s="353">
        <f t="shared" si="61"/>
        <v>2</v>
      </c>
      <c r="DM35" s="341">
        <f t="shared" si="55"/>
        <v>0</v>
      </c>
    </row>
    <row r="36" spans="1:117" x14ac:dyDescent="0.25">
      <c r="B36" s="373">
        <f t="shared" si="56"/>
        <v>6</v>
      </c>
      <c r="C36" s="373"/>
      <c r="D36" s="373"/>
      <c r="E36" s="373"/>
      <c r="F36" s="374" t="s">
        <v>125</v>
      </c>
      <c r="G36" s="375">
        <v>1</v>
      </c>
      <c r="H36" s="375">
        <v>1</v>
      </c>
      <c r="I36" s="375">
        <v>1</v>
      </c>
      <c r="J36" s="375">
        <v>1</v>
      </c>
      <c r="K36" s="375">
        <v>1</v>
      </c>
      <c r="L36" s="375">
        <v>1</v>
      </c>
      <c r="M36" s="375">
        <v>1</v>
      </c>
      <c r="N36" s="375">
        <v>1</v>
      </c>
      <c r="O36" s="375">
        <v>1</v>
      </c>
      <c r="P36" s="375">
        <v>1</v>
      </c>
      <c r="Q36" s="375">
        <v>1</v>
      </c>
      <c r="R36" s="375">
        <v>1</v>
      </c>
      <c r="S36" s="375">
        <v>0</v>
      </c>
      <c r="T36" s="376">
        <v>1</v>
      </c>
      <c r="U36" s="376">
        <v>1</v>
      </c>
      <c r="V36" s="376">
        <v>1</v>
      </c>
      <c r="W36" s="376">
        <v>1</v>
      </c>
      <c r="X36" s="376">
        <v>1</v>
      </c>
      <c r="Y36" s="376">
        <v>1</v>
      </c>
      <c r="Z36" s="376">
        <f t="shared" si="8"/>
        <v>1</v>
      </c>
      <c r="AA36" s="376">
        <v>1</v>
      </c>
      <c r="AB36" s="376" t="s">
        <v>419</v>
      </c>
      <c r="AC36" s="376">
        <v>1</v>
      </c>
      <c r="AD36" s="376">
        <v>1</v>
      </c>
      <c r="AE36" s="376">
        <v>1</v>
      </c>
      <c r="AF36" s="376">
        <f t="shared" si="9"/>
        <v>0</v>
      </c>
      <c r="AG36" s="376">
        <v>1</v>
      </c>
      <c r="AH36" s="376">
        <f t="shared" si="10"/>
        <v>1</v>
      </c>
      <c r="AI36" s="376"/>
      <c r="AJ36" s="376"/>
      <c r="AK36" s="373">
        <f t="shared" si="11"/>
        <v>1</v>
      </c>
      <c r="AL36" s="373"/>
      <c r="AM36" s="373"/>
      <c r="AN36" s="373"/>
      <c r="AO36" s="373"/>
      <c r="AP36" s="377">
        <f t="shared" si="57"/>
        <v>1</v>
      </c>
      <c r="AQ36" s="378"/>
      <c r="AR36" s="341">
        <f t="shared" si="12"/>
        <v>1</v>
      </c>
      <c r="AS36" s="341">
        <f t="shared" si="58"/>
        <v>0</v>
      </c>
      <c r="AT36" s="341">
        <f t="shared" si="58"/>
        <v>1</v>
      </c>
      <c r="AU36" s="361">
        <f t="shared" si="13"/>
        <v>1</v>
      </c>
      <c r="AV36" s="361">
        <f t="shared" si="14"/>
        <v>1</v>
      </c>
      <c r="AW36" s="361">
        <f t="shared" si="15"/>
        <v>1</v>
      </c>
      <c r="AX36" s="361">
        <f t="shared" si="16"/>
        <v>1</v>
      </c>
      <c r="AY36" s="361">
        <f t="shared" si="17"/>
        <v>1</v>
      </c>
      <c r="AZ36" s="361">
        <f t="shared" si="18"/>
        <v>1</v>
      </c>
      <c r="BA36" s="361">
        <f t="shared" si="19"/>
        <v>1</v>
      </c>
      <c r="BB36" s="361">
        <f t="shared" si="20"/>
        <v>1</v>
      </c>
      <c r="BC36" s="361">
        <f t="shared" si="21"/>
        <v>1</v>
      </c>
      <c r="BD36" s="361">
        <f t="shared" si="22"/>
        <v>1</v>
      </c>
      <c r="BE36" s="361">
        <f t="shared" si="23"/>
        <v>1</v>
      </c>
      <c r="BF36" s="361">
        <f t="shared" si="24"/>
        <v>1</v>
      </c>
      <c r="BG36" s="361">
        <f t="shared" si="25"/>
        <v>1</v>
      </c>
      <c r="BH36" s="361">
        <f t="shared" si="26"/>
        <v>1</v>
      </c>
      <c r="BI36" s="361">
        <f t="shared" si="27"/>
        <v>1</v>
      </c>
      <c r="BJ36" s="361">
        <f t="shared" si="28"/>
        <v>1</v>
      </c>
      <c r="BK36" s="361">
        <f t="shared" si="29"/>
        <v>1</v>
      </c>
      <c r="BL36" s="361">
        <f t="shared" si="30"/>
        <v>1</v>
      </c>
      <c r="BM36" s="361">
        <f t="shared" si="31"/>
        <v>1</v>
      </c>
      <c r="BN36" s="361">
        <f t="shared" si="32"/>
        <v>1</v>
      </c>
      <c r="BO36" s="361">
        <f t="shared" si="33"/>
        <v>1</v>
      </c>
      <c r="BP36" s="361">
        <f t="shared" si="34"/>
        <v>1</v>
      </c>
      <c r="BQ36" s="361">
        <f t="shared" si="35"/>
        <v>1</v>
      </c>
      <c r="BR36" s="361">
        <f t="shared" si="36"/>
        <v>1</v>
      </c>
      <c r="BS36" s="361">
        <f t="shared" si="37"/>
        <v>1</v>
      </c>
      <c r="BT36" s="361">
        <f t="shared" si="38"/>
        <v>1</v>
      </c>
      <c r="BU36" s="361">
        <f t="shared" si="39"/>
        <v>1</v>
      </c>
      <c r="BV36" s="361">
        <f t="shared" si="40"/>
        <v>1</v>
      </c>
      <c r="BW36" s="361">
        <f t="shared" si="41"/>
        <v>1</v>
      </c>
      <c r="BX36" s="361">
        <f t="shared" si="42"/>
        <v>1</v>
      </c>
      <c r="BY36" s="361">
        <f t="shared" si="43"/>
        <v>1</v>
      </c>
      <c r="BZ36" s="361">
        <f t="shared" si="44"/>
        <v>1</v>
      </c>
      <c r="CA36" s="361">
        <f t="shared" si="45"/>
        <v>1</v>
      </c>
      <c r="CB36" s="361">
        <f t="shared" si="46"/>
        <v>1</v>
      </c>
      <c r="CC36" s="361">
        <f t="shared" si="47"/>
        <v>1</v>
      </c>
      <c r="CH36" s="341">
        <f t="shared" si="59"/>
        <v>1</v>
      </c>
      <c r="CI36" s="341">
        <f t="shared" si="48"/>
        <v>2</v>
      </c>
      <c r="CJ36" s="341">
        <f t="shared" si="48"/>
        <v>3</v>
      </c>
      <c r="CK36" s="341">
        <f t="shared" si="48"/>
        <v>4</v>
      </c>
      <c r="CL36" s="341">
        <f t="shared" si="48"/>
        <v>5</v>
      </c>
      <c r="CM36" s="341">
        <f t="shared" si="48"/>
        <v>6</v>
      </c>
      <c r="CN36" s="341">
        <f t="shared" si="48"/>
        <v>7</v>
      </c>
      <c r="CO36" s="341">
        <f t="shared" si="48"/>
        <v>8</v>
      </c>
      <c r="CP36" s="341">
        <f t="shared" si="48"/>
        <v>9</v>
      </c>
      <c r="CQ36" s="341">
        <f t="shared" si="48"/>
        <v>10</v>
      </c>
      <c r="CT36" s="353"/>
      <c r="CU36" s="353"/>
      <c r="CV36" s="353"/>
      <c r="CW36" s="353" t="b">
        <f t="shared" si="49"/>
        <v>1</v>
      </c>
      <c r="CX36" s="353" t="b">
        <f t="shared" si="50"/>
        <v>0</v>
      </c>
      <c r="CY36" s="353" t="b">
        <f t="shared" si="51"/>
        <v>1</v>
      </c>
      <c r="DC36" s="347">
        <f t="shared" si="60"/>
        <v>2</v>
      </c>
      <c r="DD36" s="353" t="b">
        <f t="shared" si="52"/>
        <v>1</v>
      </c>
      <c r="DE36" s="353" t="b">
        <f t="shared" si="53"/>
        <v>0</v>
      </c>
      <c r="DF36" s="353" t="b">
        <f t="shared" si="54"/>
        <v>1</v>
      </c>
      <c r="DG36" s="353"/>
      <c r="DH36" s="353"/>
      <c r="DI36" s="353"/>
      <c r="DJ36" s="353"/>
      <c r="DK36" s="353">
        <f t="shared" si="61"/>
        <v>2</v>
      </c>
      <c r="DM36" s="341">
        <f t="shared" si="55"/>
        <v>0</v>
      </c>
    </row>
    <row r="37" spans="1:117" x14ac:dyDescent="0.25">
      <c r="B37" s="373">
        <f t="shared" si="56"/>
        <v>7</v>
      </c>
      <c r="C37" s="373"/>
      <c r="D37" s="373"/>
      <c r="E37" s="373"/>
      <c r="F37" s="374" t="s">
        <v>126</v>
      </c>
      <c r="G37" s="375">
        <v>1</v>
      </c>
      <c r="H37" s="375">
        <v>1</v>
      </c>
      <c r="I37" s="375">
        <v>1</v>
      </c>
      <c r="J37" s="375">
        <v>1</v>
      </c>
      <c r="K37" s="375">
        <v>1</v>
      </c>
      <c r="L37" s="375">
        <v>1</v>
      </c>
      <c r="M37" s="375">
        <v>1</v>
      </c>
      <c r="N37" s="375">
        <v>1</v>
      </c>
      <c r="O37" s="375">
        <v>1</v>
      </c>
      <c r="P37" s="375">
        <v>1</v>
      </c>
      <c r="Q37" s="375">
        <v>1</v>
      </c>
      <c r="R37" s="375">
        <v>1</v>
      </c>
      <c r="S37" s="375">
        <v>0</v>
      </c>
      <c r="T37" s="376">
        <v>1</v>
      </c>
      <c r="U37" s="376">
        <v>1</v>
      </c>
      <c r="V37" s="376">
        <v>1</v>
      </c>
      <c r="W37" s="376">
        <v>1</v>
      </c>
      <c r="X37" s="376">
        <v>1</v>
      </c>
      <c r="Y37" s="376">
        <v>1</v>
      </c>
      <c r="Z37" s="376">
        <f t="shared" si="8"/>
        <v>1</v>
      </c>
      <c r="AA37" s="376">
        <v>1</v>
      </c>
      <c r="AB37" s="376"/>
      <c r="AC37" s="376"/>
      <c r="AD37" s="376"/>
      <c r="AE37" s="376"/>
      <c r="AF37" s="376">
        <f t="shared" si="9"/>
        <v>0</v>
      </c>
      <c r="AG37" s="376">
        <v>1</v>
      </c>
      <c r="AH37" s="376">
        <f t="shared" si="10"/>
        <v>1</v>
      </c>
      <c r="AI37" s="376"/>
      <c r="AJ37" s="376"/>
      <c r="AK37" s="373">
        <f t="shared" si="11"/>
        <v>1</v>
      </c>
      <c r="AL37" s="373"/>
      <c r="AM37" s="373"/>
      <c r="AN37" s="373"/>
      <c r="AO37" s="373"/>
      <c r="AP37" s="377">
        <f t="shared" si="57"/>
        <v>1</v>
      </c>
      <c r="AQ37" s="378"/>
      <c r="AR37" s="341">
        <f t="shared" si="12"/>
        <v>1</v>
      </c>
      <c r="AS37" s="341">
        <f t="shared" si="58"/>
        <v>0</v>
      </c>
      <c r="AT37" s="341">
        <f t="shared" si="58"/>
        <v>1</v>
      </c>
      <c r="AU37" s="361">
        <f t="shared" si="13"/>
        <v>1</v>
      </c>
      <c r="AV37" s="361">
        <f t="shared" si="14"/>
        <v>1</v>
      </c>
      <c r="AW37" s="361">
        <f t="shared" si="15"/>
        <v>1</v>
      </c>
      <c r="AX37" s="361">
        <f t="shared" si="16"/>
        <v>1</v>
      </c>
      <c r="AY37" s="361">
        <f t="shared" si="17"/>
        <v>1</v>
      </c>
      <c r="AZ37" s="361">
        <f t="shared" si="18"/>
        <v>1</v>
      </c>
      <c r="BA37" s="361">
        <f t="shared" si="19"/>
        <v>1</v>
      </c>
      <c r="BB37" s="361">
        <f t="shared" si="20"/>
        <v>1</v>
      </c>
      <c r="BC37" s="361">
        <f t="shared" si="21"/>
        <v>1</v>
      </c>
      <c r="BD37" s="361">
        <f t="shared" si="22"/>
        <v>1</v>
      </c>
      <c r="BE37" s="361">
        <f t="shared" si="23"/>
        <v>1</v>
      </c>
      <c r="BF37" s="361">
        <f t="shared" si="24"/>
        <v>1</v>
      </c>
      <c r="BG37" s="361">
        <f t="shared" si="25"/>
        <v>1</v>
      </c>
      <c r="BH37" s="361">
        <f t="shared" si="26"/>
        <v>1</v>
      </c>
      <c r="BI37" s="361">
        <f t="shared" si="27"/>
        <v>1</v>
      </c>
      <c r="BJ37" s="361">
        <f t="shared" si="28"/>
        <v>1</v>
      </c>
      <c r="BK37" s="361">
        <f t="shared" si="29"/>
        <v>1</v>
      </c>
      <c r="BL37" s="361">
        <f t="shared" si="30"/>
        <v>1</v>
      </c>
      <c r="BM37" s="361">
        <f t="shared" si="31"/>
        <v>1</v>
      </c>
      <c r="BN37" s="361">
        <f t="shared" si="32"/>
        <v>1</v>
      </c>
      <c r="BO37" s="361">
        <f t="shared" si="33"/>
        <v>1</v>
      </c>
      <c r="BP37" s="361">
        <f t="shared" si="34"/>
        <v>1</v>
      </c>
      <c r="BQ37" s="361">
        <f t="shared" si="35"/>
        <v>1</v>
      </c>
      <c r="BR37" s="361">
        <f t="shared" si="36"/>
        <v>1</v>
      </c>
      <c r="BS37" s="361">
        <f t="shared" si="37"/>
        <v>1</v>
      </c>
      <c r="BT37" s="361">
        <f t="shared" si="38"/>
        <v>1</v>
      </c>
      <c r="BU37" s="361">
        <f t="shared" si="39"/>
        <v>1</v>
      </c>
      <c r="BV37" s="361">
        <f t="shared" si="40"/>
        <v>1</v>
      </c>
      <c r="BW37" s="361">
        <f t="shared" si="41"/>
        <v>1</v>
      </c>
      <c r="BX37" s="361">
        <f t="shared" si="42"/>
        <v>1</v>
      </c>
      <c r="BY37" s="361">
        <f t="shared" si="43"/>
        <v>1</v>
      </c>
      <c r="BZ37" s="361">
        <f t="shared" si="44"/>
        <v>1</v>
      </c>
      <c r="CA37" s="361">
        <f t="shared" si="45"/>
        <v>1</v>
      </c>
      <c r="CB37" s="361">
        <f t="shared" si="46"/>
        <v>1</v>
      </c>
      <c r="CC37" s="361">
        <f t="shared" si="47"/>
        <v>1</v>
      </c>
      <c r="CH37" s="341">
        <f t="shared" si="59"/>
        <v>1</v>
      </c>
      <c r="CI37" s="341">
        <f t="shared" si="48"/>
        <v>2</v>
      </c>
      <c r="CJ37" s="341">
        <f t="shared" si="48"/>
        <v>3</v>
      </c>
      <c r="CK37" s="341">
        <f t="shared" si="48"/>
        <v>4</v>
      </c>
      <c r="CL37" s="341">
        <f t="shared" si="48"/>
        <v>5</v>
      </c>
      <c r="CM37" s="341">
        <f t="shared" si="48"/>
        <v>6</v>
      </c>
      <c r="CN37" s="341">
        <f t="shared" si="48"/>
        <v>7</v>
      </c>
      <c r="CO37" s="341">
        <f t="shared" si="48"/>
        <v>8</v>
      </c>
      <c r="CP37" s="341">
        <f t="shared" si="48"/>
        <v>9</v>
      </c>
      <c r="CQ37" s="341">
        <f t="shared" si="48"/>
        <v>10</v>
      </c>
      <c r="CT37" s="353"/>
      <c r="CU37" s="353"/>
      <c r="CV37" s="353"/>
      <c r="CW37" s="353" t="b">
        <f t="shared" si="49"/>
        <v>1</v>
      </c>
      <c r="CX37" s="353" t="b">
        <f t="shared" si="50"/>
        <v>0</v>
      </c>
      <c r="CY37" s="353" t="b">
        <f t="shared" si="51"/>
        <v>1</v>
      </c>
      <c r="DC37" s="347">
        <f t="shared" si="60"/>
        <v>2</v>
      </c>
      <c r="DD37" s="353" t="b">
        <f t="shared" si="52"/>
        <v>1</v>
      </c>
      <c r="DE37" s="353" t="b">
        <f t="shared" si="53"/>
        <v>0</v>
      </c>
      <c r="DF37" s="353" t="b">
        <f t="shared" si="54"/>
        <v>1</v>
      </c>
      <c r="DG37" s="353"/>
      <c r="DH37" s="353"/>
      <c r="DI37" s="353"/>
      <c r="DJ37" s="353"/>
      <c r="DK37" s="353">
        <f t="shared" si="61"/>
        <v>2</v>
      </c>
      <c r="DM37" s="341">
        <f t="shared" si="55"/>
        <v>0</v>
      </c>
    </row>
    <row r="38" spans="1:117" x14ac:dyDescent="0.25">
      <c r="B38" s="373">
        <f t="shared" si="56"/>
        <v>8</v>
      </c>
      <c r="C38" s="373"/>
      <c r="D38" s="373"/>
      <c r="E38" s="373"/>
      <c r="F38" s="374" t="s">
        <v>127</v>
      </c>
      <c r="G38" s="375">
        <v>1</v>
      </c>
      <c r="H38" s="375">
        <v>1</v>
      </c>
      <c r="I38" s="375">
        <v>1</v>
      </c>
      <c r="J38" s="375">
        <v>1</v>
      </c>
      <c r="K38" s="375">
        <v>1</v>
      </c>
      <c r="L38" s="375">
        <v>1</v>
      </c>
      <c r="M38" s="375">
        <v>1</v>
      </c>
      <c r="N38" s="375">
        <v>1</v>
      </c>
      <c r="O38" s="375">
        <v>1</v>
      </c>
      <c r="P38" s="375">
        <v>1</v>
      </c>
      <c r="Q38" s="375">
        <v>1</v>
      </c>
      <c r="R38" s="375">
        <v>1</v>
      </c>
      <c r="S38" s="375">
        <v>0</v>
      </c>
      <c r="T38" s="376">
        <v>1</v>
      </c>
      <c r="U38" s="376">
        <v>1</v>
      </c>
      <c r="V38" s="376">
        <v>1</v>
      </c>
      <c r="W38" s="376">
        <v>1</v>
      </c>
      <c r="X38" s="376">
        <v>1</v>
      </c>
      <c r="Y38" s="376">
        <v>1</v>
      </c>
      <c r="Z38" s="376">
        <f t="shared" si="8"/>
        <v>1</v>
      </c>
      <c r="AA38" s="376">
        <v>1</v>
      </c>
      <c r="AB38" s="376"/>
      <c r="AC38" s="376"/>
      <c r="AD38" s="376"/>
      <c r="AE38" s="376"/>
      <c r="AF38" s="376">
        <f t="shared" si="9"/>
        <v>0</v>
      </c>
      <c r="AG38" s="376">
        <v>1</v>
      </c>
      <c r="AH38" s="376">
        <f t="shared" si="10"/>
        <v>1</v>
      </c>
      <c r="AI38" s="376"/>
      <c r="AJ38" s="376"/>
      <c r="AK38" s="373">
        <f t="shared" si="11"/>
        <v>1</v>
      </c>
      <c r="AL38" s="373"/>
      <c r="AM38" s="373"/>
      <c r="AN38" s="373"/>
      <c r="AO38" s="373"/>
      <c r="AP38" s="377">
        <f t="shared" si="57"/>
        <v>1</v>
      </c>
      <c r="AQ38" s="378"/>
      <c r="AR38" s="341">
        <f t="shared" si="12"/>
        <v>1</v>
      </c>
      <c r="AS38" s="341">
        <f t="shared" si="58"/>
        <v>0</v>
      </c>
      <c r="AT38" s="341">
        <f t="shared" si="58"/>
        <v>1</v>
      </c>
      <c r="AU38" s="361">
        <f t="shared" si="13"/>
        <v>1</v>
      </c>
      <c r="AV38" s="361">
        <f t="shared" si="14"/>
        <v>1</v>
      </c>
      <c r="AW38" s="361">
        <f t="shared" si="15"/>
        <v>1</v>
      </c>
      <c r="AX38" s="361">
        <f t="shared" si="16"/>
        <v>1</v>
      </c>
      <c r="AY38" s="361">
        <f t="shared" si="17"/>
        <v>1</v>
      </c>
      <c r="AZ38" s="361">
        <f t="shared" si="18"/>
        <v>1</v>
      </c>
      <c r="BA38" s="361">
        <f t="shared" si="19"/>
        <v>1</v>
      </c>
      <c r="BB38" s="361">
        <f t="shared" si="20"/>
        <v>1</v>
      </c>
      <c r="BC38" s="361">
        <f t="shared" si="21"/>
        <v>1</v>
      </c>
      <c r="BD38" s="361">
        <f t="shared" si="22"/>
        <v>1</v>
      </c>
      <c r="BE38" s="361">
        <f t="shared" si="23"/>
        <v>1</v>
      </c>
      <c r="BF38" s="361">
        <f t="shared" si="24"/>
        <v>1</v>
      </c>
      <c r="BG38" s="361">
        <f t="shared" si="25"/>
        <v>1</v>
      </c>
      <c r="BH38" s="361">
        <f t="shared" si="26"/>
        <v>1</v>
      </c>
      <c r="BI38" s="361">
        <f t="shared" si="27"/>
        <v>1</v>
      </c>
      <c r="BJ38" s="361">
        <f t="shared" si="28"/>
        <v>1</v>
      </c>
      <c r="BK38" s="361">
        <f t="shared" si="29"/>
        <v>1</v>
      </c>
      <c r="BL38" s="361">
        <f t="shared" si="30"/>
        <v>1</v>
      </c>
      <c r="BM38" s="361">
        <f t="shared" si="31"/>
        <v>1</v>
      </c>
      <c r="BN38" s="361">
        <f t="shared" si="32"/>
        <v>1</v>
      </c>
      <c r="BO38" s="361">
        <f t="shared" si="33"/>
        <v>1</v>
      </c>
      <c r="BP38" s="361">
        <f t="shared" si="34"/>
        <v>1</v>
      </c>
      <c r="BQ38" s="361">
        <f t="shared" si="35"/>
        <v>1</v>
      </c>
      <c r="BR38" s="361">
        <f t="shared" si="36"/>
        <v>1</v>
      </c>
      <c r="BS38" s="361">
        <f t="shared" si="37"/>
        <v>1</v>
      </c>
      <c r="BT38" s="361">
        <f t="shared" si="38"/>
        <v>1</v>
      </c>
      <c r="BU38" s="361">
        <f t="shared" si="39"/>
        <v>1</v>
      </c>
      <c r="BV38" s="361">
        <f t="shared" si="40"/>
        <v>1</v>
      </c>
      <c r="BW38" s="361">
        <f t="shared" si="41"/>
        <v>1</v>
      </c>
      <c r="BX38" s="361">
        <f t="shared" si="42"/>
        <v>1</v>
      </c>
      <c r="BY38" s="361">
        <f t="shared" si="43"/>
        <v>1</v>
      </c>
      <c r="BZ38" s="361">
        <f t="shared" si="44"/>
        <v>1</v>
      </c>
      <c r="CA38" s="361">
        <f t="shared" si="45"/>
        <v>1</v>
      </c>
      <c r="CB38" s="361">
        <f t="shared" si="46"/>
        <v>1</v>
      </c>
      <c r="CC38" s="361">
        <f t="shared" si="47"/>
        <v>1</v>
      </c>
      <c r="CH38" s="341">
        <f t="shared" si="59"/>
        <v>1</v>
      </c>
      <c r="CI38" s="341">
        <f t="shared" si="48"/>
        <v>2</v>
      </c>
      <c r="CJ38" s="341">
        <f t="shared" si="48"/>
        <v>3</v>
      </c>
      <c r="CK38" s="341">
        <f t="shared" si="48"/>
        <v>4</v>
      </c>
      <c r="CL38" s="341">
        <f t="shared" si="48"/>
        <v>5</v>
      </c>
      <c r="CM38" s="341">
        <f t="shared" si="48"/>
        <v>6</v>
      </c>
      <c r="CN38" s="341">
        <f t="shared" si="48"/>
        <v>7</v>
      </c>
      <c r="CO38" s="341">
        <f t="shared" si="48"/>
        <v>8</v>
      </c>
      <c r="CP38" s="341">
        <f t="shared" si="48"/>
        <v>9</v>
      </c>
      <c r="CQ38" s="341">
        <f t="shared" si="48"/>
        <v>10</v>
      </c>
      <c r="CT38" s="353"/>
      <c r="CU38" s="353"/>
      <c r="CV38" s="353"/>
      <c r="CW38" s="353" t="b">
        <f t="shared" si="49"/>
        <v>1</v>
      </c>
      <c r="CX38" s="353" t="b">
        <f t="shared" si="50"/>
        <v>0</v>
      </c>
      <c r="CY38" s="353" t="b">
        <f t="shared" si="51"/>
        <v>1</v>
      </c>
      <c r="DC38" s="347">
        <f t="shared" si="60"/>
        <v>2</v>
      </c>
      <c r="DD38" s="353" t="b">
        <f t="shared" si="52"/>
        <v>1</v>
      </c>
      <c r="DE38" s="353" t="b">
        <f t="shared" si="53"/>
        <v>0</v>
      </c>
      <c r="DF38" s="353" t="b">
        <f t="shared" si="54"/>
        <v>1</v>
      </c>
      <c r="DG38" s="353"/>
      <c r="DH38" s="353"/>
      <c r="DI38" s="353"/>
      <c r="DJ38" s="353"/>
      <c r="DK38" s="353">
        <f t="shared" si="61"/>
        <v>2</v>
      </c>
      <c r="DM38" s="341">
        <f t="shared" si="55"/>
        <v>0</v>
      </c>
    </row>
    <row r="39" spans="1:117" x14ac:dyDescent="0.25">
      <c r="B39" s="373">
        <f t="shared" si="56"/>
        <v>9</v>
      </c>
      <c r="C39" s="373"/>
      <c r="D39" s="373"/>
      <c r="E39" s="373"/>
      <c r="F39" s="374" t="s">
        <v>128</v>
      </c>
      <c r="G39" s="375">
        <v>1</v>
      </c>
      <c r="H39" s="375">
        <v>1</v>
      </c>
      <c r="I39" s="375">
        <v>1</v>
      </c>
      <c r="J39" s="375">
        <v>1</v>
      </c>
      <c r="K39" s="375">
        <v>1</v>
      </c>
      <c r="L39" s="375">
        <v>1</v>
      </c>
      <c r="M39" s="375">
        <v>1</v>
      </c>
      <c r="N39" s="375">
        <v>1</v>
      </c>
      <c r="O39" s="375">
        <v>1</v>
      </c>
      <c r="P39" s="375">
        <v>1</v>
      </c>
      <c r="Q39" s="375">
        <v>1</v>
      </c>
      <c r="R39" s="375">
        <v>1</v>
      </c>
      <c r="S39" s="375">
        <v>0</v>
      </c>
      <c r="T39" s="376">
        <v>1</v>
      </c>
      <c r="U39" s="376">
        <v>1</v>
      </c>
      <c r="V39" s="376">
        <v>1</v>
      </c>
      <c r="W39" s="376">
        <v>1</v>
      </c>
      <c r="X39" s="376">
        <v>1</v>
      </c>
      <c r="Y39" s="376">
        <v>1</v>
      </c>
      <c r="Z39" s="376">
        <f t="shared" si="8"/>
        <v>1</v>
      </c>
      <c r="AA39" s="376">
        <v>1</v>
      </c>
      <c r="AB39" s="376"/>
      <c r="AC39" s="376"/>
      <c r="AD39" s="376"/>
      <c r="AE39" s="376"/>
      <c r="AF39" s="376">
        <f t="shared" si="9"/>
        <v>0</v>
      </c>
      <c r="AG39" s="376">
        <v>1</v>
      </c>
      <c r="AH39" s="376">
        <f t="shared" si="10"/>
        <v>1</v>
      </c>
      <c r="AI39" s="376"/>
      <c r="AJ39" s="376"/>
      <c r="AK39" s="373">
        <f t="shared" si="11"/>
        <v>1</v>
      </c>
      <c r="AL39" s="373"/>
      <c r="AM39" s="373"/>
      <c r="AN39" s="373"/>
      <c r="AO39" s="373"/>
      <c r="AP39" s="377">
        <f t="shared" si="57"/>
        <v>1</v>
      </c>
      <c r="AQ39" s="378"/>
      <c r="AR39" s="341">
        <f t="shared" si="12"/>
        <v>1</v>
      </c>
      <c r="AS39" s="341">
        <f t="shared" si="58"/>
        <v>0</v>
      </c>
      <c r="AT39" s="341">
        <f t="shared" si="58"/>
        <v>1</v>
      </c>
      <c r="AU39" s="361">
        <f t="shared" si="13"/>
        <v>1</v>
      </c>
      <c r="AV39" s="361">
        <f t="shared" si="14"/>
        <v>1</v>
      </c>
      <c r="AW39" s="361">
        <f t="shared" si="15"/>
        <v>1</v>
      </c>
      <c r="AX39" s="361">
        <f t="shared" si="16"/>
        <v>1</v>
      </c>
      <c r="AY39" s="361">
        <f t="shared" si="17"/>
        <v>1</v>
      </c>
      <c r="AZ39" s="361">
        <f t="shared" si="18"/>
        <v>1</v>
      </c>
      <c r="BA39" s="361">
        <f t="shared" si="19"/>
        <v>1</v>
      </c>
      <c r="BB39" s="361">
        <f t="shared" si="20"/>
        <v>1</v>
      </c>
      <c r="BC39" s="361">
        <f t="shared" si="21"/>
        <v>1</v>
      </c>
      <c r="BD39" s="361">
        <f t="shared" si="22"/>
        <v>1</v>
      </c>
      <c r="BE39" s="361">
        <f t="shared" si="23"/>
        <v>1</v>
      </c>
      <c r="BF39" s="361">
        <f t="shared" si="24"/>
        <v>1</v>
      </c>
      <c r="BG39" s="361">
        <f t="shared" si="25"/>
        <v>1</v>
      </c>
      <c r="BH39" s="361">
        <f t="shared" si="26"/>
        <v>1</v>
      </c>
      <c r="BI39" s="361">
        <f t="shared" si="27"/>
        <v>1</v>
      </c>
      <c r="BJ39" s="361">
        <f t="shared" si="28"/>
        <v>1</v>
      </c>
      <c r="BK39" s="361">
        <f t="shared" si="29"/>
        <v>1</v>
      </c>
      <c r="BL39" s="361">
        <f t="shared" si="30"/>
        <v>1</v>
      </c>
      <c r="BM39" s="361">
        <f t="shared" si="31"/>
        <v>1</v>
      </c>
      <c r="BN39" s="361">
        <f t="shared" si="32"/>
        <v>1</v>
      </c>
      <c r="BO39" s="361">
        <f t="shared" si="33"/>
        <v>1</v>
      </c>
      <c r="BP39" s="361">
        <f t="shared" si="34"/>
        <v>1</v>
      </c>
      <c r="BQ39" s="361">
        <f t="shared" si="35"/>
        <v>1</v>
      </c>
      <c r="BR39" s="361">
        <f t="shared" si="36"/>
        <v>1</v>
      </c>
      <c r="BS39" s="361">
        <f t="shared" si="37"/>
        <v>1</v>
      </c>
      <c r="BT39" s="361">
        <f t="shared" si="38"/>
        <v>1</v>
      </c>
      <c r="BU39" s="361">
        <f t="shared" si="39"/>
        <v>1</v>
      </c>
      <c r="BV39" s="361">
        <f t="shared" si="40"/>
        <v>1</v>
      </c>
      <c r="BW39" s="361">
        <f t="shared" si="41"/>
        <v>1</v>
      </c>
      <c r="BX39" s="361">
        <f t="shared" si="42"/>
        <v>1</v>
      </c>
      <c r="BY39" s="361">
        <f t="shared" si="43"/>
        <v>1</v>
      </c>
      <c r="BZ39" s="361">
        <f t="shared" si="44"/>
        <v>1</v>
      </c>
      <c r="CA39" s="361">
        <f t="shared" si="45"/>
        <v>1</v>
      </c>
      <c r="CB39" s="361">
        <f t="shared" si="46"/>
        <v>1</v>
      </c>
      <c r="CC39" s="361">
        <f t="shared" si="47"/>
        <v>1</v>
      </c>
      <c r="CH39" s="341">
        <f t="shared" si="59"/>
        <v>1</v>
      </c>
      <c r="CI39" s="341">
        <f t="shared" si="48"/>
        <v>2</v>
      </c>
      <c r="CJ39" s="341">
        <f t="shared" si="48"/>
        <v>3</v>
      </c>
      <c r="CK39" s="341">
        <f t="shared" si="48"/>
        <v>4</v>
      </c>
      <c r="CL39" s="341">
        <f t="shared" si="48"/>
        <v>5</v>
      </c>
      <c r="CM39" s="341">
        <f t="shared" si="48"/>
        <v>6</v>
      </c>
      <c r="CN39" s="341">
        <f t="shared" si="48"/>
        <v>7</v>
      </c>
      <c r="CO39" s="341">
        <f t="shared" si="48"/>
        <v>8</v>
      </c>
      <c r="CP39" s="341">
        <f t="shared" si="48"/>
        <v>9</v>
      </c>
      <c r="CQ39" s="341">
        <f t="shared" si="48"/>
        <v>10</v>
      </c>
      <c r="CT39" s="353"/>
      <c r="CU39" s="353"/>
      <c r="CV39" s="353"/>
      <c r="CW39" s="353" t="b">
        <f t="shared" si="49"/>
        <v>1</v>
      </c>
      <c r="CX39" s="353" t="b">
        <f t="shared" si="50"/>
        <v>0</v>
      </c>
      <c r="CY39" s="353" t="b">
        <f t="shared" si="51"/>
        <v>1</v>
      </c>
      <c r="DC39" s="347">
        <f t="shared" si="60"/>
        <v>2</v>
      </c>
      <c r="DD39" s="353" t="b">
        <f t="shared" si="52"/>
        <v>1</v>
      </c>
      <c r="DE39" s="353" t="b">
        <f t="shared" si="53"/>
        <v>0</v>
      </c>
      <c r="DF39" s="353" t="b">
        <f t="shared" si="54"/>
        <v>1</v>
      </c>
      <c r="DG39" s="353"/>
      <c r="DH39" s="353"/>
      <c r="DI39" s="353"/>
      <c r="DJ39" s="353"/>
      <c r="DK39" s="353">
        <f t="shared" si="61"/>
        <v>2</v>
      </c>
      <c r="DM39" s="341">
        <f t="shared" si="55"/>
        <v>0</v>
      </c>
    </row>
    <row r="40" spans="1:117" x14ac:dyDescent="0.25">
      <c r="B40" s="373">
        <f t="shared" si="56"/>
        <v>10</v>
      </c>
      <c r="C40" s="373"/>
      <c r="D40" s="373"/>
      <c r="E40" s="373"/>
      <c r="F40" s="374" t="s">
        <v>129</v>
      </c>
      <c r="G40" s="375">
        <v>1</v>
      </c>
      <c r="H40" s="375">
        <v>1</v>
      </c>
      <c r="I40" s="375">
        <v>1</v>
      </c>
      <c r="J40" s="375">
        <v>1</v>
      </c>
      <c r="K40" s="375">
        <v>1</v>
      </c>
      <c r="L40" s="375">
        <v>1</v>
      </c>
      <c r="M40" s="375">
        <v>1</v>
      </c>
      <c r="N40" s="375">
        <v>1</v>
      </c>
      <c r="O40" s="375">
        <v>1</v>
      </c>
      <c r="P40" s="375">
        <v>1</v>
      </c>
      <c r="Q40" s="375">
        <v>1</v>
      </c>
      <c r="R40" s="375">
        <v>1</v>
      </c>
      <c r="S40" s="375">
        <v>0</v>
      </c>
      <c r="T40" s="376">
        <v>1</v>
      </c>
      <c r="U40" s="376">
        <v>1</v>
      </c>
      <c r="V40" s="376">
        <v>1</v>
      </c>
      <c r="W40" s="376">
        <v>1</v>
      </c>
      <c r="X40" s="376">
        <v>1</v>
      </c>
      <c r="Y40" s="376">
        <v>1</v>
      </c>
      <c r="Z40" s="376">
        <f t="shared" si="8"/>
        <v>1</v>
      </c>
      <c r="AA40" s="376">
        <v>1</v>
      </c>
      <c r="AB40" s="376"/>
      <c r="AC40" s="376"/>
      <c r="AD40" s="376"/>
      <c r="AE40" s="376"/>
      <c r="AF40" s="376">
        <f t="shared" si="9"/>
        <v>0</v>
      </c>
      <c r="AG40" s="376">
        <v>1</v>
      </c>
      <c r="AH40" s="376">
        <f t="shared" si="10"/>
        <v>1</v>
      </c>
      <c r="AI40" s="376"/>
      <c r="AJ40" s="376"/>
      <c r="AK40" s="373">
        <f t="shared" si="11"/>
        <v>1</v>
      </c>
      <c r="AL40" s="373"/>
      <c r="AM40" s="373"/>
      <c r="AN40" s="373"/>
      <c r="AO40" s="373"/>
      <c r="AP40" s="377">
        <f t="shared" si="57"/>
        <v>1</v>
      </c>
      <c r="AQ40" s="378"/>
      <c r="AR40" s="341">
        <f t="shared" si="12"/>
        <v>1</v>
      </c>
      <c r="AS40" s="341">
        <f t="shared" si="58"/>
        <v>0</v>
      </c>
      <c r="AT40" s="341">
        <f t="shared" si="58"/>
        <v>1</v>
      </c>
      <c r="AU40" s="361">
        <f t="shared" si="13"/>
        <v>1</v>
      </c>
      <c r="AV40" s="361">
        <f t="shared" si="14"/>
        <v>1</v>
      </c>
      <c r="AW40" s="361">
        <f t="shared" si="15"/>
        <v>1</v>
      </c>
      <c r="AX40" s="361">
        <f t="shared" si="16"/>
        <v>1</v>
      </c>
      <c r="AY40" s="361">
        <f t="shared" si="17"/>
        <v>1</v>
      </c>
      <c r="AZ40" s="361">
        <f t="shared" si="18"/>
        <v>1</v>
      </c>
      <c r="BA40" s="361">
        <f t="shared" si="19"/>
        <v>1</v>
      </c>
      <c r="BB40" s="361">
        <f t="shared" si="20"/>
        <v>1</v>
      </c>
      <c r="BC40" s="361">
        <f t="shared" si="21"/>
        <v>1</v>
      </c>
      <c r="BD40" s="361">
        <f t="shared" si="22"/>
        <v>1</v>
      </c>
      <c r="BE40" s="361">
        <f t="shared" si="23"/>
        <v>1</v>
      </c>
      <c r="BF40" s="361">
        <f t="shared" si="24"/>
        <v>1</v>
      </c>
      <c r="BG40" s="361">
        <f t="shared" si="25"/>
        <v>1</v>
      </c>
      <c r="BH40" s="361">
        <f t="shared" si="26"/>
        <v>1</v>
      </c>
      <c r="BI40" s="361">
        <f t="shared" si="27"/>
        <v>1</v>
      </c>
      <c r="BJ40" s="361">
        <f t="shared" si="28"/>
        <v>1</v>
      </c>
      <c r="BK40" s="361">
        <f t="shared" si="29"/>
        <v>1</v>
      </c>
      <c r="BL40" s="361">
        <f t="shared" si="30"/>
        <v>1</v>
      </c>
      <c r="BM40" s="361">
        <f t="shared" si="31"/>
        <v>1</v>
      </c>
      <c r="BN40" s="361">
        <f t="shared" si="32"/>
        <v>1</v>
      </c>
      <c r="BO40" s="361">
        <f t="shared" si="33"/>
        <v>1</v>
      </c>
      <c r="BP40" s="361">
        <f t="shared" si="34"/>
        <v>1</v>
      </c>
      <c r="BQ40" s="361">
        <f t="shared" si="35"/>
        <v>1</v>
      </c>
      <c r="BR40" s="361">
        <f t="shared" si="36"/>
        <v>1</v>
      </c>
      <c r="BS40" s="361">
        <f t="shared" si="37"/>
        <v>1</v>
      </c>
      <c r="BT40" s="361">
        <f t="shared" si="38"/>
        <v>1</v>
      </c>
      <c r="BU40" s="361">
        <f t="shared" si="39"/>
        <v>1</v>
      </c>
      <c r="BV40" s="361">
        <f t="shared" si="40"/>
        <v>1</v>
      </c>
      <c r="BW40" s="361">
        <f t="shared" si="41"/>
        <v>1</v>
      </c>
      <c r="BX40" s="361">
        <f t="shared" si="42"/>
        <v>1</v>
      </c>
      <c r="BY40" s="361">
        <f t="shared" si="43"/>
        <v>1</v>
      </c>
      <c r="BZ40" s="361">
        <f t="shared" si="44"/>
        <v>1</v>
      </c>
      <c r="CA40" s="361">
        <f t="shared" si="45"/>
        <v>1</v>
      </c>
      <c r="CB40" s="361">
        <f t="shared" si="46"/>
        <v>1</v>
      </c>
      <c r="CC40" s="361">
        <f t="shared" si="47"/>
        <v>1</v>
      </c>
      <c r="CH40" s="341">
        <f t="shared" si="59"/>
        <v>1</v>
      </c>
      <c r="CI40" s="341">
        <f t="shared" si="48"/>
        <v>2</v>
      </c>
      <c r="CJ40" s="341">
        <f t="shared" si="48"/>
        <v>3</v>
      </c>
      <c r="CK40" s="341">
        <f t="shared" si="48"/>
        <v>4</v>
      </c>
      <c r="CL40" s="341">
        <f t="shared" si="48"/>
        <v>5</v>
      </c>
      <c r="CM40" s="341">
        <f t="shared" si="48"/>
        <v>6</v>
      </c>
      <c r="CN40" s="341">
        <f t="shared" si="48"/>
        <v>7</v>
      </c>
      <c r="CO40" s="341">
        <f t="shared" si="48"/>
        <v>8</v>
      </c>
      <c r="CP40" s="341">
        <f t="shared" si="48"/>
        <v>9</v>
      </c>
      <c r="CQ40" s="341">
        <f t="shared" si="48"/>
        <v>10</v>
      </c>
      <c r="CT40" s="353"/>
      <c r="CU40" s="353"/>
      <c r="CV40" s="353"/>
      <c r="CW40" s="353" t="b">
        <f t="shared" si="49"/>
        <v>1</v>
      </c>
      <c r="CX40" s="353" t="b">
        <f t="shared" si="50"/>
        <v>0</v>
      </c>
      <c r="CY40" s="353" t="b">
        <f t="shared" si="51"/>
        <v>1</v>
      </c>
      <c r="DC40" s="347">
        <f t="shared" si="60"/>
        <v>2</v>
      </c>
      <c r="DD40" s="353" t="b">
        <f t="shared" si="52"/>
        <v>1</v>
      </c>
      <c r="DE40" s="353" t="b">
        <f t="shared" si="53"/>
        <v>0</v>
      </c>
      <c r="DF40" s="353" t="b">
        <f t="shared" si="54"/>
        <v>1</v>
      </c>
      <c r="DG40" s="353"/>
      <c r="DH40" s="353"/>
      <c r="DI40" s="353"/>
      <c r="DJ40" s="353"/>
      <c r="DK40" s="353">
        <f t="shared" si="61"/>
        <v>2</v>
      </c>
      <c r="DM40" s="341">
        <f t="shared" si="55"/>
        <v>0</v>
      </c>
    </row>
    <row r="41" spans="1:117" x14ac:dyDescent="0.25">
      <c r="A41" s="341">
        <f>ROW()-30</f>
        <v>11</v>
      </c>
      <c r="B41" s="373" t="str">
        <f t="shared" si="56"/>
        <v/>
      </c>
      <c r="C41" s="373"/>
      <c r="D41" s="373"/>
      <c r="E41" s="373"/>
      <c r="F41" s="374"/>
      <c r="G41" s="375"/>
      <c r="H41" s="375"/>
      <c r="I41" s="375"/>
      <c r="J41" s="375"/>
      <c r="K41" s="375"/>
      <c r="L41" s="375"/>
      <c r="M41" s="375"/>
      <c r="N41" s="375"/>
      <c r="O41" s="375"/>
      <c r="P41" s="375"/>
      <c r="Q41" s="375"/>
      <c r="R41" s="375"/>
      <c r="S41" s="375"/>
      <c r="T41" s="376"/>
      <c r="U41" s="376"/>
      <c r="V41" s="376"/>
      <c r="W41" s="376"/>
      <c r="X41" s="376"/>
      <c r="Y41" s="376"/>
      <c r="Z41" s="376" t="str">
        <f t="shared" si="8"/>
        <v/>
      </c>
      <c r="AA41" s="376"/>
      <c r="AB41" s="376"/>
      <c r="AC41" s="376"/>
      <c r="AD41" s="376"/>
      <c r="AE41" s="376"/>
      <c r="AF41" s="376" t="str">
        <f t="shared" si="9"/>
        <v/>
      </c>
      <c r="AG41" s="376"/>
      <c r="AH41" s="376" t="str">
        <f t="shared" si="10"/>
        <v/>
      </c>
      <c r="AI41" s="376"/>
      <c r="AJ41" s="376"/>
      <c r="AK41" s="373" t="str">
        <f t="shared" si="11"/>
        <v/>
      </c>
      <c r="AL41" s="373"/>
      <c r="AM41" s="373"/>
      <c r="AN41" s="373"/>
      <c r="AO41" s="373"/>
      <c r="AP41" s="377" t="str">
        <f t="shared" si="57"/>
        <v/>
      </c>
      <c r="AQ41" s="378"/>
      <c r="AR41" s="341">
        <f t="shared" si="12"/>
        <v>0</v>
      </c>
      <c r="AS41" s="341" t="str">
        <f t="shared" si="58"/>
        <v/>
      </c>
      <c r="AT41" s="341" t="str">
        <f t="shared" si="58"/>
        <v/>
      </c>
      <c r="AU41" s="361">
        <f t="shared" si="13"/>
        <v>0</v>
      </c>
      <c r="AV41" s="361">
        <f t="shared" si="14"/>
        <v>0</v>
      </c>
      <c r="AW41" s="361">
        <f t="shared" si="15"/>
        <v>0</v>
      </c>
      <c r="AX41" s="361">
        <f t="shared" si="16"/>
        <v>0</v>
      </c>
      <c r="AY41" s="361">
        <f t="shared" si="17"/>
        <v>0</v>
      </c>
      <c r="AZ41" s="361">
        <f t="shared" si="18"/>
        <v>0</v>
      </c>
      <c r="BA41" s="361">
        <f t="shared" si="19"/>
        <v>0</v>
      </c>
      <c r="BB41" s="361">
        <f t="shared" si="20"/>
        <v>0</v>
      </c>
      <c r="BC41" s="361">
        <f t="shared" si="21"/>
        <v>0</v>
      </c>
      <c r="BD41" s="361">
        <f t="shared" si="22"/>
        <v>0</v>
      </c>
      <c r="BE41" s="361">
        <f t="shared" si="23"/>
        <v>0</v>
      </c>
      <c r="BF41" s="361">
        <f t="shared" si="24"/>
        <v>0</v>
      </c>
      <c r="BG41" s="361">
        <f t="shared" si="25"/>
        <v>0</v>
      </c>
      <c r="BH41" s="361">
        <f t="shared" si="26"/>
        <v>0</v>
      </c>
      <c r="BI41" s="361">
        <f t="shared" si="27"/>
        <v>0</v>
      </c>
      <c r="BJ41" s="361">
        <f t="shared" si="28"/>
        <v>0</v>
      </c>
      <c r="BK41" s="361">
        <f t="shared" si="29"/>
        <v>0</v>
      </c>
      <c r="BL41" s="361">
        <f t="shared" si="30"/>
        <v>0</v>
      </c>
      <c r="BM41" s="361">
        <f t="shared" si="31"/>
        <v>0</v>
      </c>
      <c r="BN41" s="361">
        <f t="shared" si="32"/>
        <v>1</v>
      </c>
      <c r="BO41" s="361">
        <f t="shared" si="33"/>
        <v>0</v>
      </c>
      <c r="BP41" s="361">
        <f t="shared" si="34"/>
        <v>1</v>
      </c>
      <c r="BQ41" s="361">
        <f t="shared" si="35"/>
        <v>1</v>
      </c>
      <c r="BR41" s="361">
        <f t="shared" si="36"/>
        <v>1</v>
      </c>
      <c r="BS41" s="361">
        <f t="shared" si="37"/>
        <v>1</v>
      </c>
      <c r="BT41" s="361">
        <f t="shared" si="38"/>
        <v>1</v>
      </c>
      <c r="BU41" s="361">
        <f t="shared" si="39"/>
        <v>1</v>
      </c>
      <c r="BV41" s="361">
        <f t="shared" si="40"/>
        <v>1</v>
      </c>
      <c r="BW41" s="361">
        <f t="shared" si="41"/>
        <v>1</v>
      </c>
      <c r="BX41" s="361">
        <f t="shared" si="42"/>
        <v>1</v>
      </c>
      <c r="BY41" s="361">
        <f t="shared" si="43"/>
        <v>1</v>
      </c>
      <c r="BZ41" s="361">
        <f t="shared" si="44"/>
        <v>1</v>
      </c>
      <c r="CA41" s="361">
        <f t="shared" si="45"/>
        <v>1</v>
      </c>
      <c r="CB41" s="361">
        <f t="shared" si="46"/>
        <v>1</v>
      </c>
      <c r="CC41" s="361">
        <f t="shared" si="47"/>
        <v>1</v>
      </c>
      <c r="CH41" s="341" t="str">
        <f t="shared" si="59"/>
        <v/>
      </c>
      <c r="CI41" s="341" t="str">
        <f t="shared" si="48"/>
        <v/>
      </c>
      <c r="CJ41" s="341" t="str">
        <f t="shared" si="48"/>
        <v/>
      </c>
      <c r="CK41" s="341" t="str">
        <f t="shared" si="48"/>
        <v/>
      </c>
      <c r="CL41" s="341" t="str">
        <f t="shared" si="48"/>
        <v/>
      </c>
      <c r="CM41" s="341" t="str">
        <f t="shared" si="48"/>
        <v/>
      </c>
      <c r="CN41" s="341" t="str">
        <f t="shared" si="48"/>
        <v/>
      </c>
      <c r="CO41" s="341" t="str">
        <f t="shared" si="48"/>
        <v/>
      </c>
      <c r="CP41" s="341" t="str">
        <f t="shared" si="48"/>
        <v/>
      </c>
      <c r="CQ41" s="341" t="str">
        <f t="shared" si="48"/>
        <v/>
      </c>
      <c r="CT41" s="353"/>
      <c r="CU41" s="353"/>
      <c r="CV41" s="353"/>
      <c r="CW41" s="353" t="b">
        <f t="shared" si="49"/>
        <v>0</v>
      </c>
      <c r="CX41" s="353" t="b">
        <f t="shared" si="50"/>
        <v>0</v>
      </c>
      <c r="CY41" s="353" t="b">
        <f t="shared" si="51"/>
        <v>1</v>
      </c>
      <c r="DC41" s="347">
        <f t="shared" si="60"/>
        <v>1</v>
      </c>
      <c r="DD41" s="353" t="b">
        <f t="shared" si="52"/>
        <v>0</v>
      </c>
      <c r="DE41" s="353" t="b">
        <f t="shared" si="53"/>
        <v>0</v>
      </c>
      <c r="DF41" s="353" t="b">
        <f t="shared" si="54"/>
        <v>1</v>
      </c>
      <c r="DG41" s="353"/>
      <c r="DH41" s="353"/>
      <c r="DI41" s="353"/>
      <c r="DJ41" s="353"/>
      <c r="DK41" s="353">
        <f t="shared" si="61"/>
        <v>1</v>
      </c>
      <c r="DM41" s="341" t="str">
        <f t="shared" si="55"/>
        <v/>
      </c>
    </row>
    <row r="42" spans="1:117" x14ac:dyDescent="0.25">
      <c r="B42" s="373">
        <f t="shared" si="56"/>
        <v>12</v>
      </c>
      <c r="C42" s="373"/>
      <c r="D42" s="373"/>
      <c r="E42" s="373"/>
      <c r="F42" s="374" t="s">
        <v>130</v>
      </c>
      <c r="G42" s="375">
        <v>1</v>
      </c>
      <c r="H42" s="375">
        <v>1</v>
      </c>
      <c r="I42" s="375">
        <v>1</v>
      </c>
      <c r="J42" s="375">
        <v>1</v>
      </c>
      <c r="K42" s="375">
        <v>1</v>
      </c>
      <c r="L42" s="375">
        <v>1</v>
      </c>
      <c r="M42" s="375">
        <v>1</v>
      </c>
      <c r="N42" s="375">
        <v>1</v>
      </c>
      <c r="O42" s="375">
        <v>1</v>
      </c>
      <c r="P42" s="375">
        <v>1</v>
      </c>
      <c r="Q42" s="375">
        <v>1</v>
      </c>
      <c r="R42" s="375">
        <v>1</v>
      </c>
      <c r="S42" s="375">
        <v>0</v>
      </c>
      <c r="T42" s="376">
        <v>1</v>
      </c>
      <c r="U42" s="376">
        <v>1</v>
      </c>
      <c r="V42" s="376">
        <v>1</v>
      </c>
      <c r="W42" s="376">
        <v>1</v>
      </c>
      <c r="X42" s="376">
        <v>1</v>
      </c>
      <c r="Y42" s="376">
        <v>1</v>
      </c>
      <c r="Z42" s="376">
        <f t="shared" si="8"/>
        <v>1</v>
      </c>
      <c r="AA42" s="376">
        <v>1</v>
      </c>
      <c r="AB42" s="376"/>
      <c r="AC42" s="376"/>
      <c r="AD42" s="376"/>
      <c r="AE42" s="376"/>
      <c r="AF42" s="376">
        <f t="shared" si="9"/>
        <v>0</v>
      </c>
      <c r="AG42" s="376">
        <v>1</v>
      </c>
      <c r="AH42" s="376">
        <f t="shared" si="10"/>
        <v>1</v>
      </c>
      <c r="AI42" s="376"/>
      <c r="AJ42" s="376"/>
      <c r="AK42" s="373">
        <f t="shared" si="11"/>
        <v>1</v>
      </c>
      <c r="AL42" s="373"/>
      <c r="AM42" s="373"/>
      <c r="AN42" s="373"/>
      <c r="AO42" s="373"/>
      <c r="AP42" s="377">
        <f t="shared" si="57"/>
        <v>1</v>
      </c>
      <c r="AQ42" s="378"/>
      <c r="AR42" s="341">
        <f t="shared" si="12"/>
        <v>1</v>
      </c>
      <c r="AS42" s="341">
        <f t="shared" si="58"/>
        <v>0</v>
      </c>
      <c r="AT42" s="341">
        <f t="shared" si="58"/>
        <v>1</v>
      </c>
      <c r="AU42" s="361">
        <f t="shared" si="13"/>
        <v>1</v>
      </c>
      <c r="AV42" s="361">
        <f t="shared" si="14"/>
        <v>1</v>
      </c>
      <c r="AW42" s="361">
        <f t="shared" si="15"/>
        <v>1</v>
      </c>
      <c r="AX42" s="361">
        <f t="shared" si="16"/>
        <v>1</v>
      </c>
      <c r="AY42" s="361">
        <f t="shared" si="17"/>
        <v>1</v>
      </c>
      <c r="AZ42" s="361">
        <f t="shared" si="18"/>
        <v>1</v>
      </c>
      <c r="BA42" s="361">
        <f t="shared" si="19"/>
        <v>1</v>
      </c>
      <c r="BB42" s="361">
        <f t="shared" si="20"/>
        <v>1</v>
      </c>
      <c r="BC42" s="361">
        <f t="shared" si="21"/>
        <v>1</v>
      </c>
      <c r="BD42" s="361">
        <f t="shared" si="22"/>
        <v>1</v>
      </c>
      <c r="BE42" s="361">
        <f t="shared" si="23"/>
        <v>1</v>
      </c>
      <c r="BF42" s="361">
        <f t="shared" si="24"/>
        <v>1</v>
      </c>
      <c r="BG42" s="361">
        <f t="shared" si="25"/>
        <v>1</v>
      </c>
      <c r="BH42" s="361">
        <f t="shared" si="26"/>
        <v>1</v>
      </c>
      <c r="BI42" s="361">
        <f t="shared" si="27"/>
        <v>1</v>
      </c>
      <c r="BJ42" s="361">
        <f t="shared" si="28"/>
        <v>1</v>
      </c>
      <c r="BK42" s="361">
        <f t="shared" si="29"/>
        <v>1</v>
      </c>
      <c r="BL42" s="361">
        <f t="shared" si="30"/>
        <v>1</v>
      </c>
      <c r="BM42" s="361">
        <f t="shared" si="31"/>
        <v>1</v>
      </c>
      <c r="BN42" s="361">
        <f t="shared" si="32"/>
        <v>1</v>
      </c>
      <c r="BO42" s="361">
        <f t="shared" si="33"/>
        <v>1</v>
      </c>
      <c r="BP42" s="361">
        <f t="shared" si="34"/>
        <v>1</v>
      </c>
      <c r="BQ42" s="361">
        <f t="shared" si="35"/>
        <v>1</v>
      </c>
      <c r="BR42" s="361">
        <f t="shared" si="36"/>
        <v>1</v>
      </c>
      <c r="BS42" s="361">
        <f t="shared" si="37"/>
        <v>1</v>
      </c>
      <c r="BT42" s="361">
        <f t="shared" si="38"/>
        <v>1</v>
      </c>
      <c r="BU42" s="361">
        <f t="shared" si="39"/>
        <v>1</v>
      </c>
      <c r="BV42" s="361">
        <f t="shared" si="40"/>
        <v>1</v>
      </c>
      <c r="BW42" s="361">
        <f t="shared" si="41"/>
        <v>1</v>
      </c>
      <c r="BX42" s="361">
        <f t="shared" si="42"/>
        <v>1</v>
      </c>
      <c r="BY42" s="361">
        <f t="shared" si="43"/>
        <v>1</v>
      </c>
      <c r="BZ42" s="361">
        <f t="shared" si="44"/>
        <v>1</v>
      </c>
      <c r="CA42" s="361">
        <f t="shared" si="45"/>
        <v>1</v>
      </c>
      <c r="CB42" s="361">
        <f t="shared" si="46"/>
        <v>1</v>
      </c>
      <c r="CC42" s="361">
        <f t="shared" si="47"/>
        <v>1</v>
      </c>
      <c r="CH42" s="341">
        <f t="shared" si="59"/>
        <v>1</v>
      </c>
      <c r="CI42" s="341">
        <f t="shared" si="48"/>
        <v>2</v>
      </c>
      <c r="CJ42" s="341">
        <f t="shared" si="48"/>
        <v>3</v>
      </c>
      <c r="CK42" s="341">
        <f t="shared" si="48"/>
        <v>4</v>
      </c>
      <c r="CL42" s="341">
        <f t="shared" si="48"/>
        <v>5</v>
      </c>
      <c r="CM42" s="341">
        <f t="shared" si="48"/>
        <v>6</v>
      </c>
      <c r="CN42" s="341">
        <f t="shared" si="48"/>
        <v>7</v>
      </c>
      <c r="CO42" s="341">
        <f t="shared" si="48"/>
        <v>8</v>
      </c>
      <c r="CP42" s="341">
        <f t="shared" si="48"/>
        <v>9</v>
      </c>
      <c r="CQ42" s="341">
        <f t="shared" si="48"/>
        <v>10</v>
      </c>
      <c r="CT42" s="353"/>
      <c r="CU42" s="353"/>
      <c r="CV42" s="353"/>
      <c r="CW42" s="353" t="b">
        <f t="shared" si="49"/>
        <v>1</v>
      </c>
      <c r="CX42" s="353" t="b">
        <f t="shared" si="50"/>
        <v>0</v>
      </c>
      <c r="CY42" s="353" t="b">
        <f t="shared" si="51"/>
        <v>1</v>
      </c>
      <c r="DC42" s="347">
        <f t="shared" si="60"/>
        <v>2</v>
      </c>
      <c r="DD42" s="353" t="b">
        <f t="shared" si="52"/>
        <v>1</v>
      </c>
      <c r="DE42" s="353" t="b">
        <f t="shared" si="53"/>
        <v>0</v>
      </c>
      <c r="DF42" s="353" t="b">
        <f t="shared" si="54"/>
        <v>1</v>
      </c>
      <c r="DG42" s="353"/>
      <c r="DH42" s="353"/>
      <c r="DI42" s="353"/>
      <c r="DJ42" s="353"/>
      <c r="DK42" s="353">
        <f t="shared" si="61"/>
        <v>2</v>
      </c>
      <c r="DM42" s="341">
        <f t="shared" si="55"/>
        <v>0</v>
      </c>
    </row>
    <row r="43" spans="1:117" x14ac:dyDescent="0.25">
      <c r="B43" s="373">
        <f t="shared" si="56"/>
        <v>13</v>
      </c>
      <c r="C43" s="373"/>
      <c r="D43" s="373"/>
      <c r="E43" s="373"/>
      <c r="F43" s="374" t="s">
        <v>131</v>
      </c>
      <c r="G43" s="375">
        <v>1</v>
      </c>
      <c r="H43" s="375">
        <v>1</v>
      </c>
      <c r="I43" s="375">
        <v>1</v>
      </c>
      <c r="J43" s="375">
        <v>1</v>
      </c>
      <c r="K43" s="375">
        <v>1</v>
      </c>
      <c r="L43" s="375">
        <v>1</v>
      </c>
      <c r="M43" s="375">
        <v>1</v>
      </c>
      <c r="N43" s="375">
        <v>1</v>
      </c>
      <c r="O43" s="375">
        <v>1</v>
      </c>
      <c r="P43" s="375">
        <v>1</v>
      </c>
      <c r="Q43" s="375">
        <v>1</v>
      </c>
      <c r="R43" s="375">
        <v>1</v>
      </c>
      <c r="S43" s="375">
        <v>0</v>
      </c>
      <c r="T43" s="376">
        <v>1</v>
      </c>
      <c r="U43" s="376">
        <v>1</v>
      </c>
      <c r="V43" s="376">
        <v>1</v>
      </c>
      <c r="W43" s="376">
        <v>1</v>
      </c>
      <c r="X43" s="376">
        <v>1</v>
      </c>
      <c r="Y43" s="376">
        <v>1</v>
      </c>
      <c r="Z43" s="376">
        <f t="shared" si="8"/>
        <v>1</v>
      </c>
      <c r="AA43" s="376">
        <v>1</v>
      </c>
      <c r="AB43" s="376"/>
      <c r="AC43" s="376"/>
      <c r="AD43" s="376"/>
      <c r="AE43" s="376"/>
      <c r="AF43" s="376">
        <f t="shared" si="9"/>
        <v>0</v>
      </c>
      <c r="AG43" s="376">
        <v>1</v>
      </c>
      <c r="AH43" s="376">
        <f t="shared" si="10"/>
        <v>1</v>
      </c>
      <c r="AI43" s="376"/>
      <c r="AJ43" s="376"/>
      <c r="AK43" s="373">
        <f t="shared" si="11"/>
        <v>1</v>
      </c>
      <c r="AL43" s="373"/>
      <c r="AM43" s="373"/>
      <c r="AN43" s="373"/>
      <c r="AO43" s="373"/>
      <c r="AP43" s="377">
        <f t="shared" si="57"/>
        <v>1</v>
      </c>
      <c r="AQ43" s="378"/>
      <c r="AR43" s="341">
        <f t="shared" si="12"/>
        <v>1</v>
      </c>
      <c r="AS43" s="341">
        <f t="shared" si="58"/>
        <v>0</v>
      </c>
      <c r="AT43" s="341">
        <f t="shared" si="58"/>
        <v>1</v>
      </c>
      <c r="AU43" s="361">
        <f t="shared" si="13"/>
        <v>1</v>
      </c>
      <c r="AV43" s="361">
        <f t="shared" si="14"/>
        <v>1</v>
      </c>
      <c r="AW43" s="361">
        <f t="shared" si="15"/>
        <v>1</v>
      </c>
      <c r="AX43" s="361">
        <f t="shared" si="16"/>
        <v>1</v>
      </c>
      <c r="AY43" s="361">
        <f t="shared" si="17"/>
        <v>1</v>
      </c>
      <c r="AZ43" s="361">
        <f t="shared" si="18"/>
        <v>1</v>
      </c>
      <c r="BA43" s="361">
        <f t="shared" si="19"/>
        <v>1</v>
      </c>
      <c r="BB43" s="361">
        <f t="shared" si="20"/>
        <v>1</v>
      </c>
      <c r="BC43" s="361">
        <f t="shared" si="21"/>
        <v>1</v>
      </c>
      <c r="BD43" s="361">
        <f t="shared" si="22"/>
        <v>1</v>
      </c>
      <c r="BE43" s="361">
        <f t="shared" si="23"/>
        <v>1</v>
      </c>
      <c r="BF43" s="361">
        <f t="shared" si="24"/>
        <v>1</v>
      </c>
      <c r="BG43" s="361">
        <f t="shared" si="25"/>
        <v>1</v>
      </c>
      <c r="BH43" s="361">
        <f t="shared" si="26"/>
        <v>1</v>
      </c>
      <c r="BI43" s="361">
        <f t="shared" si="27"/>
        <v>1</v>
      </c>
      <c r="BJ43" s="361">
        <f t="shared" si="28"/>
        <v>1</v>
      </c>
      <c r="BK43" s="361">
        <f t="shared" si="29"/>
        <v>1</v>
      </c>
      <c r="BL43" s="361">
        <f t="shared" si="30"/>
        <v>1</v>
      </c>
      <c r="BM43" s="361">
        <f t="shared" si="31"/>
        <v>1</v>
      </c>
      <c r="BN43" s="361">
        <f t="shared" si="32"/>
        <v>1</v>
      </c>
      <c r="BO43" s="361">
        <f t="shared" si="33"/>
        <v>1</v>
      </c>
      <c r="BP43" s="361">
        <f t="shared" si="34"/>
        <v>1</v>
      </c>
      <c r="BQ43" s="361">
        <f t="shared" si="35"/>
        <v>1</v>
      </c>
      <c r="BR43" s="361">
        <f t="shared" si="36"/>
        <v>1</v>
      </c>
      <c r="BS43" s="361">
        <f t="shared" si="37"/>
        <v>1</v>
      </c>
      <c r="BT43" s="361">
        <f t="shared" si="38"/>
        <v>1</v>
      </c>
      <c r="BU43" s="361">
        <f t="shared" si="39"/>
        <v>1</v>
      </c>
      <c r="BV43" s="361">
        <f t="shared" si="40"/>
        <v>1</v>
      </c>
      <c r="BW43" s="361">
        <f t="shared" si="41"/>
        <v>1</v>
      </c>
      <c r="BX43" s="361">
        <f t="shared" si="42"/>
        <v>1</v>
      </c>
      <c r="BY43" s="361">
        <f t="shared" si="43"/>
        <v>1</v>
      </c>
      <c r="BZ43" s="361">
        <f t="shared" si="44"/>
        <v>1</v>
      </c>
      <c r="CA43" s="361">
        <f t="shared" si="45"/>
        <v>1</v>
      </c>
      <c r="CB43" s="361">
        <f t="shared" si="46"/>
        <v>1</v>
      </c>
      <c r="CC43" s="361">
        <f t="shared" si="47"/>
        <v>1</v>
      </c>
      <c r="CH43" s="341">
        <f t="shared" si="59"/>
        <v>1</v>
      </c>
      <c r="CI43" s="341">
        <f t="shared" si="48"/>
        <v>2</v>
      </c>
      <c r="CJ43" s="341">
        <f t="shared" si="48"/>
        <v>3</v>
      </c>
      <c r="CK43" s="341">
        <f t="shared" si="48"/>
        <v>4</v>
      </c>
      <c r="CL43" s="341">
        <f t="shared" si="48"/>
        <v>5</v>
      </c>
      <c r="CM43" s="341">
        <f t="shared" si="48"/>
        <v>6</v>
      </c>
      <c r="CN43" s="341">
        <f t="shared" si="48"/>
        <v>7</v>
      </c>
      <c r="CO43" s="341">
        <f t="shared" si="48"/>
        <v>8</v>
      </c>
      <c r="CP43" s="341">
        <f t="shared" si="48"/>
        <v>9</v>
      </c>
      <c r="CQ43" s="341">
        <f t="shared" si="48"/>
        <v>10</v>
      </c>
      <c r="CT43" s="353"/>
      <c r="CU43" s="353"/>
      <c r="CV43" s="353"/>
      <c r="CW43" s="353" t="b">
        <f t="shared" si="49"/>
        <v>1</v>
      </c>
      <c r="CX43" s="353" t="b">
        <f t="shared" si="50"/>
        <v>0</v>
      </c>
      <c r="CY43" s="353" t="b">
        <f t="shared" si="51"/>
        <v>1</v>
      </c>
      <c r="DC43" s="347">
        <f t="shared" si="60"/>
        <v>2</v>
      </c>
      <c r="DD43" s="353" t="b">
        <f t="shared" si="52"/>
        <v>1</v>
      </c>
      <c r="DE43" s="353" t="b">
        <f t="shared" si="53"/>
        <v>0</v>
      </c>
      <c r="DF43" s="353" t="b">
        <f t="shared" si="54"/>
        <v>1</v>
      </c>
      <c r="DG43" s="353"/>
      <c r="DH43" s="353"/>
      <c r="DI43" s="353"/>
      <c r="DJ43" s="353"/>
      <c r="DK43" s="353">
        <f t="shared" si="61"/>
        <v>2</v>
      </c>
      <c r="DM43" s="341">
        <f t="shared" si="55"/>
        <v>0</v>
      </c>
    </row>
    <row r="44" spans="1:117" x14ac:dyDescent="0.25">
      <c r="B44" s="373" t="str">
        <f t="shared" si="56"/>
        <v/>
      </c>
      <c r="C44" s="373"/>
      <c r="D44" s="373"/>
      <c r="E44" s="373"/>
      <c r="F44" s="374"/>
      <c r="G44" s="375"/>
      <c r="H44" s="375"/>
      <c r="I44" s="375"/>
      <c r="J44" s="375"/>
      <c r="K44" s="375"/>
      <c r="L44" s="375"/>
      <c r="M44" s="375"/>
      <c r="N44" s="375"/>
      <c r="O44" s="375"/>
      <c r="P44" s="375"/>
      <c r="Q44" s="375"/>
      <c r="R44" s="375"/>
      <c r="S44" s="375"/>
      <c r="T44" s="376"/>
      <c r="U44" s="376"/>
      <c r="V44" s="376"/>
      <c r="W44" s="376"/>
      <c r="X44" s="376"/>
      <c r="Y44" s="376"/>
      <c r="Z44" s="376" t="str">
        <f t="shared" si="8"/>
        <v/>
      </c>
      <c r="AA44" s="376"/>
      <c r="AB44" s="376"/>
      <c r="AC44" s="376"/>
      <c r="AD44" s="376"/>
      <c r="AE44" s="376"/>
      <c r="AF44" s="376" t="str">
        <f t="shared" si="9"/>
        <v/>
      </c>
      <c r="AG44" s="376"/>
      <c r="AH44" s="376" t="str">
        <f t="shared" si="10"/>
        <v/>
      </c>
      <c r="AI44" s="376"/>
      <c r="AJ44" s="376"/>
      <c r="AK44" s="373" t="str">
        <f t="shared" si="11"/>
        <v/>
      </c>
      <c r="AL44" s="373"/>
      <c r="AM44" s="373"/>
      <c r="AN44" s="373"/>
      <c r="AO44" s="373"/>
      <c r="AP44" s="377" t="str">
        <f t="shared" si="57"/>
        <v/>
      </c>
      <c r="AQ44" s="378"/>
      <c r="AR44" s="341">
        <f t="shared" si="12"/>
        <v>0</v>
      </c>
      <c r="AS44" s="341" t="str">
        <f t="shared" si="58"/>
        <v/>
      </c>
      <c r="AT44" s="341" t="str">
        <f t="shared" si="58"/>
        <v/>
      </c>
      <c r="AU44" s="361">
        <f t="shared" si="13"/>
        <v>0</v>
      </c>
      <c r="AV44" s="361">
        <f t="shared" si="14"/>
        <v>0</v>
      </c>
      <c r="AW44" s="361">
        <f t="shared" si="15"/>
        <v>0</v>
      </c>
      <c r="AX44" s="361">
        <f t="shared" si="16"/>
        <v>0</v>
      </c>
      <c r="AY44" s="361">
        <f t="shared" si="17"/>
        <v>0</v>
      </c>
      <c r="AZ44" s="361">
        <f t="shared" si="18"/>
        <v>0</v>
      </c>
      <c r="BA44" s="361">
        <f t="shared" si="19"/>
        <v>0</v>
      </c>
      <c r="BB44" s="361">
        <f t="shared" si="20"/>
        <v>0</v>
      </c>
      <c r="BC44" s="361">
        <f t="shared" si="21"/>
        <v>0</v>
      </c>
      <c r="BD44" s="361">
        <f t="shared" si="22"/>
        <v>0</v>
      </c>
      <c r="BE44" s="361">
        <f t="shared" si="23"/>
        <v>0</v>
      </c>
      <c r="BF44" s="361">
        <f t="shared" si="24"/>
        <v>0</v>
      </c>
      <c r="BG44" s="361">
        <f t="shared" si="25"/>
        <v>0</v>
      </c>
      <c r="BH44" s="361">
        <f t="shared" si="26"/>
        <v>0</v>
      </c>
      <c r="BI44" s="361">
        <f t="shared" si="27"/>
        <v>0</v>
      </c>
      <c r="BJ44" s="361">
        <f t="shared" si="28"/>
        <v>0</v>
      </c>
      <c r="BK44" s="361">
        <f t="shared" si="29"/>
        <v>0</v>
      </c>
      <c r="BL44" s="361">
        <f t="shared" si="30"/>
        <v>0</v>
      </c>
      <c r="BM44" s="361">
        <f t="shared" si="31"/>
        <v>0</v>
      </c>
      <c r="BN44" s="361">
        <f t="shared" si="32"/>
        <v>1</v>
      </c>
      <c r="BO44" s="361">
        <f t="shared" si="33"/>
        <v>0</v>
      </c>
      <c r="BP44" s="361">
        <f t="shared" si="34"/>
        <v>1</v>
      </c>
      <c r="BQ44" s="361">
        <f t="shared" si="35"/>
        <v>1</v>
      </c>
      <c r="BR44" s="361">
        <f t="shared" si="36"/>
        <v>1</v>
      </c>
      <c r="BS44" s="361">
        <f t="shared" si="37"/>
        <v>1</v>
      </c>
      <c r="BT44" s="361">
        <f t="shared" si="38"/>
        <v>1</v>
      </c>
      <c r="BU44" s="361">
        <f t="shared" si="39"/>
        <v>1</v>
      </c>
      <c r="BV44" s="361">
        <f t="shared" si="40"/>
        <v>1</v>
      </c>
      <c r="BW44" s="361">
        <f t="shared" si="41"/>
        <v>1</v>
      </c>
      <c r="BX44" s="361">
        <f t="shared" si="42"/>
        <v>1</v>
      </c>
      <c r="BY44" s="361">
        <f t="shared" si="43"/>
        <v>1</v>
      </c>
      <c r="BZ44" s="361">
        <f t="shared" si="44"/>
        <v>1</v>
      </c>
      <c r="CA44" s="361">
        <f t="shared" si="45"/>
        <v>1</v>
      </c>
      <c r="CB44" s="361">
        <f t="shared" si="46"/>
        <v>1</v>
      </c>
      <c r="CC44" s="361">
        <f t="shared" si="47"/>
        <v>1</v>
      </c>
      <c r="CH44" s="341" t="str">
        <f t="shared" si="59"/>
        <v/>
      </c>
      <c r="CI44" s="341" t="str">
        <f t="shared" si="48"/>
        <v/>
      </c>
      <c r="CJ44" s="341" t="str">
        <f t="shared" si="48"/>
        <v/>
      </c>
      <c r="CK44" s="341" t="str">
        <f t="shared" si="48"/>
        <v/>
      </c>
      <c r="CL44" s="341" t="str">
        <f t="shared" si="48"/>
        <v/>
      </c>
      <c r="CM44" s="341" t="str">
        <f t="shared" si="48"/>
        <v/>
      </c>
      <c r="CN44" s="341" t="str">
        <f t="shared" si="48"/>
        <v/>
      </c>
      <c r="CO44" s="341" t="str">
        <f t="shared" si="48"/>
        <v/>
      </c>
      <c r="CP44" s="341" t="str">
        <f t="shared" si="48"/>
        <v/>
      </c>
      <c r="CQ44" s="341" t="str">
        <f t="shared" si="48"/>
        <v/>
      </c>
      <c r="CT44" s="353"/>
      <c r="CU44" s="353"/>
      <c r="CV44" s="353"/>
      <c r="CW44" s="353" t="b">
        <f t="shared" si="49"/>
        <v>0</v>
      </c>
      <c r="CX44" s="353" t="b">
        <f t="shared" si="50"/>
        <v>0</v>
      </c>
      <c r="CY44" s="353" t="b">
        <f t="shared" si="51"/>
        <v>1</v>
      </c>
      <c r="DC44" s="347">
        <f t="shared" si="60"/>
        <v>1</v>
      </c>
      <c r="DD44" s="353" t="b">
        <f t="shared" si="52"/>
        <v>0</v>
      </c>
      <c r="DE44" s="353" t="b">
        <f t="shared" si="53"/>
        <v>0</v>
      </c>
      <c r="DF44" s="353" t="b">
        <f t="shared" si="54"/>
        <v>1</v>
      </c>
      <c r="DG44" s="353"/>
      <c r="DH44" s="353"/>
      <c r="DI44" s="353"/>
      <c r="DJ44" s="353"/>
      <c r="DK44" s="353">
        <f t="shared" si="61"/>
        <v>1</v>
      </c>
      <c r="DM44" s="341" t="str">
        <f t="shared" si="55"/>
        <v/>
      </c>
    </row>
    <row r="45" spans="1:117" x14ac:dyDescent="0.25">
      <c r="B45" s="373">
        <f t="shared" si="56"/>
        <v>15</v>
      </c>
      <c r="C45" s="373"/>
      <c r="D45" s="373"/>
      <c r="E45" s="373"/>
      <c r="F45" s="374" t="s">
        <v>132</v>
      </c>
      <c r="G45" s="375">
        <v>1</v>
      </c>
      <c r="H45" s="375">
        <v>1</v>
      </c>
      <c r="I45" s="375">
        <v>1</v>
      </c>
      <c r="J45" s="375">
        <v>1</v>
      </c>
      <c r="K45" s="375">
        <v>1</v>
      </c>
      <c r="L45" s="375">
        <v>1</v>
      </c>
      <c r="M45" s="375">
        <v>1</v>
      </c>
      <c r="N45" s="375">
        <v>1</v>
      </c>
      <c r="O45" s="375">
        <v>1</v>
      </c>
      <c r="P45" s="375">
        <v>1</v>
      </c>
      <c r="Q45" s="375">
        <v>1</v>
      </c>
      <c r="R45" s="375">
        <v>1</v>
      </c>
      <c r="S45" s="375">
        <v>0</v>
      </c>
      <c r="T45" s="376">
        <v>1</v>
      </c>
      <c r="U45" s="376">
        <v>1</v>
      </c>
      <c r="V45" s="376">
        <v>1</v>
      </c>
      <c r="W45" s="376">
        <v>1</v>
      </c>
      <c r="X45" s="376">
        <v>1</v>
      </c>
      <c r="Y45" s="376">
        <v>1</v>
      </c>
      <c r="Z45" s="376">
        <f t="shared" si="8"/>
        <v>1</v>
      </c>
      <c r="AA45" s="376">
        <v>1</v>
      </c>
      <c r="AB45" s="376"/>
      <c r="AC45" s="376"/>
      <c r="AD45" s="376"/>
      <c r="AE45" s="376"/>
      <c r="AF45" s="376">
        <f t="shared" si="9"/>
        <v>0</v>
      </c>
      <c r="AG45" s="376">
        <v>1</v>
      </c>
      <c r="AH45" s="376">
        <f t="shared" si="10"/>
        <v>1</v>
      </c>
      <c r="AI45" s="376"/>
      <c r="AJ45" s="376"/>
      <c r="AK45" s="373">
        <f t="shared" si="11"/>
        <v>1</v>
      </c>
      <c r="AL45" s="373"/>
      <c r="AM45" s="373"/>
      <c r="AN45" s="373"/>
      <c r="AO45" s="373"/>
      <c r="AP45" s="377">
        <f t="shared" si="57"/>
        <v>1</v>
      </c>
      <c r="AQ45" s="378"/>
      <c r="AR45" s="341">
        <f t="shared" si="12"/>
        <v>1</v>
      </c>
      <c r="AS45" s="341">
        <f t="shared" si="58"/>
        <v>0</v>
      </c>
      <c r="AT45" s="341">
        <f t="shared" si="58"/>
        <v>1</v>
      </c>
      <c r="AU45" s="361">
        <f t="shared" si="13"/>
        <v>1</v>
      </c>
      <c r="AV45" s="361">
        <f t="shared" si="14"/>
        <v>1</v>
      </c>
      <c r="AW45" s="361">
        <f t="shared" si="15"/>
        <v>1</v>
      </c>
      <c r="AX45" s="361">
        <f t="shared" si="16"/>
        <v>1</v>
      </c>
      <c r="AY45" s="361">
        <f t="shared" si="17"/>
        <v>1</v>
      </c>
      <c r="AZ45" s="361">
        <f t="shared" si="18"/>
        <v>1</v>
      </c>
      <c r="BA45" s="361">
        <f t="shared" si="19"/>
        <v>1</v>
      </c>
      <c r="BB45" s="361">
        <f t="shared" si="20"/>
        <v>1</v>
      </c>
      <c r="BC45" s="361">
        <f t="shared" si="21"/>
        <v>1</v>
      </c>
      <c r="BD45" s="361">
        <f t="shared" si="22"/>
        <v>1</v>
      </c>
      <c r="BE45" s="361">
        <f t="shared" si="23"/>
        <v>1</v>
      </c>
      <c r="BF45" s="361">
        <f t="shared" si="24"/>
        <v>1</v>
      </c>
      <c r="BG45" s="361">
        <f t="shared" si="25"/>
        <v>1</v>
      </c>
      <c r="BH45" s="361">
        <f t="shared" si="26"/>
        <v>1</v>
      </c>
      <c r="BI45" s="361">
        <f t="shared" si="27"/>
        <v>1</v>
      </c>
      <c r="BJ45" s="361">
        <f t="shared" si="28"/>
        <v>1</v>
      </c>
      <c r="BK45" s="361">
        <f t="shared" si="29"/>
        <v>1</v>
      </c>
      <c r="BL45" s="361">
        <f t="shared" si="30"/>
        <v>1</v>
      </c>
      <c r="BM45" s="361">
        <f t="shared" si="31"/>
        <v>1</v>
      </c>
      <c r="BN45" s="361">
        <f t="shared" si="32"/>
        <v>1</v>
      </c>
      <c r="BO45" s="361">
        <f t="shared" si="33"/>
        <v>1</v>
      </c>
      <c r="BP45" s="361">
        <f t="shared" si="34"/>
        <v>1</v>
      </c>
      <c r="BQ45" s="361">
        <f t="shared" si="35"/>
        <v>1</v>
      </c>
      <c r="BR45" s="361">
        <f t="shared" si="36"/>
        <v>1</v>
      </c>
      <c r="BS45" s="361">
        <f t="shared" si="37"/>
        <v>1</v>
      </c>
      <c r="BT45" s="361">
        <f t="shared" si="38"/>
        <v>1</v>
      </c>
      <c r="BU45" s="361">
        <f t="shared" si="39"/>
        <v>1</v>
      </c>
      <c r="BV45" s="361">
        <f t="shared" si="40"/>
        <v>1</v>
      </c>
      <c r="BW45" s="361">
        <f t="shared" si="41"/>
        <v>1</v>
      </c>
      <c r="BX45" s="361">
        <f t="shared" si="42"/>
        <v>1</v>
      </c>
      <c r="BY45" s="361">
        <f t="shared" si="43"/>
        <v>1</v>
      </c>
      <c r="BZ45" s="361">
        <f t="shared" si="44"/>
        <v>1</v>
      </c>
      <c r="CA45" s="361">
        <f t="shared" si="45"/>
        <v>1</v>
      </c>
      <c r="CB45" s="361">
        <f t="shared" si="46"/>
        <v>1</v>
      </c>
      <c r="CC45" s="361">
        <f t="shared" si="47"/>
        <v>1</v>
      </c>
      <c r="CH45" s="341">
        <f t="shared" si="59"/>
        <v>1</v>
      </c>
      <c r="CI45" s="341">
        <f t="shared" si="48"/>
        <v>2</v>
      </c>
      <c r="CJ45" s="341">
        <f t="shared" si="48"/>
        <v>3</v>
      </c>
      <c r="CK45" s="341">
        <f t="shared" si="48"/>
        <v>4</v>
      </c>
      <c r="CL45" s="341">
        <f t="shared" si="48"/>
        <v>5</v>
      </c>
      <c r="CM45" s="341">
        <f t="shared" si="48"/>
        <v>6</v>
      </c>
      <c r="CN45" s="341">
        <f t="shared" si="48"/>
        <v>7</v>
      </c>
      <c r="CO45" s="341">
        <f t="shared" si="48"/>
        <v>8</v>
      </c>
      <c r="CP45" s="341">
        <f t="shared" si="48"/>
        <v>9</v>
      </c>
      <c r="CQ45" s="341">
        <f t="shared" si="48"/>
        <v>10</v>
      </c>
      <c r="CT45" s="353"/>
      <c r="CU45" s="353"/>
      <c r="CV45" s="353"/>
      <c r="CW45" s="353" t="b">
        <f t="shared" si="49"/>
        <v>1</v>
      </c>
      <c r="CX45" s="353" t="b">
        <f t="shared" si="50"/>
        <v>0</v>
      </c>
      <c r="CY45" s="353" t="b">
        <f t="shared" si="51"/>
        <v>1</v>
      </c>
      <c r="DC45" s="347">
        <f t="shared" si="60"/>
        <v>2</v>
      </c>
      <c r="DD45" s="353" t="b">
        <f t="shared" si="52"/>
        <v>1</v>
      </c>
      <c r="DE45" s="353" t="b">
        <f t="shared" si="53"/>
        <v>0</v>
      </c>
      <c r="DF45" s="353" t="b">
        <f t="shared" si="54"/>
        <v>1</v>
      </c>
      <c r="DG45" s="353"/>
      <c r="DH45" s="353"/>
      <c r="DI45" s="353"/>
      <c r="DJ45" s="353"/>
      <c r="DK45" s="353">
        <f t="shared" si="61"/>
        <v>2</v>
      </c>
      <c r="DM45" s="341">
        <f t="shared" si="55"/>
        <v>0</v>
      </c>
    </row>
    <row r="46" spans="1:117" x14ac:dyDescent="0.25">
      <c r="B46" s="373">
        <f t="shared" si="56"/>
        <v>16</v>
      </c>
      <c r="C46" s="373"/>
      <c r="D46" s="373"/>
      <c r="E46" s="373"/>
      <c r="F46" s="374" t="s">
        <v>133</v>
      </c>
      <c r="G46" s="375">
        <v>1</v>
      </c>
      <c r="H46" s="375">
        <v>1</v>
      </c>
      <c r="I46" s="375">
        <v>1</v>
      </c>
      <c r="J46" s="375">
        <v>1</v>
      </c>
      <c r="K46" s="375">
        <v>1</v>
      </c>
      <c r="L46" s="375">
        <v>1</v>
      </c>
      <c r="M46" s="375">
        <v>1</v>
      </c>
      <c r="N46" s="375">
        <v>1</v>
      </c>
      <c r="O46" s="375">
        <v>1</v>
      </c>
      <c r="P46" s="375">
        <v>1</v>
      </c>
      <c r="Q46" s="375">
        <v>1</v>
      </c>
      <c r="R46" s="375">
        <v>1</v>
      </c>
      <c r="S46" s="375">
        <v>0</v>
      </c>
      <c r="T46" s="376">
        <v>1</v>
      </c>
      <c r="U46" s="376">
        <v>1</v>
      </c>
      <c r="V46" s="376">
        <v>1</v>
      </c>
      <c r="W46" s="376">
        <v>1</v>
      </c>
      <c r="X46" s="376">
        <v>1</v>
      </c>
      <c r="Y46" s="376">
        <v>1</v>
      </c>
      <c r="Z46" s="376">
        <f t="shared" si="8"/>
        <v>1</v>
      </c>
      <c r="AA46" s="376">
        <v>1</v>
      </c>
      <c r="AB46" s="376"/>
      <c r="AC46" s="376"/>
      <c r="AD46" s="376"/>
      <c r="AE46" s="376"/>
      <c r="AF46" s="376">
        <f t="shared" si="9"/>
        <v>0</v>
      </c>
      <c r="AG46" s="376">
        <v>1</v>
      </c>
      <c r="AH46" s="376">
        <f t="shared" si="10"/>
        <v>1</v>
      </c>
      <c r="AI46" s="376"/>
      <c r="AJ46" s="376"/>
      <c r="AK46" s="373">
        <f t="shared" si="11"/>
        <v>1</v>
      </c>
      <c r="AL46" s="373"/>
      <c r="AM46" s="373"/>
      <c r="AN46" s="373"/>
      <c r="AO46" s="373"/>
      <c r="AP46" s="377">
        <f t="shared" si="57"/>
        <v>1</v>
      </c>
      <c r="AQ46" s="378"/>
      <c r="AR46" s="341">
        <f t="shared" si="12"/>
        <v>1</v>
      </c>
      <c r="AS46" s="341">
        <f t="shared" si="58"/>
        <v>0</v>
      </c>
      <c r="AT46" s="341">
        <f t="shared" si="58"/>
        <v>1</v>
      </c>
      <c r="AU46" s="361">
        <f t="shared" si="13"/>
        <v>1</v>
      </c>
      <c r="AV46" s="361">
        <f t="shared" si="14"/>
        <v>1</v>
      </c>
      <c r="AW46" s="361">
        <f t="shared" si="15"/>
        <v>1</v>
      </c>
      <c r="AX46" s="361">
        <f t="shared" si="16"/>
        <v>1</v>
      </c>
      <c r="AY46" s="361">
        <f t="shared" si="17"/>
        <v>1</v>
      </c>
      <c r="AZ46" s="361">
        <f t="shared" si="18"/>
        <v>1</v>
      </c>
      <c r="BA46" s="361">
        <f t="shared" si="19"/>
        <v>1</v>
      </c>
      <c r="BB46" s="361">
        <f t="shared" si="20"/>
        <v>1</v>
      </c>
      <c r="BC46" s="361">
        <f t="shared" si="21"/>
        <v>1</v>
      </c>
      <c r="BD46" s="361">
        <f t="shared" si="22"/>
        <v>1</v>
      </c>
      <c r="BE46" s="361">
        <f t="shared" si="23"/>
        <v>1</v>
      </c>
      <c r="BF46" s="361">
        <f t="shared" si="24"/>
        <v>1</v>
      </c>
      <c r="BG46" s="361">
        <f t="shared" si="25"/>
        <v>1</v>
      </c>
      <c r="BH46" s="361">
        <f t="shared" si="26"/>
        <v>1</v>
      </c>
      <c r="BI46" s="361">
        <f t="shared" si="27"/>
        <v>1</v>
      </c>
      <c r="BJ46" s="361">
        <f t="shared" si="28"/>
        <v>1</v>
      </c>
      <c r="BK46" s="361">
        <f t="shared" si="29"/>
        <v>1</v>
      </c>
      <c r="BL46" s="361">
        <f t="shared" si="30"/>
        <v>1</v>
      </c>
      <c r="BM46" s="361">
        <f t="shared" si="31"/>
        <v>1</v>
      </c>
      <c r="BN46" s="361">
        <f t="shared" si="32"/>
        <v>1</v>
      </c>
      <c r="BO46" s="361">
        <f t="shared" si="33"/>
        <v>1</v>
      </c>
      <c r="BP46" s="361">
        <f t="shared" si="34"/>
        <v>1</v>
      </c>
      <c r="BQ46" s="361">
        <f t="shared" si="35"/>
        <v>1</v>
      </c>
      <c r="BR46" s="361">
        <f t="shared" si="36"/>
        <v>1</v>
      </c>
      <c r="BS46" s="361">
        <f t="shared" si="37"/>
        <v>1</v>
      </c>
      <c r="BT46" s="361">
        <f t="shared" si="38"/>
        <v>1</v>
      </c>
      <c r="BU46" s="361">
        <f t="shared" si="39"/>
        <v>1</v>
      </c>
      <c r="BV46" s="361">
        <f t="shared" si="40"/>
        <v>1</v>
      </c>
      <c r="BW46" s="361">
        <f t="shared" si="41"/>
        <v>1</v>
      </c>
      <c r="BX46" s="361">
        <f t="shared" si="42"/>
        <v>1</v>
      </c>
      <c r="BY46" s="361">
        <f t="shared" si="43"/>
        <v>1</v>
      </c>
      <c r="BZ46" s="361">
        <f t="shared" si="44"/>
        <v>1</v>
      </c>
      <c r="CA46" s="361">
        <f t="shared" si="45"/>
        <v>1</v>
      </c>
      <c r="CB46" s="361">
        <f t="shared" si="46"/>
        <v>1</v>
      </c>
      <c r="CC46" s="361">
        <f t="shared" si="47"/>
        <v>1</v>
      </c>
      <c r="CH46" s="341">
        <f t="shared" si="59"/>
        <v>1</v>
      </c>
      <c r="CI46" s="341">
        <f t="shared" si="48"/>
        <v>2</v>
      </c>
      <c r="CJ46" s="341">
        <f t="shared" si="48"/>
        <v>3</v>
      </c>
      <c r="CK46" s="341">
        <f t="shared" si="48"/>
        <v>4</v>
      </c>
      <c r="CL46" s="341">
        <f t="shared" si="48"/>
        <v>5</v>
      </c>
      <c r="CM46" s="341">
        <f t="shared" si="48"/>
        <v>6</v>
      </c>
      <c r="CN46" s="341">
        <f t="shared" si="48"/>
        <v>7</v>
      </c>
      <c r="CO46" s="341">
        <f t="shared" si="48"/>
        <v>8</v>
      </c>
      <c r="CP46" s="341">
        <f t="shared" si="48"/>
        <v>9</v>
      </c>
      <c r="CQ46" s="341">
        <f t="shared" si="48"/>
        <v>10</v>
      </c>
      <c r="CT46" s="353"/>
      <c r="CU46" s="353"/>
      <c r="CV46" s="353"/>
      <c r="CW46" s="353" t="b">
        <f t="shared" si="49"/>
        <v>1</v>
      </c>
      <c r="CX46" s="353" t="b">
        <f t="shared" si="50"/>
        <v>0</v>
      </c>
      <c r="CY46" s="353" t="b">
        <f t="shared" si="51"/>
        <v>1</v>
      </c>
      <c r="DC46" s="347">
        <f t="shared" si="60"/>
        <v>2</v>
      </c>
      <c r="DD46" s="353" t="b">
        <f t="shared" si="52"/>
        <v>1</v>
      </c>
      <c r="DE46" s="353" t="b">
        <f t="shared" si="53"/>
        <v>0</v>
      </c>
      <c r="DF46" s="353" t="b">
        <f t="shared" si="54"/>
        <v>1</v>
      </c>
      <c r="DG46" s="353"/>
      <c r="DH46" s="353"/>
      <c r="DI46" s="353"/>
      <c r="DJ46" s="353"/>
      <c r="DK46" s="353">
        <f t="shared" si="61"/>
        <v>2</v>
      </c>
      <c r="DM46" s="341">
        <f t="shared" si="55"/>
        <v>0</v>
      </c>
    </row>
    <row r="47" spans="1:117" x14ac:dyDescent="0.25">
      <c r="B47" s="373">
        <f t="shared" si="56"/>
        <v>17</v>
      </c>
      <c r="C47" s="373"/>
      <c r="D47" s="373"/>
      <c r="E47" s="373"/>
      <c r="F47" s="374" t="s">
        <v>134</v>
      </c>
      <c r="G47" s="375">
        <v>1</v>
      </c>
      <c r="H47" s="375">
        <v>1</v>
      </c>
      <c r="I47" s="375">
        <v>1</v>
      </c>
      <c r="J47" s="375">
        <v>1</v>
      </c>
      <c r="K47" s="375">
        <v>1</v>
      </c>
      <c r="L47" s="375">
        <v>1</v>
      </c>
      <c r="M47" s="375">
        <v>1</v>
      </c>
      <c r="N47" s="375">
        <v>1</v>
      </c>
      <c r="O47" s="375">
        <v>1</v>
      </c>
      <c r="P47" s="375">
        <v>1</v>
      </c>
      <c r="Q47" s="375">
        <v>1</v>
      </c>
      <c r="R47" s="375">
        <v>1</v>
      </c>
      <c r="S47" s="375">
        <v>0</v>
      </c>
      <c r="T47" s="376">
        <v>1</v>
      </c>
      <c r="U47" s="376">
        <v>1</v>
      </c>
      <c r="V47" s="376">
        <v>1</v>
      </c>
      <c r="W47" s="376">
        <v>1</v>
      </c>
      <c r="X47" s="376">
        <v>1</v>
      </c>
      <c r="Y47" s="376">
        <v>1</v>
      </c>
      <c r="Z47" s="376">
        <f t="shared" si="8"/>
        <v>1</v>
      </c>
      <c r="AA47" s="376">
        <v>1</v>
      </c>
      <c r="AB47" s="376"/>
      <c r="AC47" s="376"/>
      <c r="AD47" s="376"/>
      <c r="AE47" s="376"/>
      <c r="AF47" s="376">
        <f t="shared" si="9"/>
        <v>0</v>
      </c>
      <c r="AG47" s="376">
        <v>1</v>
      </c>
      <c r="AH47" s="376">
        <f t="shared" si="10"/>
        <v>1</v>
      </c>
      <c r="AI47" s="376"/>
      <c r="AJ47" s="376"/>
      <c r="AK47" s="373">
        <f t="shared" si="11"/>
        <v>1</v>
      </c>
      <c r="AL47" s="373"/>
      <c r="AM47" s="373"/>
      <c r="AN47" s="373"/>
      <c r="AO47" s="373"/>
      <c r="AP47" s="377">
        <f t="shared" si="57"/>
        <v>1</v>
      </c>
      <c r="AQ47" s="378"/>
      <c r="AR47" s="341">
        <f t="shared" si="12"/>
        <v>1</v>
      </c>
      <c r="AS47" s="341">
        <f t="shared" si="58"/>
        <v>0</v>
      </c>
      <c r="AT47" s="341">
        <f t="shared" si="58"/>
        <v>1</v>
      </c>
      <c r="AU47" s="361">
        <f t="shared" si="13"/>
        <v>1</v>
      </c>
      <c r="AV47" s="361">
        <f t="shared" si="14"/>
        <v>1</v>
      </c>
      <c r="AW47" s="361">
        <f t="shared" si="15"/>
        <v>1</v>
      </c>
      <c r="AX47" s="361">
        <f t="shared" si="16"/>
        <v>1</v>
      </c>
      <c r="AY47" s="361">
        <f t="shared" si="17"/>
        <v>1</v>
      </c>
      <c r="AZ47" s="361">
        <f t="shared" si="18"/>
        <v>1</v>
      </c>
      <c r="BA47" s="361">
        <f t="shared" si="19"/>
        <v>1</v>
      </c>
      <c r="BB47" s="361">
        <f t="shared" si="20"/>
        <v>1</v>
      </c>
      <c r="BC47" s="361">
        <f t="shared" si="21"/>
        <v>1</v>
      </c>
      <c r="BD47" s="361">
        <f t="shared" si="22"/>
        <v>1</v>
      </c>
      <c r="BE47" s="361">
        <f t="shared" si="23"/>
        <v>1</v>
      </c>
      <c r="BF47" s="361">
        <f t="shared" si="24"/>
        <v>1</v>
      </c>
      <c r="BG47" s="361">
        <f t="shared" si="25"/>
        <v>1</v>
      </c>
      <c r="BH47" s="361">
        <f t="shared" si="26"/>
        <v>1</v>
      </c>
      <c r="BI47" s="361">
        <f t="shared" si="27"/>
        <v>1</v>
      </c>
      <c r="BJ47" s="361">
        <f t="shared" si="28"/>
        <v>1</v>
      </c>
      <c r="BK47" s="361">
        <f t="shared" si="29"/>
        <v>1</v>
      </c>
      <c r="BL47" s="361">
        <f t="shared" si="30"/>
        <v>1</v>
      </c>
      <c r="BM47" s="361">
        <f t="shared" si="31"/>
        <v>1</v>
      </c>
      <c r="BN47" s="361">
        <f t="shared" si="32"/>
        <v>1</v>
      </c>
      <c r="BO47" s="361">
        <f t="shared" si="33"/>
        <v>1</v>
      </c>
      <c r="BP47" s="361">
        <f t="shared" si="34"/>
        <v>1</v>
      </c>
      <c r="BQ47" s="361">
        <f t="shared" si="35"/>
        <v>1</v>
      </c>
      <c r="BR47" s="361">
        <f t="shared" si="36"/>
        <v>1</v>
      </c>
      <c r="BS47" s="361">
        <f t="shared" si="37"/>
        <v>1</v>
      </c>
      <c r="BT47" s="361">
        <f t="shared" si="38"/>
        <v>1</v>
      </c>
      <c r="BU47" s="361">
        <f t="shared" si="39"/>
        <v>1</v>
      </c>
      <c r="BV47" s="361">
        <f t="shared" si="40"/>
        <v>1</v>
      </c>
      <c r="BW47" s="361">
        <f t="shared" si="41"/>
        <v>1</v>
      </c>
      <c r="BX47" s="361">
        <f t="shared" si="42"/>
        <v>1</v>
      </c>
      <c r="BY47" s="361">
        <f t="shared" si="43"/>
        <v>1</v>
      </c>
      <c r="BZ47" s="361">
        <f t="shared" si="44"/>
        <v>1</v>
      </c>
      <c r="CA47" s="361">
        <f t="shared" si="45"/>
        <v>1</v>
      </c>
      <c r="CB47" s="361">
        <f t="shared" si="46"/>
        <v>1</v>
      </c>
      <c r="CC47" s="361">
        <f t="shared" si="47"/>
        <v>1</v>
      </c>
      <c r="CH47" s="341">
        <f t="shared" si="59"/>
        <v>1</v>
      </c>
      <c r="CI47" s="341">
        <f t="shared" si="59"/>
        <v>2</v>
      </c>
      <c r="CJ47" s="341">
        <f t="shared" si="59"/>
        <v>3</v>
      </c>
      <c r="CK47" s="341">
        <f t="shared" si="59"/>
        <v>4</v>
      </c>
      <c r="CL47" s="341">
        <f t="shared" si="59"/>
        <v>5</v>
      </c>
      <c r="CM47" s="341">
        <f t="shared" si="59"/>
        <v>6</v>
      </c>
      <c r="CN47" s="341">
        <f t="shared" si="59"/>
        <v>7</v>
      </c>
      <c r="CO47" s="341">
        <f t="shared" si="59"/>
        <v>8</v>
      </c>
      <c r="CP47" s="341">
        <f t="shared" si="59"/>
        <v>9</v>
      </c>
      <c r="CQ47" s="341">
        <f t="shared" si="59"/>
        <v>10</v>
      </c>
      <c r="CT47" s="353"/>
      <c r="CU47" s="353"/>
      <c r="CV47" s="353"/>
      <c r="CW47" s="353" t="b">
        <f t="shared" si="49"/>
        <v>1</v>
      </c>
      <c r="CX47" s="353" t="b">
        <f t="shared" si="50"/>
        <v>0</v>
      </c>
      <c r="CY47" s="353" t="b">
        <f t="shared" si="51"/>
        <v>1</v>
      </c>
      <c r="DC47" s="347">
        <f t="shared" si="60"/>
        <v>2</v>
      </c>
      <c r="DD47" s="353" t="b">
        <f t="shared" si="52"/>
        <v>1</v>
      </c>
      <c r="DE47" s="353" t="b">
        <f t="shared" si="53"/>
        <v>0</v>
      </c>
      <c r="DF47" s="353" t="b">
        <f t="shared" si="54"/>
        <v>1</v>
      </c>
      <c r="DG47" s="353"/>
      <c r="DH47" s="353"/>
      <c r="DI47" s="353"/>
      <c r="DJ47" s="353"/>
      <c r="DK47" s="353">
        <f t="shared" si="61"/>
        <v>2</v>
      </c>
      <c r="DM47" s="341">
        <f t="shared" si="55"/>
        <v>0</v>
      </c>
    </row>
    <row r="48" spans="1:117" x14ac:dyDescent="0.25">
      <c r="B48" s="373">
        <f t="shared" si="56"/>
        <v>18</v>
      </c>
      <c r="C48" s="373"/>
      <c r="D48" s="373"/>
      <c r="E48" s="373"/>
      <c r="F48" s="374" t="s">
        <v>135</v>
      </c>
      <c r="G48" s="375">
        <v>1</v>
      </c>
      <c r="H48" s="375">
        <v>1</v>
      </c>
      <c r="I48" s="375">
        <v>1</v>
      </c>
      <c r="J48" s="375">
        <v>1</v>
      </c>
      <c r="K48" s="375">
        <v>1</v>
      </c>
      <c r="L48" s="375">
        <v>1</v>
      </c>
      <c r="M48" s="375">
        <v>1</v>
      </c>
      <c r="N48" s="375">
        <v>1</v>
      </c>
      <c r="O48" s="375">
        <v>1</v>
      </c>
      <c r="P48" s="375">
        <v>1</v>
      </c>
      <c r="Q48" s="375">
        <v>1</v>
      </c>
      <c r="R48" s="375">
        <v>1</v>
      </c>
      <c r="S48" s="376">
        <v>0</v>
      </c>
      <c r="T48" s="376">
        <v>1</v>
      </c>
      <c r="U48" s="376">
        <v>1</v>
      </c>
      <c r="V48" s="376">
        <v>1</v>
      </c>
      <c r="W48" s="376">
        <v>1</v>
      </c>
      <c r="X48" s="376">
        <v>1</v>
      </c>
      <c r="Y48" s="376">
        <v>1</v>
      </c>
      <c r="Z48" s="376">
        <f t="shared" si="8"/>
        <v>1</v>
      </c>
      <c r="AA48" s="376">
        <v>1</v>
      </c>
      <c r="AB48" s="376"/>
      <c r="AC48" s="376"/>
      <c r="AD48" s="376"/>
      <c r="AE48" s="376"/>
      <c r="AF48" s="376">
        <f t="shared" si="9"/>
        <v>0</v>
      </c>
      <c r="AG48" s="376">
        <v>1</v>
      </c>
      <c r="AH48" s="376">
        <f t="shared" si="10"/>
        <v>1</v>
      </c>
      <c r="AI48" s="376"/>
      <c r="AJ48" s="376"/>
      <c r="AK48" s="373">
        <f t="shared" si="11"/>
        <v>1</v>
      </c>
      <c r="AL48" s="373"/>
      <c r="AM48" s="373"/>
      <c r="AN48" s="373"/>
      <c r="AO48" s="373"/>
      <c r="AP48" s="377">
        <f t="shared" si="57"/>
        <v>1</v>
      </c>
      <c r="AQ48" s="378"/>
      <c r="AR48" s="341">
        <f t="shared" si="12"/>
        <v>1</v>
      </c>
      <c r="AS48" s="341">
        <f t="shared" si="58"/>
        <v>0</v>
      </c>
      <c r="AT48" s="341">
        <f t="shared" si="58"/>
        <v>1</v>
      </c>
      <c r="AU48" s="361">
        <f t="shared" si="13"/>
        <v>1</v>
      </c>
      <c r="AV48" s="361">
        <f t="shared" si="14"/>
        <v>1</v>
      </c>
      <c r="AW48" s="361">
        <f t="shared" si="15"/>
        <v>1</v>
      </c>
      <c r="AX48" s="361">
        <f t="shared" si="16"/>
        <v>1</v>
      </c>
      <c r="AY48" s="361">
        <f t="shared" si="17"/>
        <v>1</v>
      </c>
      <c r="AZ48" s="361">
        <f t="shared" si="18"/>
        <v>1</v>
      </c>
      <c r="BA48" s="361">
        <f t="shared" si="19"/>
        <v>1</v>
      </c>
      <c r="BB48" s="361">
        <f t="shared" si="20"/>
        <v>1</v>
      </c>
      <c r="BC48" s="361">
        <f t="shared" si="21"/>
        <v>1</v>
      </c>
      <c r="BD48" s="361">
        <f t="shared" si="22"/>
        <v>1</v>
      </c>
      <c r="BE48" s="361">
        <f t="shared" si="23"/>
        <v>1</v>
      </c>
      <c r="BF48" s="361">
        <f t="shared" si="24"/>
        <v>1</v>
      </c>
      <c r="BG48" s="361">
        <f t="shared" si="25"/>
        <v>1</v>
      </c>
      <c r="BH48" s="361">
        <f t="shared" si="26"/>
        <v>1</v>
      </c>
      <c r="BI48" s="361">
        <f t="shared" si="27"/>
        <v>1</v>
      </c>
      <c r="BJ48" s="361">
        <f t="shared" si="28"/>
        <v>1</v>
      </c>
      <c r="BK48" s="361">
        <f t="shared" si="29"/>
        <v>1</v>
      </c>
      <c r="BL48" s="361">
        <f t="shared" si="30"/>
        <v>1</v>
      </c>
      <c r="BM48" s="361">
        <f t="shared" si="31"/>
        <v>1</v>
      </c>
      <c r="BN48" s="361">
        <f t="shared" si="32"/>
        <v>1</v>
      </c>
      <c r="BO48" s="361">
        <f t="shared" si="33"/>
        <v>1</v>
      </c>
      <c r="BP48" s="361">
        <f t="shared" si="34"/>
        <v>1</v>
      </c>
      <c r="BQ48" s="361">
        <f t="shared" si="35"/>
        <v>1</v>
      </c>
      <c r="BR48" s="361">
        <f t="shared" si="36"/>
        <v>1</v>
      </c>
      <c r="BS48" s="361">
        <f t="shared" si="37"/>
        <v>1</v>
      </c>
      <c r="BT48" s="361">
        <f t="shared" si="38"/>
        <v>1</v>
      </c>
      <c r="BU48" s="361">
        <f t="shared" si="39"/>
        <v>1</v>
      </c>
      <c r="BV48" s="361">
        <f t="shared" si="40"/>
        <v>1</v>
      </c>
      <c r="BW48" s="361">
        <f t="shared" si="41"/>
        <v>1</v>
      </c>
      <c r="BX48" s="361">
        <f t="shared" si="42"/>
        <v>1</v>
      </c>
      <c r="BY48" s="361">
        <f t="shared" si="43"/>
        <v>1</v>
      </c>
      <c r="BZ48" s="361">
        <f t="shared" si="44"/>
        <v>1</v>
      </c>
      <c r="CA48" s="361">
        <f t="shared" si="45"/>
        <v>1</v>
      </c>
      <c r="CB48" s="361">
        <f t="shared" si="46"/>
        <v>1</v>
      </c>
      <c r="CC48" s="361">
        <f t="shared" si="47"/>
        <v>1</v>
      </c>
      <c r="CH48" s="341">
        <f t="shared" si="59"/>
        <v>1</v>
      </c>
      <c r="CI48" s="341">
        <f t="shared" si="59"/>
        <v>2</v>
      </c>
      <c r="CJ48" s="341">
        <f t="shared" si="59"/>
        <v>3</v>
      </c>
      <c r="CK48" s="341">
        <f t="shared" si="59"/>
        <v>4</v>
      </c>
      <c r="CL48" s="341">
        <f t="shared" si="59"/>
        <v>5</v>
      </c>
      <c r="CM48" s="341">
        <f t="shared" si="59"/>
        <v>6</v>
      </c>
      <c r="CN48" s="341">
        <f t="shared" si="59"/>
        <v>7</v>
      </c>
      <c r="CO48" s="341">
        <f t="shared" si="59"/>
        <v>8</v>
      </c>
      <c r="CP48" s="341">
        <f t="shared" si="59"/>
        <v>9</v>
      </c>
      <c r="CQ48" s="341">
        <f t="shared" si="59"/>
        <v>10</v>
      </c>
      <c r="CT48" s="353"/>
      <c r="CU48" s="353"/>
      <c r="CV48" s="353"/>
      <c r="CW48" s="353" t="b">
        <f t="shared" si="49"/>
        <v>1</v>
      </c>
      <c r="CX48" s="353" t="b">
        <f t="shared" si="50"/>
        <v>0</v>
      </c>
      <c r="CY48" s="353" t="b">
        <f t="shared" si="51"/>
        <v>1</v>
      </c>
      <c r="DC48" s="347">
        <f t="shared" si="60"/>
        <v>2</v>
      </c>
      <c r="DD48" s="353" t="b">
        <f t="shared" si="52"/>
        <v>1</v>
      </c>
      <c r="DE48" s="353" t="b">
        <f t="shared" si="53"/>
        <v>0</v>
      </c>
      <c r="DF48" s="353" t="b">
        <f t="shared" si="54"/>
        <v>1</v>
      </c>
      <c r="DG48" s="353"/>
      <c r="DH48" s="353"/>
      <c r="DI48" s="353"/>
      <c r="DJ48" s="353"/>
      <c r="DK48" s="353">
        <f t="shared" si="61"/>
        <v>2</v>
      </c>
      <c r="DM48" s="341">
        <f t="shared" si="55"/>
        <v>0</v>
      </c>
    </row>
    <row r="49" spans="2:117" x14ac:dyDescent="0.25">
      <c r="B49" s="373">
        <f t="shared" si="56"/>
        <v>19</v>
      </c>
      <c r="C49" s="373"/>
      <c r="D49" s="373"/>
      <c r="E49" s="373"/>
      <c r="F49" s="374" t="s">
        <v>136</v>
      </c>
      <c r="G49" s="375">
        <v>1</v>
      </c>
      <c r="H49" s="375">
        <v>1</v>
      </c>
      <c r="I49" s="375">
        <v>1</v>
      </c>
      <c r="J49" s="375">
        <v>1</v>
      </c>
      <c r="K49" s="375">
        <v>1</v>
      </c>
      <c r="L49" s="375">
        <v>1</v>
      </c>
      <c r="M49" s="375">
        <v>1</v>
      </c>
      <c r="N49" s="375">
        <v>1</v>
      </c>
      <c r="O49" s="375">
        <v>1</v>
      </c>
      <c r="P49" s="375">
        <v>1</v>
      </c>
      <c r="Q49" s="375">
        <v>1</v>
      </c>
      <c r="R49" s="375">
        <v>1</v>
      </c>
      <c r="S49" s="376">
        <v>0</v>
      </c>
      <c r="T49" s="376">
        <v>1</v>
      </c>
      <c r="U49" s="376">
        <v>1</v>
      </c>
      <c r="V49" s="376">
        <v>1</v>
      </c>
      <c r="W49" s="376">
        <v>1</v>
      </c>
      <c r="X49" s="376">
        <v>1</v>
      </c>
      <c r="Y49" s="376">
        <v>1</v>
      </c>
      <c r="Z49" s="376">
        <f t="shared" si="8"/>
        <v>1</v>
      </c>
      <c r="AA49" s="376">
        <v>1</v>
      </c>
      <c r="AB49" s="376"/>
      <c r="AC49" s="376"/>
      <c r="AD49" s="376"/>
      <c r="AE49" s="376"/>
      <c r="AF49" s="376">
        <f t="shared" si="9"/>
        <v>0</v>
      </c>
      <c r="AG49" s="376">
        <v>1</v>
      </c>
      <c r="AH49" s="376">
        <f t="shared" si="10"/>
        <v>1</v>
      </c>
      <c r="AI49" s="376"/>
      <c r="AJ49" s="376"/>
      <c r="AK49" s="373">
        <f t="shared" si="11"/>
        <v>1</v>
      </c>
      <c r="AL49" s="373"/>
      <c r="AM49" s="373"/>
      <c r="AN49" s="373"/>
      <c r="AO49" s="373"/>
      <c r="AP49" s="377">
        <f t="shared" si="57"/>
        <v>1</v>
      </c>
      <c r="AQ49" s="378"/>
      <c r="AR49" s="341">
        <f t="shared" si="12"/>
        <v>1</v>
      </c>
      <c r="AS49" s="341">
        <f t="shared" si="58"/>
        <v>0</v>
      </c>
      <c r="AT49" s="341">
        <f t="shared" si="58"/>
        <v>1</v>
      </c>
      <c r="AU49" s="361">
        <f t="shared" si="13"/>
        <v>1</v>
      </c>
      <c r="AV49" s="361">
        <f t="shared" si="14"/>
        <v>1</v>
      </c>
      <c r="AW49" s="361">
        <f t="shared" si="15"/>
        <v>1</v>
      </c>
      <c r="AX49" s="361">
        <f t="shared" si="16"/>
        <v>1</v>
      </c>
      <c r="AY49" s="361">
        <f t="shared" si="17"/>
        <v>1</v>
      </c>
      <c r="AZ49" s="361">
        <f t="shared" si="18"/>
        <v>1</v>
      </c>
      <c r="BA49" s="361">
        <f t="shared" si="19"/>
        <v>1</v>
      </c>
      <c r="BB49" s="361">
        <f t="shared" si="20"/>
        <v>1</v>
      </c>
      <c r="BC49" s="361">
        <f t="shared" si="21"/>
        <v>1</v>
      </c>
      <c r="BD49" s="361">
        <f t="shared" si="22"/>
        <v>1</v>
      </c>
      <c r="BE49" s="361">
        <f t="shared" si="23"/>
        <v>1</v>
      </c>
      <c r="BF49" s="361">
        <f t="shared" si="24"/>
        <v>1</v>
      </c>
      <c r="BG49" s="361">
        <f t="shared" si="25"/>
        <v>1</v>
      </c>
      <c r="BH49" s="361">
        <f t="shared" si="26"/>
        <v>1</v>
      </c>
      <c r="BI49" s="361">
        <f t="shared" si="27"/>
        <v>1</v>
      </c>
      <c r="BJ49" s="361">
        <f t="shared" si="28"/>
        <v>1</v>
      </c>
      <c r="BK49" s="361">
        <f t="shared" si="29"/>
        <v>1</v>
      </c>
      <c r="BL49" s="361">
        <f t="shared" si="30"/>
        <v>1</v>
      </c>
      <c r="BM49" s="361">
        <f t="shared" si="31"/>
        <v>1</v>
      </c>
      <c r="BN49" s="361">
        <f t="shared" si="32"/>
        <v>1</v>
      </c>
      <c r="BO49" s="361">
        <f t="shared" si="33"/>
        <v>1</v>
      </c>
      <c r="BP49" s="361">
        <f t="shared" si="34"/>
        <v>1</v>
      </c>
      <c r="BQ49" s="361">
        <f t="shared" si="35"/>
        <v>1</v>
      </c>
      <c r="BR49" s="361">
        <f t="shared" si="36"/>
        <v>1</v>
      </c>
      <c r="BS49" s="361">
        <f t="shared" si="37"/>
        <v>1</v>
      </c>
      <c r="BT49" s="361">
        <f t="shared" si="38"/>
        <v>1</v>
      </c>
      <c r="BU49" s="361">
        <f t="shared" si="39"/>
        <v>1</v>
      </c>
      <c r="BV49" s="361">
        <f t="shared" si="40"/>
        <v>1</v>
      </c>
      <c r="BW49" s="361">
        <f t="shared" si="41"/>
        <v>1</v>
      </c>
      <c r="BX49" s="361">
        <f t="shared" si="42"/>
        <v>1</v>
      </c>
      <c r="BY49" s="361">
        <f t="shared" si="43"/>
        <v>1</v>
      </c>
      <c r="BZ49" s="361">
        <f t="shared" si="44"/>
        <v>1</v>
      </c>
      <c r="CA49" s="361">
        <f t="shared" si="45"/>
        <v>1</v>
      </c>
      <c r="CB49" s="361">
        <f t="shared" si="46"/>
        <v>1</v>
      </c>
      <c r="CC49" s="361">
        <f t="shared" si="47"/>
        <v>1</v>
      </c>
      <c r="CH49" s="341">
        <f t="shared" si="59"/>
        <v>1</v>
      </c>
      <c r="CI49" s="341">
        <f t="shared" si="59"/>
        <v>2</v>
      </c>
      <c r="CJ49" s="341">
        <f t="shared" si="59"/>
        <v>3</v>
      </c>
      <c r="CK49" s="341">
        <f t="shared" si="59"/>
        <v>4</v>
      </c>
      <c r="CL49" s="341">
        <f t="shared" si="59"/>
        <v>5</v>
      </c>
      <c r="CM49" s="341">
        <f t="shared" si="59"/>
        <v>6</v>
      </c>
      <c r="CN49" s="341">
        <f t="shared" si="59"/>
        <v>7</v>
      </c>
      <c r="CO49" s="341">
        <f t="shared" si="59"/>
        <v>8</v>
      </c>
      <c r="CP49" s="341">
        <f t="shared" si="59"/>
        <v>9</v>
      </c>
      <c r="CQ49" s="341">
        <f t="shared" si="59"/>
        <v>10</v>
      </c>
      <c r="CT49" s="353"/>
      <c r="CU49" s="353"/>
      <c r="CV49" s="353"/>
      <c r="CW49" s="353" t="b">
        <f t="shared" si="49"/>
        <v>1</v>
      </c>
      <c r="CX49" s="353" t="b">
        <f t="shared" si="50"/>
        <v>0</v>
      </c>
      <c r="CY49" s="353" t="b">
        <f t="shared" si="51"/>
        <v>1</v>
      </c>
      <c r="DC49" s="347">
        <f t="shared" si="60"/>
        <v>2</v>
      </c>
      <c r="DD49" s="353" t="b">
        <f t="shared" si="52"/>
        <v>1</v>
      </c>
      <c r="DE49" s="353" t="b">
        <f t="shared" si="53"/>
        <v>0</v>
      </c>
      <c r="DF49" s="353" t="b">
        <f t="shared" si="54"/>
        <v>1</v>
      </c>
      <c r="DG49" s="353"/>
      <c r="DH49" s="353"/>
      <c r="DI49" s="353"/>
      <c r="DJ49" s="353"/>
      <c r="DK49" s="353">
        <f t="shared" si="61"/>
        <v>2</v>
      </c>
      <c r="DM49" s="341">
        <f t="shared" si="55"/>
        <v>0</v>
      </c>
    </row>
    <row r="50" spans="2:117" x14ac:dyDescent="0.25">
      <c r="B50" s="373">
        <f t="shared" si="56"/>
        <v>20</v>
      </c>
      <c r="C50" s="373"/>
      <c r="D50" s="373"/>
      <c r="E50" s="373"/>
      <c r="F50" s="374" t="s">
        <v>137</v>
      </c>
      <c r="G50" s="375">
        <v>1</v>
      </c>
      <c r="H50" s="375">
        <v>1</v>
      </c>
      <c r="I50" s="375">
        <v>1</v>
      </c>
      <c r="J50" s="375">
        <v>1</v>
      </c>
      <c r="K50" s="375">
        <v>1</v>
      </c>
      <c r="L50" s="375">
        <v>1</v>
      </c>
      <c r="M50" s="375">
        <v>1</v>
      </c>
      <c r="N50" s="375">
        <v>1</v>
      </c>
      <c r="O50" s="375">
        <v>1</v>
      </c>
      <c r="P50" s="375">
        <v>1</v>
      </c>
      <c r="Q50" s="375">
        <v>1</v>
      </c>
      <c r="R50" s="375">
        <v>1</v>
      </c>
      <c r="S50" s="375">
        <v>0</v>
      </c>
      <c r="T50" s="376">
        <v>1</v>
      </c>
      <c r="U50" s="376">
        <v>1</v>
      </c>
      <c r="V50" s="376">
        <v>1</v>
      </c>
      <c r="W50" s="376">
        <v>1</v>
      </c>
      <c r="X50" s="376">
        <v>1</v>
      </c>
      <c r="Y50" s="376">
        <v>1</v>
      </c>
      <c r="Z50" s="376">
        <f t="shared" si="8"/>
        <v>1</v>
      </c>
      <c r="AA50" s="376">
        <v>1</v>
      </c>
      <c r="AB50" s="376"/>
      <c r="AC50" s="376"/>
      <c r="AD50" s="376"/>
      <c r="AE50" s="376"/>
      <c r="AF50" s="376">
        <f t="shared" si="9"/>
        <v>0</v>
      </c>
      <c r="AG50" s="376">
        <v>1</v>
      </c>
      <c r="AH50" s="376">
        <f t="shared" si="10"/>
        <v>1</v>
      </c>
      <c r="AI50" s="376"/>
      <c r="AJ50" s="376"/>
      <c r="AK50" s="373">
        <f t="shared" si="11"/>
        <v>1</v>
      </c>
      <c r="AL50" s="373"/>
      <c r="AM50" s="373"/>
      <c r="AN50" s="373"/>
      <c r="AO50" s="373"/>
      <c r="AP50" s="377">
        <f t="shared" si="57"/>
        <v>1</v>
      </c>
      <c r="AQ50" s="378"/>
      <c r="AR50" s="341">
        <f t="shared" si="12"/>
        <v>1</v>
      </c>
      <c r="AS50" s="341">
        <f t="shared" si="58"/>
        <v>0</v>
      </c>
      <c r="AT50" s="341">
        <f t="shared" si="58"/>
        <v>1</v>
      </c>
      <c r="AU50" s="361">
        <f t="shared" si="13"/>
        <v>1</v>
      </c>
      <c r="AV50" s="361">
        <f t="shared" si="14"/>
        <v>1</v>
      </c>
      <c r="AW50" s="361">
        <f t="shared" si="15"/>
        <v>1</v>
      </c>
      <c r="AX50" s="361">
        <f t="shared" si="16"/>
        <v>1</v>
      </c>
      <c r="AY50" s="361">
        <f t="shared" si="17"/>
        <v>1</v>
      </c>
      <c r="AZ50" s="361">
        <f t="shared" si="18"/>
        <v>1</v>
      </c>
      <c r="BA50" s="361">
        <f t="shared" si="19"/>
        <v>1</v>
      </c>
      <c r="BB50" s="361">
        <f t="shared" si="20"/>
        <v>1</v>
      </c>
      <c r="BC50" s="361">
        <f t="shared" si="21"/>
        <v>1</v>
      </c>
      <c r="BD50" s="361">
        <f t="shared" si="22"/>
        <v>1</v>
      </c>
      <c r="BE50" s="361">
        <f t="shared" si="23"/>
        <v>1</v>
      </c>
      <c r="BF50" s="361">
        <f t="shared" si="24"/>
        <v>1</v>
      </c>
      <c r="BG50" s="361">
        <f t="shared" si="25"/>
        <v>1</v>
      </c>
      <c r="BH50" s="361">
        <f t="shared" si="26"/>
        <v>1</v>
      </c>
      <c r="BI50" s="361">
        <f t="shared" si="27"/>
        <v>1</v>
      </c>
      <c r="BJ50" s="361">
        <f t="shared" si="28"/>
        <v>1</v>
      </c>
      <c r="BK50" s="361">
        <f t="shared" si="29"/>
        <v>1</v>
      </c>
      <c r="BL50" s="361">
        <f t="shared" si="30"/>
        <v>1</v>
      </c>
      <c r="BM50" s="361">
        <f t="shared" si="31"/>
        <v>1</v>
      </c>
      <c r="BN50" s="361">
        <f t="shared" si="32"/>
        <v>1</v>
      </c>
      <c r="BO50" s="361">
        <f t="shared" si="33"/>
        <v>1</v>
      </c>
      <c r="BP50" s="361">
        <f t="shared" si="34"/>
        <v>1</v>
      </c>
      <c r="BQ50" s="361">
        <f t="shared" si="35"/>
        <v>1</v>
      </c>
      <c r="BR50" s="361">
        <f t="shared" si="36"/>
        <v>1</v>
      </c>
      <c r="BS50" s="361">
        <f t="shared" si="37"/>
        <v>1</v>
      </c>
      <c r="BT50" s="361">
        <f t="shared" si="38"/>
        <v>1</v>
      </c>
      <c r="BU50" s="361">
        <f t="shared" si="39"/>
        <v>1</v>
      </c>
      <c r="BV50" s="361">
        <f t="shared" si="40"/>
        <v>1</v>
      </c>
      <c r="BW50" s="361">
        <f t="shared" si="41"/>
        <v>1</v>
      </c>
      <c r="BX50" s="361">
        <f t="shared" si="42"/>
        <v>1</v>
      </c>
      <c r="BY50" s="361">
        <f t="shared" si="43"/>
        <v>1</v>
      </c>
      <c r="BZ50" s="361">
        <f t="shared" si="44"/>
        <v>1</v>
      </c>
      <c r="CA50" s="361">
        <f t="shared" si="45"/>
        <v>1</v>
      </c>
      <c r="CB50" s="361">
        <f t="shared" si="46"/>
        <v>1</v>
      </c>
      <c r="CC50" s="361">
        <f t="shared" si="47"/>
        <v>1</v>
      </c>
      <c r="CH50" s="341">
        <f t="shared" si="59"/>
        <v>1</v>
      </c>
      <c r="CI50" s="341">
        <f t="shared" si="59"/>
        <v>2</v>
      </c>
      <c r="CJ50" s="341">
        <f t="shared" si="59"/>
        <v>3</v>
      </c>
      <c r="CK50" s="341">
        <f t="shared" si="59"/>
        <v>4</v>
      </c>
      <c r="CL50" s="341">
        <f t="shared" si="59"/>
        <v>5</v>
      </c>
      <c r="CM50" s="341">
        <f t="shared" si="59"/>
        <v>6</v>
      </c>
      <c r="CN50" s="341">
        <f t="shared" si="59"/>
        <v>7</v>
      </c>
      <c r="CO50" s="341">
        <f t="shared" si="59"/>
        <v>8</v>
      </c>
      <c r="CP50" s="341">
        <f t="shared" si="59"/>
        <v>9</v>
      </c>
      <c r="CQ50" s="341">
        <f t="shared" si="59"/>
        <v>10</v>
      </c>
      <c r="CT50" s="353"/>
      <c r="CU50" s="353"/>
      <c r="CV50" s="353"/>
      <c r="CW50" s="353" t="b">
        <f t="shared" si="49"/>
        <v>1</v>
      </c>
      <c r="CX50" s="353" t="b">
        <f t="shared" si="50"/>
        <v>0</v>
      </c>
      <c r="CY50" s="353" t="b">
        <f t="shared" si="51"/>
        <v>1</v>
      </c>
      <c r="DC50" s="347">
        <f t="shared" si="60"/>
        <v>2</v>
      </c>
      <c r="DD50" s="353" t="b">
        <f t="shared" si="52"/>
        <v>1</v>
      </c>
      <c r="DE50" s="353" t="b">
        <f t="shared" si="53"/>
        <v>0</v>
      </c>
      <c r="DF50" s="353" t="b">
        <f t="shared" si="54"/>
        <v>1</v>
      </c>
      <c r="DG50" s="353"/>
      <c r="DH50" s="353"/>
      <c r="DI50" s="353"/>
      <c r="DJ50" s="353"/>
      <c r="DK50" s="353">
        <f t="shared" si="61"/>
        <v>2</v>
      </c>
      <c r="DM50" s="341">
        <f t="shared" si="55"/>
        <v>0</v>
      </c>
    </row>
    <row r="51" spans="2:117" x14ac:dyDescent="0.25">
      <c r="B51" s="373">
        <f t="shared" si="56"/>
        <v>21</v>
      </c>
      <c r="C51" s="373"/>
      <c r="D51" s="373"/>
      <c r="E51" s="373"/>
      <c r="F51" s="374" t="s">
        <v>138</v>
      </c>
      <c r="G51" s="375">
        <v>1</v>
      </c>
      <c r="H51" s="375">
        <v>1</v>
      </c>
      <c r="I51" s="375">
        <v>1</v>
      </c>
      <c r="J51" s="375">
        <v>1</v>
      </c>
      <c r="K51" s="375">
        <v>1</v>
      </c>
      <c r="L51" s="375">
        <v>1</v>
      </c>
      <c r="M51" s="375">
        <v>1</v>
      </c>
      <c r="N51" s="375">
        <v>1</v>
      </c>
      <c r="O51" s="375">
        <v>1</v>
      </c>
      <c r="P51" s="375">
        <v>1</v>
      </c>
      <c r="Q51" s="375">
        <v>1</v>
      </c>
      <c r="R51" s="375">
        <v>1</v>
      </c>
      <c r="S51" s="375">
        <v>0</v>
      </c>
      <c r="T51" s="376">
        <v>1</v>
      </c>
      <c r="U51" s="376">
        <v>1</v>
      </c>
      <c r="V51" s="376">
        <v>1</v>
      </c>
      <c r="W51" s="376">
        <v>1</v>
      </c>
      <c r="X51" s="376">
        <v>1</v>
      </c>
      <c r="Y51" s="376">
        <v>1</v>
      </c>
      <c r="Z51" s="376">
        <f t="shared" si="8"/>
        <v>1</v>
      </c>
      <c r="AA51" s="376">
        <v>1</v>
      </c>
      <c r="AB51" s="376"/>
      <c r="AC51" s="376"/>
      <c r="AD51" s="376"/>
      <c r="AE51" s="376"/>
      <c r="AF51" s="376">
        <f t="shared" si="9"/>
        <v>0</v>
      </c>
      <c r="AG51" s="376">
        <v>1</v>
      </c>
      <c r="AH51" s="376">
        <f t="shared" si="10"/>
        <v>1</v>
      </c>
      <c r="AI51" s="376"/>
      <c r="AJ51" s="376"/>
      <c r="AK51" s="373">
        <f t="shared" si="11"/>
        <v>1</v>
      </c>
      <c r="AL51" s="373"/>
      <c r="AM51" s="373"/>
      <c r="AN51" s="373"/>
      <c r="AO51" s="373"/>
      <c r="AP51" s="377">
        <f t="shared" si="57"/>
        <v>1</v>
      </c>
      <c r="AQ51" s="378"/>
      <c r="AR51" s="341">
        <f t="shared" si="12"/>
        <v>1</v>
      </c>
      <c r="AS51" s="341">
        <f t="shared" si="58"/>
        <v>0</v>
      </c>
      <c r="AT51" s="341">
        <f t="shared" si="58"/>
        <v>1</v>
      </c>
      <c r="AU51" s="361">
        <f t="shared" si="13"/>
        <v>1</v>
      </c>
      <c r="AV51" s="361">
        <f t="shared" si="14"/>
        <v>1</v>
      </c>
      <c r="AW51" s="361">
        <f t="shared" si="15"/>
        <v>1</v>
      </c>
      <c r="AX51" s="361">
        <f t="shared" si="16"/>
        <v>1</v>
      </c>
      <c r="AY51" s="361">
        <f t="shared" si="17"/>
        <v>1</v>
      </c>
      <c r="AZ51" s="361">
        <f t="shared" si="18"/>
        <v>1</v>
      </c>
      <c r="BA51" s="361">
        <f t="shared" si="19"/>
        <v>1</v>
      </c>
      <c r="BB51" s="361">
        <f t="shared" si="20"/>
        <v>1</v>
      </c>
      <c r="BC51" s="361">
        <f t="shared" si="21"/>
        <v>1</v>
      </c>
      <c r="BD51" s="361">
        <f t="shared" si="22"/>
        <v>1</v>
      </c>
      <c r="BE51" s="361">
        <f t="shared" si="23"/>
        <v>1</v>
      </c>
      <c r="BF51" s="361">
        <f t="shared" si="24"/>
        <v>1</v>
      </c>
      <c r="BG51" s="361">
        <f t="shared" si="25"/>
        <v>1</v>
      </c>
      <c r="BH51" s="361">
        <f t="shared" si="26"/>
        <v>1</v>
      </c>
      <c r="BI51" s="361">
        <f t="shared" si="27"/>
        <v>1</v>
      </c>
      <c r="BJ51" s="361">
        <f t="shared" si="28"/>
        <v>1</v>
      </c>
      <c r="BK51" s="361">
        <f t="shared" si="29"/>
        <v>1</v>
      </c>
      <c r="BL51" s="361">
        <f t="shared" si="30"/>
        <v>1</v>
      </c>
      <c r="BM51" s="361">
        <f t="shared" si="31"/>
        <v>1</v>
      </c>
      <c r="BN51" s="361">
        <f t="shared" si="32"/>
        <v>1</v>
      </c>
      <c r="BO51" s="361">
        <f t="shared" si="33"/>
        <v>1</v>
      </c>
      <c r="BP51" s="361">
        <f t="shared" si="34"/>
        <v>1</v>
      </c>
      <c r="BQ51" s="361">
        <f t="shared" si="35"/>
        <v>1</v>
      </c>
      <c r="BR51" s="361">
        <f t="shared" si="36"/>
        <v>1</v>
      </c>
      <c r="BS51" s="361">
        <f t="shared" si="37"/>
        <v>1</v>
      </c>
      <c r="BT51" s="361">
        <f t="shared" si="38"/>
        <v>1</v>
      </c>
      <c r="BU51" s="361">
        <f t="shared" si="39"/>
        <v>1</v>
      </c>
      <c r="BV51" s="361">
        <f t="shared" si="40"/>
        <v>1</v>
      </c>
      <c r="BW51" s="361">
        <f t="shared" si="41"/>
        <v>1</v>
      </c>
      <c r="BX51" s="361">
        <f t="shared" si="42"/>
        <v>1</v>
      </c>
      <c r="BY51" s="361">
        <f t="shared" si="43"/>
        <v>1</v>
      </c>
      <c r="BZ51" s="361">
        <f t="shared" si="44"/>
        <v>1</v>
      </c>
      <c r="CA51" s="361">
        <f t="shared" si="45"/>
        <v>1</v>
      </c>
      <c r="CB51" s="361">
        <f t="shared" si="46"/>
        <v>1</v>
      </c>
      <c r="CC51" s="361">
        <f t="shared" si="47"/>
        <v>1</v>
      </c>
      <c r="CH51" s="341">
        <f t="shared" si="59"/>
        <v>1</v>
      </c>
      <c r="CI51" s="341">
        <f t="shared" si="59"/>
        <v>2</v>
      </c>
      <c r="CJ51" s="341">
        <f t="shared" si="59"/>
        <v>3</v>
      </c>
      <c r="CK51" s="341">
        <f t="shared" si="59"/>
        <v>4</v>
      </c>
      <c r="CL51" s="341">
        <f t="shared" si="59"/>
        <v>5</v>
      </c>
      <c r="CM51" s="341">
        <f t="shared" si="59"/>
        <v>6</v>
      </c>
      <c r="CN51" s="341">
        <f t="shared" si="59"/>
        <v>7</v>
      </c>
      <c r="CO51" s="341">
        <f t="shared" si="59"/>
        <v>8</v>
      </c>
      <c r="CP51" s="341">
        <f t="shared" si="59"/>
        <v>9</v>
      </c>
      <c r="CQ51" s="341">
        <f t="shared" si="59"/>
        <v>10</v>
      </c>
      <c r="CT51" s="353"/>
      <c r="CU51" s="353"/>
      <c r="CV51" s="353"/>
      <c r="CW51" s="353" t="b">
        <f t="shared" si="49"/>
        <v>1</v>
      </c>
      <c r="CX51" s="353" t="b">
        <f t="shared" si="50"/>
        <v>0</v>
      </c>
      <c r="CY51" s="353" t="b">
        <f t="shared" si="51"/>
        <v>1</v>
      </c>
      <c r="DC51" s="347">
        <f t="shared" si="60"/>
        <v>2</v>
      </c>
      <c r="DD51" s="353" t="b">
        <f t="shared" si="52"/>
        <v>1</v>
      </c>
      <c r="DE51" s="353" t="b">
        <f t="shared" si="53"/>
        <v>0</v>
      </c>
      <c r="DF51" s="353" t="b">
        <f t="shared" si="54"/>
        <v>1</v>
      </c>
      <c r="DG51" s="353"/>
      <c r="DH51" s="353"/>
      <c r="DI51" s="353"/>
      <c r="DJ51" s="353"/>
      <c r="DK51" s="353">
        <f t="shared" si="61"/>
        <v>2</v>
      </c>
      <c r="DM51" s="341">
        <f t="shared" si="55"/>
        <v>0</v>
      </c>
    </row>
    <row r="52" spans="2:117" x14ac:dyDescent="0.25">
      <c r="B52" s="373">
        <f t="shared" si="56"/>
        <v>22</v>
      </c>
      <c r="C52" s="373"/>
      <c r="D52" s="373"/>
      <c r="E52" s="373"/>
      <c r="F52" s="374" t="s">
        <v>139</v>
      </c>
      <c r="G52" s="375">
        <v>1</v>
      </c>
      <c r="H52" s="375">
        <v>1</v>
      </c>
      <c r="I52" s="375">
        <v>1</v>
      </c>
      <c r="J52" s="375">
        <v>1</v>
      </c>
      <c r="K52" s="375">
        <v>1</v>
      </c>
      <c r="L52" s="375">
        <v>1</v>
      </c>
      <c r="M52" s="375">
        <v>1</v>
      </c>
      <c r="N52" s="375">
        <v>1</v>
      </c>
      <c r="O52" s="375">
        <v>1</v>
      </c>
      <c r="P52" s="375">
        <v>1</v>
      </c>
      <c r="Q52" s="375">
        <v>1</v>
      </c>
      <c r="R52" s="375">
        <v>1</v>
      </c>
      <c r="S52" s="375">
        <v>0</v>
      </c>
      <c r="T52" s="376">
        <v>1</v>
      </c>
      <c r="U52" s="376">
        <v>1</v>
      </c>
      <c r="V52" s="376">
        <v>1</v>
      </c>
      <c r="W52" s="376">
        <v>1</v>
      </c>
      <c r="X52" s="376">
        <v>1</v>
      </c>
      <c r="Y52" s="376">
        <v>1</v>
      </c>
      <c r="Z52" s="376">
        <f t="shared" si="8"/>
        <v>1</v>
      </c>
      <c r="AA52" s="376">
        <v>1</v>
      </c>
      <c r="AB52" s="376"/>
      <c r="AC52" s="376"/>
      <c r="AD52" s="376"/>
      <c r="AE52" s="376"/>
      <c r="AF52" s="376">
        <f t="shared" si="9"/>
        <v>0</v>
      </c>
      <c r="AG52" s="376">
        <v>1</v>
      </c>
      <c r="AH52" s="376">
        <f t="shared" si="10"/>
        <v>1</v>
      </c>
      <c r="AI52" s="376"/>
      <c r="AJ52" s="376"/>
      <c r="AK52" s="373">
        <f t="shared" si="11"/>
        <v>1</v>
      </c>
      <c r="AL52" s="373"/>
      <c r="AM52" s="373"/>
      <c r="AN52" s="373"/>
      <c r="AO52" s="373"/>
      <c r="AP52" s="377">
        <f t="shared" si="57"/>
        <v>1</v>
      </c>
      <c r="AQ52" s="378"/>
      <c r="AR52" s="341">
        <f t="shared" si="12"/>
        <v>1</v>
      </c>
      <c r="AS52" s="341">
        <f t="shared" si="58"/>
        <v>0</v>
      </c>
      <c r="AT52" s="341">
        <f t="shared" si="58"/>
        <v>1</v>
      </c>
      <c r="AU52" s="361">
        <f t="shared" si="13"/>
        <v>1</v>
      </c>
      <c r="AV52" s="361">
        <f t="shared" si="14"/>
        <v>1</v>
      </c>
      <c r="AW52" s="361">
        <f t="shared" si="15"/>
        <v>1</v>
      </c>
      <c r="AX52" s="361">
        <f t="shared" si="16"/>
        <v>1</v>
      </c>
      <c r="AY52" s="361">
        <f t="shared" si="17"/>
        <v>1</v>
      </c>
      <c r="AZ52" s="361">
        <f t="shared" si="18"/>
        <v>1</v>
      </c>
      <c r="BA52" s="361">
        <f t="shared" si="19"/>
        <v>1</v>
      </c>
      <c r="BB52" s="361">
        <f t="shared" si="20"/>
        <v>1</v>
      </c>
      <c r="BC52" s="361">
        <f t="shared" si="21"/>
        <v>1</v>
      </c>
      <c r="BD52" s="361">
        <f t="shared" si="22"/>
        <v>1</v>
      </c>
      <c r="BE52" s="361">
        <f t="shared" si="23"/>
        <v>1</v>
      </c>
      <c r="BF52" s="361">
        <f t="shared" si="24"/>
        <v>1</v>
      </c>
      <c r="BG52" s="361">
        <f t="shared" si="25"/>
        <v>1</v>
      </c>
      <c r="BH52" s="361">
        <f t="shared" si="26"/>
        <v>1</v>
      </c>
      <c r="BI52" s="361">
        <f t="shared" si="27"/>
        <v>1</v>
      </c>
      <c r="BJ52" s="361">
        <f t="shared" si="28"/>
        <v>1</v>
      </c>
      <c r="BK52" s="361">
        <f t="shared" si="29"/>
        <v>1</v>
      </c>
      <c r="BL52" s="361">
        <f t="shared" si="30"/>
        <v>1</v>
      </c>
      <c r="BM52" s="361">
        <f t="shared" si="31"/>
        <v>1</v>
      </c>
      <c r="BN52" s="361">
        <f t="shared" si="32"/>
        <v>1</v>
      </c>
      <c r="BO52" s="361">
        <f t="shared" si="33"/>
        <v>1</v>
      </c>
      <c r="BP52" s="361">
        <f t="shared" si="34"/>
        <v>1</v>
      </c>
      <c r="BQ52" s="361">
        <f t="shared" si="35"/>
        <v>1</v>
      </c>
      <c r="BR52" s="361">
        <f t="shared" si="36"/>
        <v>1</v>
      </c>
      <c r="BS52" s="361">
        <f t="shared" si="37"/>
        <v>1</v>
      </c>
      <c r="BT52" s="361">
        <f t="shared" si="38"/>
        <v>1</v>
      </c>
      <c r="BU52" s="361">
        <f t="shared" si="39"/>
        <v>1</v>
      </c>
      <c r="BV52" s="361">
        <f t="shared" si="40"/>
        <v>1</v>
      </c>
      <c r="BW52" s="361">
        <f t="shared" si="41"/>
        <v>1</v>
      </c>
      <c r="BX52" s="361">
        <f t="shared" si="42"/>
        <v>1</v>
      </c>
      <c r="BY52" s="361">
        <f t="shared" si="43"/>
        <v>1</v>
      </c>
      <c r="BZ52" s="361">
        <f t="shared" si="44"/>
        <v>1</v>
      </c>
      <c r="CA52" s="361">
        <f t="shared" si="45"/>
        <v>1</v>
      </c>
      <c r="CB52" s="361">
        <f t="shared" si="46"/>
        <v>1</v>
      </c>
      <c r="CC52" s="361">
        <f t="shared" si="47"/>
        <v>1</v>
      </c>
      <c r="CH52" s="341">
        <f t="shared" si="59"/>
        <v>1</v>
      </c>
      <c r="CI52" s="341">
        <f t="shared" si="59"/>
        <v>2</v>
      </c>
      <c r="CJ52" s="341">
        <f t="shared" si="59"/>
        <v>3</v>
      </c>
      <c r="CK52" s="341">
        <f t="shared" si="59"/>
        <v>4</v>
      </c>
      <c r="CL52" s="341">
        <f t="shared" si="59"/>
        <v>5</v>
      </c>
      <c r="CM52" s="341">
        <f t="shared" si="59"/>
        <v>6</v>
      </c>
      <c r="CN52" s="341">
        <f t="shared" si="59"/>
        <v>7</v>
      </c>
      <c r="CO52" s="341">
        <f t="shared" si="59"/>
        <v>8</v>
      </c>
      <c r="CP52" s="341">
        <f t="shared" si="59"/>
        <v>9</v>
      </c>
      <c r="CQ52" s="341">
        <f t="shared" si="59"/>
        <v>10</v>
      </c>
      <c r="CT52" s="353"/>
      <c r="CU52" s="353"/>
      <c r="CV52" s="353"/>
      <c r="CW52" s="353" t="b">
        <f t="shared" si="49"/>
        <v>1</v>
      </c>
      <c r="CX52" s="353" t="b">
        <f t="shared" si="50"/>
        <v>0</v>
      </c>
      <c r="CY52" s="353" t="b">
        <f t="shared" si="51"/>
        <v>1</v>
      </c>
      <c r="DC52" s="347">
        <f t="shared" si="60"/>
        <v>2</v>
      </c>
      <c r="DD52" s="353" t="b">
        <f t="shared" si="52"/>
        <v>1</v>
      </c>
      <c r="DE52" s="353" t="b">
        <f t="shared" si="53"/>
        <v>0</v>
      </c>
      <c r="DF52" s="353" t="b">
        <f t="shared" si="54"/>
        <v>1</v>
      </c>
      <c r="DG52" s="353"/>
      <c r="DH52" s="353"/>
      <c r="DI52" s="353"/>
      <c r="DJ52" s="353"/>
      <c r="DK52" s="353">
        <f t="shared" si="61"/>
        <v>2</v>
      </c>
      <c r="DM52" s="341">
        <f t="shared" si="55"/>
        <v>0</v>
      </c>
    </row>
    <row r="53" spans="2:117" x14ac:dyDescent="0.25">
      <c r="B53" s="373">
        <f t="shared" si="56"/>
        <v>23</v>
      </c>
      <c r="C53" s="373"/>
      <c r="D53" s="373"/>
      <c r="E53" s="373"/>
      <c r="F53" s="374" t="s">
        <v>140</v>
      </c>
      <c r="G53" s="375">
        <v>1</v>
      </c>
      <c r="H53" s="375">
        <v>1</v>
      </c>
      <c r="I53" s="375">
        <v>1</v>
      </c>
      <c r="J53" s="375">
        <v>1</v>
      </c>
      <c r="K53" s="375">
        <v>1</v>
      </c>
      <c r="L53" s="375">
        <v>1</v>
      </c>
      <c r="M53" s="375">
        <v>1</v>
      </c>
      <c r="N53" s="375">
        <v>1</v>
      </c>
      <c r="O53" s="375">
        <v>1</v>
      </c>
      <c r="P53" s="375">
        <v>1</v>
      </c>
      <c r="Q53" s="375">
        <v>1</v>
      </c>
      <c r="R53" s="375">
        <v>1</v>
      </c>
      <c r="S53" s="375">
        <v>0</v>
      </c>
      <c r="T53" s="376">
        <v>1</v>
      </c>
      <c r="U53" s="376">
        <v>1</v>
      </c>
      <c r="V53" s="376">
        <v>1</v>
      </c>
      <c r="W53" s="376">
        <v>1</v>
      </c>
      <c r="X53" s="376">
        <v>1</v>
      </c>
      <c r="Y53" s="376">
        <v>1</v>
      </c>
      <c r="Z53" s="376">
        <f t="shared" si="8"/>
        <v>1</v>
      </c>
      <c r="AA53" s="376">
        <v>1</v>
      </c>
      <c r="AB53" s="376"/>
      <c r="AC53" s="376"/>
      <c r="AD53" s="376"/>
      <c r="AE53" s="376"/>
      <c r="AF53" s="376">
        <f t="shared" si="9"/>
        <v>0</v>
      </c>
      <c r="AG53" s="376">
        <v>1</v>
      </c>
      <c r="AH53" s="376">
        <f t="shared" si="10"/>
        <v>1</v>
      </c>
      <c r="AI53" s="376"/>
      <c r="AJ53" s="376"/>
      <c r="AK53" s="373">
        <f t="shared" si="11"/>
        <v>1</v>
      </c>
      <c r="AL53" s="373"/>
      <c r="AM53" s="373"/>
      <c r="AN53" s="373"/>
      <c r="AO53" s="373"/>
      <c r="AP53" s="377">
        <f t="shared" si="57"/>
        <v>1</v>
      </c>
      <c r="AQ53" s="378"/>
      <c r="AR53" s="341">
        <f t="shared" si="12"/>
        <v>1</v>
      </c>
      <c r="AS53" s="341">
        <f t="shared" si="58"/>
        <v>0</v>
      </c>
      <c r="AT53" s="341">
        <f t="shared" si="58"/>
        <v>1</v>
      </c>
      <c r="AU53" s="361">
        <f t="shared" si="13"/>
        <v>1</v>
      </c>
      <c r="AV53" s="361">
        <f t="shared" si="14"/>
        <v>1</v>
      </c>
      <c r="AW53" s="361">
        <f t="shared" si="15"/>
        <v>1</v>
      </c>
      <c r="AX53" s="361">
        <f t="shared" si="16"/>
        <v>1</v>
      </c>
      <c r="AY53" s="361">
        <f t="shared" si="17"/>
        <v>1</v>
      </c>
      <c r="AZ53" s="361">
        <f t="shared" si="18"/>
        <v>1</v>
      </c>
      <c r="BA53" s="361">
        <f t="shared" si="19"/>
        <v>1</v>
      </c>
      <c r="BB53" s="361">
        <f t="shared" si="20"/>
        <v>1</v>
      </c>
      <c r="BC53" s="361">
        <f t="shared" si="21"/>
        <v>1</v>
      </c>
      <c r="BD53" s="361">
        <f t="shared" si="22"/>
        <v>1</v>
      </c>
      <c r="BE53" s="361">
        <f t="shared" si="23"/>
        <v>1</v>
      </c>
      <c r="BF53" s="361">
        <f t="shared" si="24"/>
        <v>1</v>
      </c>
      <c r="BG53" s="361">
        <f t="shared" si="25"/>
        <v>1</v>
      </c>
      <c r="BH53" s="361">
        <f t="shared" si="26"/>
        <v>1</v>
      </c>
      <c r="BI53" s="361">
        <f t="shared" si="27"/>
        <v>1</v>
      </c>
      <c r="BJ53" s="361">
        <f t="shared" si="28"/>
        <v>1</v>
      </c>
      <c r="BK53" s="361">
        <f t="shared" si="29"/>
        <v>1</v>
      </c>
      <c r="BL53" s="361">
        <f t="shared" si="30"/>
        <v>1</v>
      </c>
      <c r="BM53" s="361">
        <f t="shared" si="31"/>
        <v>1</v>
      </c>
      <c r="BN53" s="361">
        <f t="shared" si="32"/>
        <v>1</v>
      </c>
      <c r="BO53" s="361">
        <f t="shared" si="33"/>
        <v>1</v>
      </c>
      <c r="BP53" s="361">
        <f t="shared" si="34"/>
        <v>1</v>
      </c>
      <c r="BQ53" s="361">
        <f t="shared" si="35"/>
        <v>1</v>
      </c>
      <c r="BR53" s="361">
        <f t="shared" si="36"/>
        <v>1</v>
      </c>
      <c r="BS53" s="361">
        <f t="shared" si="37"/>
        <v>1</v>
      </c>
      <c r="BT53" s="361">
        <f t="shared" si="38"/>
        <v>1</v>
      </c>
      <c r="BU53" s="361">
        <f t="shared" si="39"/>
        <v>1</v>
      </c>
      <c r="BV53" s="361">
        <f t="shared" si="40"/>
        <v>1</v>
      </c>
      <c r="BW53" s="361">
        <f t="shared" si="41"/>
        <v>1</v>
      </c>
      <c r="BX53" s="361">
        <f t="shared" si="42"/>
        <v>1</v>
      </c>
      <c r="BY53" s="361">
        <f t="shared" si="43"/>
        <v>1</v>
      </c>
      <c r="BZ53" s="361">
        <f t="shared" si="44"/>
        <v>1</v>
      </c>
      <c r="CA53" s="361">
        <f t="shared" si="45"/>
        <v>1</v>
      </c>
      <c r="CB53" s="361">
        <f t="shared" si="46"/>
        <v>1</v>
      </c>
      <c r="CC53" s="361">
        <f t="shared" si="47"/>
        <v>1</v>
      </c>
      <c r="CH53" s="341">
        <f t="shared" si="59"/>
        <v>1</v>
      </c>
      <c r="CI53" s="341">
        <f t="shared" si="59"/>
        <v>2</v>
      </c>
      <c r="CJ53" s="341">
        <f t="shared" si="59"/>
        <v>3</v>
      </c>
      <c r="CK53" s="341">
        <f t="shared" si="59"/>
        <v>4</v>
      </c>
      <c r="CL53" s="341">
        <f t="shared" si="59"/>
        <v>5</v>
      </c>
      <c r="CM53" s="341">
        <f t="shared" si="59"/>
        <v>6</v>
      </c>
      <c r="CN53" s="341">
        <f t="shared" si="59"/>
        <v>7</v>
      </c>
      <c r="CO53" s="341">
        <f t="shared" si="59"/>
        <v>8</v>
      </c>
      <c r="CP53" s="341">
        <f t="shared" si="59"/>
        <v>9</v>
      </c>
      <c r="CQ53" s="341">
        <f t="shared" si="59"/>
        <v>10</v>
      </c>
      <c r="CT53" s="353"/>
      <c r="CU53" s="353"/>
      <c r="CV53" s="353"/>
      <c r="CW53" s="353" t="b">
        <f t="shared" si="49"/>
        <v>1</v>
      </c>
      <c r="CX53" s="353" t="b">
        <f t="shared" si="50"/>
        <v>0</v>
      </c>
      <c r="CY53" s="353" t="b">
        <f t="shared" si="51"/>
        <v>1</v>
      </c>
      <c r="DC53" s="347">
        <f t="shared" si="60"/>
        <v>2</v>
      </c>
      <c r="DD53" s="353" t="b">
        <f t="shared" si="52"/>
        <v>1</v>
      </c>
      <c r="DE53" s="353" t="b">
        <f t="shared" si="53"/>
        <v>0</v>
      </c>
      <c r="DF53" s="353" t="b">
        <f t="shared" si="54"/>
        <v>1</v>
      </c>
      <c r="DG53" s="353"/>
      <c r="DH53" s="353"/>
      <c r="DI53" s="353"/>
      <c r="DJ53" s="353"/>
      <c r="DK53" s="353">
        <f t="shared" si="61"/>
        <v>2</v>
      </c>
      <c r="DM53" s="341">
        <f t="shared" si="55"/>
        <v>0</v>
      </c>
    </row>
    <row r="54" spans="2:117" x14ac:dyDescent="0.25">
      <c r="B54" s="373">
        <f t="shared" si="56"/>
        <v>24</v>
      </c>
      <c r="C54" s="373"/>
      <c r="D54" s="373"/>
      <c r="E54" s="373"/>
      <c r="F54" s="374" t="s">
        <v>141</v>
      </c>
      <c r="G54" s="375">
        <v>1</v>
      </c>
      <c r="H54" s="375">
        <v>1</v>
      </c>
      <c r="I54" s="375">
        <v>1</v>
      </c>
      <c r="J54" s="375">
        <v>1</v>
      </c>
      <c r="K54" s="375">
        <v>1</v>
      </c>
      <c r="L54" s="375">
        <v>1</v>
      </c>
      <c r="M54" s="375">
        <v>1</v>
      </c>
      <c r="N54" s="375">
        <v>1</v>
      </c>
      <c r="O54" s="375">
        <v>1</v>
      </c>
      <c r="P54" s="375">
        <v>1</v>
      </c>
      <c r="Q54" s="375">
        <v>1</v>
      </c>
      <c r="R54" s="375">
        <v>1</v>
      </c>
      <c r="S54" s="375">
        <v>0</v>
      </c>
      <c r="T54" s="376">
        <v>1</v>
      </c>
      <c r="U54" s="376">
        <v>1</v>
      </c>
      <c r="V54" s="376">
        <v>1</v>
      </c>
      <c r="W54" s="376">
        <v>1</v>
      </c>
      <c r="X54" s="376">
        <v>1</v>
      </c>
      <c r="Y54" s="376">
        <v>1</v>
      </c>
      <c r="Z54" s="376">
        <f t="shared" si="8"/>
        <v>1</v>
      </c>
      <c r="AA54" s="376">
        <v>1</v>
      </c>
      <c r="AB54" s="376"/>
      <c r="AC54" s="376"/>
      <c r="AD54" s="376"/>
      <c r="AE54" s="376"/>
      <c r="AF54" s="376">
        <f t="shared" si="9"/>
        <v>0</v>
      </c>
      <c r="AG54" s="376">
        <v>1</v>
      </c>
      <c r="AH54" s="376">
        <f t="shared" si="10"/>
        <v>1</v>
      </c>
      <c r="AI54" s="376"/>
      <c r="AJ54" s="376"/>
      <c r="AK54" s="373">
        <f t="shared" si="11"/>
        <v>1</v>
      </c>
      <c r="AL54" s="373"/>
      <c r="AM54" s="373"/>
      <c r="AN54" s="373"/>
      <c r="AO54" s="373"/>
      <c r="AP54" s="377">
        <f t="shared" si="57"/>
        <v>1</v>
      </c>
      <c r="AQ54" s="378"/>
      <c r="AR54" s="341">
        <f t="shared" si="12"/>
        <v>1</v>
      </c>
      <c r="AS54" s="341">
        <f t="shared" si="58"/>
        <v>0</v>
      </c>
      <c r="AT54" s="341">
        <f t="shared" si="58"/>
        <v>1</v>
      </c>
      <c r="AU54" s="361">
        <f t="shared" si="13"/>
        <v>1</v>
      </c>
      <c r="AV54" s="361">
        <f t="shared" si="14"/>
        <v>1</v>
      </c>
      <c r="AW54" s="361">
        <f t="shared" si="15"/>
        <v>1</v>
      </c>
      <c r="AX54" s="361">
        <f t="shared" si="16"/>
        <v>1</v>
      </c>
      <c r="AY54" s="361">
        <f t="shared" si="17"/>
        <v>1</v>
      </c>
      <c r="AZ54" s="361">
        <f t="shared" si="18"/>
        <v>1</v>
      </c>
      <c r="BA54" s="361">
        <f t="shared" si="19"/>
        <v>1</v>
      </c>
      <c r="BB54" s="361">
        <f t="shared" si="20"/>
        <v>1</v>
      </c>
      <c r="BC54" s="361">
        <f t="shared" si="21"/>
        <v>1</v>
      </c>
      <c r="BD54" s="361">
        <f t="shared" si="22"/>
        <v>1</v>
      </c>
      <c r="BE54" s="361">
        <f t="shared" si="23"/>
        <v>1</v>
      </c>
      <c r="BF54" s="361">
        <f t="shared" si="24"/>
        <v>1</v>
      </c>
      <c r="BG54" s="361">
        <f t="shared" si="25"/>
        <v>1</v>
      </c>
      <c r="BH54" s="361">
        <f t="shared" si="26"/>
        <v>1</v>
      </c>
      <c r="BI54" s="361">
        <f t="shared" si="27"/>
        <v>1</v>
      </c>
      <c r="BJ54" s="361">
        <f t="shared" si="28"/>
        <v>1</v>
      </c>
      <c r="BK54" s="361">
        <f t="shared" si="29"/>
        <v>1</v>
      </c>
      <c r="BL54" s="361">
        <f t="shared" si="30"/>
        <v>1</v>
      </c>
      <c r="BM54" s="361">
        <f t="shared" si="31"/>
        <v>1</v>
      </c>
      <c r="BN54" s="361">
        <f t="shared" si="32"/>
        <v>1</v>
      </c>
      <c r="BO54" s="361">
        <f t="shared" si="33"/>
        <v>1</v>
      </c>
      <c r="BP54" s="361">
        <f t="shared" si="34"/>
        <v>1</v>
      </c>
      <c r="BQ54" s="361">
        <f t="shared" si="35"/>
        <v>1</v>
      </c>
      <c r="BR54" s="361">
        <f t="shared" si="36"/>
        <v>1</v>
      </c>
      <c r="BS54" s="361">
        <f t="shared" si="37"/>
        <v>1</v>
      </c>
      <c r="BT54" s="361">
        <f t="shared" si="38"/>
        <v>1</v>
      </c>
      <c r="BU54" s="361">
        <f t="shared" si="39"/>
        <v>1</v>
      </c>
      <c r="BV54" s="361">
        <f t="shared" si="40"/>
        <v>1</v>
      </c>
      <c r="BW54" s="361">
        <f t="shared" si="41"/>
        <v>1</v>
      </c>
      <c r="BX54" s="361">
        <f t="shared" si="42"/>
        <v>1</v>
      </c>
      <c r="BY54" s="361">
        <f t="shared" si="43"/>
        <v>1</v>
      </c>
      <c r="BZ54" s="361">
        <f t="shared" si="44"/>
        <v>1</v>
      </c>
      <c r="CA54" s="361">
        <f t="shared" si="45"/>
        <v>1</v>
      </c>
      <c r="CB54" s="361">
        <f t="shared" si="46"/>
        <v>1</v>
      </c>
      <c r="CC54" s="361">
        <f t="shared" si="47"/>
        <v>1</v>
      </c>
      <c r="CH54" s="341">
        <f t="shared" si="59"/>
        <v>1</v>
      </c>
      <c r="CI54" s="341">
        <f t="shared" si="59"/>
        <v>2</v>
      </c>
      <c r="CJ54" s="341">
        <f t="shared" si="59"/>
        <v>3</v>
      </c>
      <c r="CK54" s="341">
        <f t="shared" si="59"/>
        <v>4</v>
      </c>
      <c r="CL54" s="341">
        <f t="shared" si="59"/>
        <v>5</v>
      </c>
      <c r="CM54" s="341">
        <f t="shared" si="59"/>
        <v>6</v>
      </c>
      <c r="CN54" s="341">
        <f t="shared" si="59"/>
        <v>7</v>
      </c>
      <c r="CO54" s="341">
        <f t="shared" si="59"/>
        <v>8</v>
      </c>
      <c r="CP54" s="341">
        <f t="shared" si="59"/>
        <v>9</v>
      </c>
      <c r="CQ54" s="341">
        <f t="shared" si="59"/>
        <v>10</v>
      </c>
      <c r="CT54" s="353"/>
      <c r="CU54" s="353"/>
      <c r="CV54" s="353"/>
      <c r="CW54" s="353" t="b">
        <f t="shared" si="49"/>
        <v>1</v>
      </c>
      <c r="CX54" s="353" t="b">
        <f t="shared" si="50"/>
        <v>0</v>
      </c>
      <c r="CY54" s="353" t="b">
        <f t="shared" si="51"/>
        <v>1</v>
      </c>
      <c r="DC54" s="347">
        <f t="shared" si="60"/>
        <v>2</v>
      </c>
      <c r="DD54" s="353" t="b">
        <f t="shared" si="52"/>
        <v>1</v>
      </c>
      <c r="DE54" s="353" t="b">
        <f t="shared" si="53"/>
        <v>0</v>
      </c>
      <c r="DF54" s="353" t="b">
        <f t="shared" si="54"/>
        <v>1</v>
      </c>
      <c r="DG54" s="353"/>
      <c r="DH54" s="353"/>
      <c r="DI54" s="353"/>
      <c r="DJ54" s="353"/>
      <c r="DK54" s="353">
        <f t="shared" si="61"/>
        <v>2</v>
      </c>
      <c r="DM54" s="341">
        <f t="shared" si="55"/>
        <v>0</v>
      </c>
    </row>
    <row r="55" spans="2:117" x14ac:dyDescent="0.25">
      <c r="B55" s="373">
        <f t="shared" si="56"/>
        <v>25</v>
      </c>
      <c r="C55" s="373"/>
      <c r="D55" s="373"/>
      <c r="E55" s="373"/>
      <c r="F55" s="374" t="s">
        <v>142</v>
      </c>
      <c r="G55" s="375">
        <v>1</v>
      </c>
      <c r="H55" s="375">
        <v>1</v>
      </c>
      <c r="I55" s="375">
        <v>1</v>
      </c>
      <c r="J55" s="375">
        <v>1</v>
      </c>
      <c r="K55" s="375">
        <v>1</v>
      </c>
      <c r="L55" s="375">
        <v>1</v>
      </c>
      <c r="M55" s="375">
        <v>1</v>
      </c>
      <c r="N55" s="375">
        <v>1</v>
      </c>
      <c r="O55" s="375">
        <v>1</v>
      </c>
      <c r="P55" s="375">
        <v>1</v>
      </c>
      <c r="Q55" s="375">
        <v>1</v>
      </c>
      <c r="R55" s="375">
        <v>1</v>
      </c>
      <c r="S55" s="375">
        <v>0</v>
      </c>
      <c r="T55" s="376">
        <v>1</v>
      </c>
      <c r="U55" s="376">
        <v>1</v>
      </c>
      <c r="V55" s="376">
        <v>1</v>
      </c>
      <c r="W55" s="376">
        <v>1</v>
      </c>
      <c r="X55" s="376">
        <v>1</v>
      </c>
      <c r="Y55" s="376">
        <v>1</v>
      </c>
      <c r="Z55" s="376">
        <f t="shared" si="8"/>
        <v>1</v>
      </c>
      <c r="AA55" s="376">
        <v>1</v>
      </c>
      <c r="AB55" s="376"/>
      <c r="AC55" s="376"/>
      <c r="AD55" s="376"/>
      <c r="AE55" s="376"/>
      <c r="AF55" s="376">
        <f t="shared" si="9"/>
        <v>0</v>
      </c>
      <c r="AG55" s="376">
        <v>1</v>
      </c>
      <c r="AH55" s="376">
        <f t="shared" si="10"/>
        <v>1</v>
      </c>
      <c r="AI55" s="376"/>
      <c r="AJ55" s="376"/>
      <c r="AK55" s="373">
        <f t="shared" si="11"/>
        <v>1</v>
      </c>
      <c r="AL55" s="373"/>
      <c r="AM55" s="373"/>
      <c r="AN55" s="373"/>
      <c r="AO55" s="373"/>
      <c r="AP55" s="377">
        <f t="shared" si="57"/>
        <v>1</v>
      </c>
      <c r="AQ55" s="378"/>
      <c r="AR55" s="341">
        <f t="shared" si="12"/>
        <v>1</v>
      </c>
      <c r="AS55" s="341">
        <f t="shared" si="58"/>
        <v>0</v>
      </c>
      <c r="AT55" s="341">
        <f t="shared" si="58"/>
        <v>1</v>
      </c>
      <c r="AU55" s="361">
        <f t="shared" si="13"/>
        <v>1</v>
      </c>
      <c r="AV55" s="361">
        <f t="shared" si="14"/>
        <v>1</v>
      </c>
      <c r="AW55" s="361">
        <f t="shared" si="15"/>
        <v>1</v>
      </c>
      <c r="AX55" s="361">
        <f t="shared" si="16"/>
        <v>1</v>
      </c>
      <c r="AY55" s="361">
        <f t="shared" si="17"/>
        <v>1</v>
      </c>
      <c r="AZ55" s="361">
        <f t="shared" si="18"/>
        <v>1</v>
      </c>
      <c r="BA55" s="361">
        <f t="shared" si="19"/>
        <v>1</v>
      </c>
      <c r="BB55" s="361">
        <f t="shared" si="20"/>
        <v>1</v>
      </c>
      <c r="BC55" s="361">
        <f t="shared" si="21"/>
        <v>1</v>
      </c>
      <c r="BD55" s="361">
        <f t="shared" si="22"/>
        <v>1</v>
      </c>
      <c r="BE55" s="361">
        <f t="shared" si="23"/>
        <v>1</v>
      </c>
      <c r="BF55" s="361">
        <f t="shared" si="24"/>
        <v>1</v>
      </c>
      <c r="BG55" s="361">
        <f t="shared" si="25"/>
        <v>1</v>
      </c>
      <c r="BH55" s="361">
        <f t="shared" si="26"/>
        <v>1</v>
      </c>
      <c r="BI55" s="361">
        <f t="shared" si="27"/>
        <v>1</v>
      </c>
      <c r="BJ55" s="361">
        <f t="shared" si="28"/>
        <v>1</v>
      </c>
      <c r="BK55" s="361">
        <f t="shared" si="29"/>
        <v>1</v>
      </c>
      <c r="BL55" s="361">
        <f t="shared" si="30"/>
        <v>1</v>
      </c>
      <c r="BM55" s="361">
        <f t="shared" si="31"/>
        <v>1</v>
      </c>
      <c r="BN55" s="361">
        <f t="shared" si="32"/>
        <v>1</v>
      </c>
      <c r="BO55" s="361">
        <f t="shared" si="33"/>
        <v>1</v>
      </c>
      <c r="BP55" s="361">
        <f t="shared" si="34"/>
        <v>1</v>
      </c>
      <c r="BQ55" s="361">
        <f t="shared" si="35"/>
        <v>1</v>
      </c>
      <c r="BR55" s="361">
        <f t="shared" si="36"/>
        <v>1</v>
      </c>
      <c r="BS55" s="361">
        <f t="shared" si="37"/>
        <v>1</v>
      </c>
      <c r="BT55" s="361">
        <f t="shared" si="38"/>
        <v>1</v>
      </c>
      <c r="BU55" s="361">
        <f t="shared" si="39"/>
        <v>1</v>
      </c>
      <c r="BV55" s="361">
        <f t="shared" si="40"/>
        <v>1</v>
      </c>
      <c r="BW55" s="361">
        <f t="shared" si="41"/>
        <v>1</v>
      </c>
      <c r="BX55" s="361">
        <f t="shared" si="42"/>
        <v>1</v>
      </c>
      <c r="BY55" s="361">
        <f t="shared" si="43"/>
        <v>1</v>
      </c>
      <c r="BZ55" s="361">
        <f t="shared" si="44"/>
        <v>1</v>
      </c>
      <c r="CA55" s="361">
        <f t="shared" si="45"/>
        <v>1</v>
      </c>
      <c r="CB55" s="361">
        <f t="shared" si="46"/>
        <v>1</v>
      </c>
      <c r="CC55" s="361">
        <f t="shared" si="47"/>
        <v>1</v>
      </c>
      <c r="CH55" s="341">
        <f t="shared" si="59"/>
        <v>1</v>
      </c>
      <c r="CI55" s="341">
        <f t="shared" si="59"/>
        <v>2</v>
      </c>
      <c r="CJ55" s="341">
        <f t="shared" si="59"/>
        <v>3</v>
      </c>
      <c r="CK55" s="341">
        <f t="shared" si="59"/>
        <v>4</v>
      </c>
      <c r="CL55" s="341">
        <f t="shared" si="59"/>
        <v>5</v>
      </c>
      <c r="CM55" s="341">
        <f t="shared" si="59"/>
        <v>6</v>
      </c>
      <c r="CN55" s="341">
        <f t="shared" si="59"/>
        <v>7</v>
      </c>
      <c r="CO55" s="341">
        <f t="shared" si="59"/>
        <v>8</v>
      </c>
      <c r="CP55" s="341">
        <f t="shared" si="59"/>
        <v>9</v>
      </c>
      <c r="CQ55" s="341">
        <f t="shared" si="59"/>
        <v>10</v>
      </c>
      <c r="CT55" s="353"/>
      <c r="CU55" s="353"/>
      <c r="CV55" s="353"/>
      <c r="CW55" s="353" t="b">
        <f t="shared" si="49"/>
        <v>1</v>
      </c>
      <c r="CX55" s="353" t="b">
        <f t="shared" si="50"/>
        <v>0</v>
      </c>
      <c r="CY55" s="353" t="b">
        <f t="shared" si="51"/>
        <v>1</v>
      </c>
      <c r="DC55" s="347">
        <f t="shared" si="60"/>
        <v>2</v>
      </c>
      <c r="DD55" s="353" t="b">
        <f t="shared" si="52"/>
        <v>1</v>
      </c>
      <c r="DE55" s="353" t="b">
        <f t="shared" si="53"/>
        <v>0</v>
      </c>
      <c r="DF55" s="353" t="b">
        <f t="shared" si="54"/>
        <v>1</v>
      </c>
      <c r="DG55" s="353"/>
      <c r="DH55" s="353"/>
      <c r="DI55" s="353"/>
      <c r="DJ55" s="353"/>
      <c r="DK55" s="353">
        <f t="shared" si="61"/>
        <v>2</v>
      </c>
      <c r="DM55" s="341">
        <f t="shared" si="55"/>
        <v>0</v>
      </c>
    </row>
    <row r="56" spans="2:117" x14ac:dyDescent="0.25">
      <c r="B56" s="373">
        <f t="shared" si="56"/>
        <v>26</v>
      </c>
      <c r="C56" s="373"/>
      <c r="D56" s="373"/>
      <c r="E56" s="373"/>
      <c r="F56" s="374" t="s">
        <v>143</v>
      </c>
      <c r="G56" s="375">
        <v>1</v>
      </c>
      <c r="H56" s="375">
        <v>1</v>
      </c>
      <c r="I56" s="375">
        <v>1</v>
      </c>
      <c r="J56" s="375">
        <v>1</v>
      </c>
      <c r="K56" s="375">
        <v>1</v>
      </c>
      <c r="L56" s="375">
        <v>1</v>
      </c>
      <c r="M56" s="375">
        <v>1</v>
      </c>
      <c r="N56" s="375">
        <v>1</v>
      </c>
      <c r="O56" s="375">
        <v>1</v>
      </c>
      <c r="P56" s="375">
        <v>1</v>
      </c>
      <c r="Q56" s="375">
        <v>1</v>
      </c>
      <c r="R56" s="375">
        <v>1</v>
      </c>
      <c r="S56" s="375">
        <v>0</v>
      </c>
      <c r="T56" s="376">
        <v>1</v>
      </c>
      <c r="U56" s="376">
        <v>1</v>
      </c>
      <c r="V56" s="376">
        <v>1</v>
      </c>
      <c r="W56" s="376">
        <v>1</v>
      </c>
      <c r="X56" s="376">
        <v>1</v>
      </c>
      <c r="Y56" s="376">
        <v>1</v>
      </c>
      <c r="Z56" s="376">
        <f t="shared" si="8"/>
        <v>1</v>
      </c>
      <c r="AA56" s="376">
        <v>1</v>
      </c>
      <c r="AB56" s="376"/>
      <c r="AC56" s="376"/>
      <c r="AD56" s="376"/>
      <c r="AE56" s="376"/>
      <c r="AF56" s="376">
        <f t="shared" si="9"/>
        <v>0</v>
      </c>
      <c r="AG56" s="376">
        <v>1</v>
      </c>
      <c r="AH56" s="376">
        <f t="shared" si="10"/>
        <v>1</v>
      </c>
      <c r="AI56" s="376"/>
      <c r="AJ56" s="376"/>
      <c r="AK56" s="373">
        <f t="shared" si="11"/>
        <v>1</v>
      </c>
      <c r="AL56" s="373"/>
      <c r="AM56" s="373"/>
      <c r="AN56" s="373"/>
      <c r="AO56" s="373"/>
      <c r="AP56" s="377">
        <f t="shared" si="57"/>
        <v>1</v>
      </c>
      <c r="AQ56" s="378"/>
      <c r="AR56" s="341">
        <f t="shared" si="12"/>
        <v>1</v>
      </c>
      <c r="AS56" s="341">
        <f t="shared" si="58"/>
        <v>0</v>
      </c>
      <c r="AT56" s="341">
        <f t="shared" si="58"/>
        <v>1</v>
      </c>
      <c r="AU56" s="361">
        <f t="shared" si="13"/>
        <v>1</v>
      </c>
      <c r="AV56" s="361">
        <f t="shared" si="14"/>
        <v>1</v>
      </c>
      <c r="AW56" s="361">
        <f t="shared" si="15"/>
        <v>1</v>
      </c>
      <c r="AX56" s="361">
        <f t="shared" si="16"/>
        <v>1</v>
      </c>
      <c r="AY56" s="361">
        <f t="shared" si="17"/>
        <v>1</v>
      </c>
      <c r="AZ56" s="361">
        <f t="shared" si="18"/>
        <v>1</v>
      </c>
      <c r="BA56" s="361">
        <f t="shared" si="19"/>
        <v>1</v>
      </c>
      <c r="BB56" s="361">
        <f t="shared" si="20"/>
        <v>1</v>
      </c>
      <c r="BC56" s="361">
        <f t="shared" si="21"/>
        <v>1</v>
      </c>
      <c r="BD56" s="361">
        <f t="shared" si="22"/>
        <v>1</v>
      </c>
      <c r="BE56" s="361">
        <f t="shared" si="23"/>
        <v>1</v>
      </c>
      <c r="BF56" s="361">
        <f t="shared" si="24"/>
        <v>1</v>
      </c>
      <c r="BG56" s="361">
        <f t="shared" si="25"/>
        <v>1</v>
      </c>
      <c r="BH56" s="361">
        <f t="shared" si="26"/>
        <v>1</v>
      </c>
      <c r="BI56" s="361">
        <f t="shared" si="27"/>
        <v>1</v>
      </c>
      <c r="BJ56" s="361">
        <f t="shared" si="28"/>
        <v>1</v>
      </c>
      <c r="BK56" s="361">
        <f t="shared" si="29"/>
        <v>1</v>
      </c>
      <c r="BL56" s="361">
        <f t="shared" si="30"/>
        <v>1</v>
      </c>
      <c r="BM56" s="361">
        <f t="shared" si="31"/>
        <v>1</v>
      </c>
      <c r="BN56" s="361">
        <f t="shared" si="32"/>
        <v>1</v>
      </c>
      <c r="BO56" s="361">
        <f t="shared" si="33"/>
        <v>1</v>
      </c>
      <c r="BP56" s="361">
        <f t="shared" si="34"/>
        <v>1</v>
      </c>
      <c r="BQ56" s="361">
        <f t="shared" si="35"/>
        <v>1</v>
      </c>
      <c r="BR56" s="361">
        <f t="shared" si="36"/>
        <v>1</v>
      </c>
      <c r="BS56" s="361">
        <f t="shared" si="37"/>
        <v>1</v>
      </c>
      <c r="BT56" s="361">
        <f t="shared" si="38"/>
        <v>1</v>
      </c>
      <c r="BU56" s="361">
        <f t="shared" si="39"/>
        <v>1</v>
      </c>
      <c r="BV56" s="361">
        <f t="shared" si="40"/>
        <v>1</v>
      </c>
      <c r="BW56" s="361">
        <f t="shared" si="41"/>
        <v>1</v>
      </c>
      <c r="BX56" s="361">
        <f t="shared" si="42"/>
        <v>1</v>
      </c>
      <c r="BY56" s="361">
        <f t="shared" si="43"/>
        <v>1</v>
      </c>
      <c r="BZ56" s="361">
        <f t="shared" si="44"/>
        <v>1</v>
      </c>
      <c r="CA56" s="361">
        <f t="shared" si="45"/>
        <v>1</v>
      </c>
      <c r="CB56" s="361">
        <f t="shared" si="46"/>
        <v>1</v>
      </c>
      <c r="CC56" s="361">
        <f t="shared" si="47"/>
        <v>1</v>
      </c>
      <c r="CH56" s="341">
        <f t="shared" si="59"/>
        <v>1</v>
      </c>
      <c r="CI56" s="341">
        <f t="shared" si="59"/>
        <v>2</v>
      </c>
      <c r="CJ56" s="341">
        <f t="shared" si="59"/>
        <v>3</v>
      </c>
      <c r="CK56" s="341">
        <f t="shared" si="59"/>
        <v>4</v>
      </c>
      <c r="CL56" s="341">
        <f t="shared" si="59"/>
        <v>5</v>
      </c>
      <c r="CM56" s="341">
        <f t="shared" si="59"/>
        <v>6</v>
      </c>
      <c r="CN56" s="341">
        <f t="shared" si="59"/>
        <v>7</v>
      </c>
      <c r="CO56" s="341">
        <f t="shared" si="59"/>
        <v>8</v>
      </c>
      <c r="CP56" s="341">
        <f t="shared" si="59"/>
        <v>9</v>
      </c>
      <c r="CQ56" s="341">
        <f t="shared" si="59"/>
        <v>10</v>
      </c>
      <c r="CT56" s="353"/>
      <c r="CU56" s="353"/>
      <c r="CV56" s="353"/>
      <c r="CW56" s="353" t="b">
        <f t="shared" si="49"/>
        <v>1</v>
      </c>
      <c r="CX56" s="353" t="b">
        <f t="shared" si="50"/>
        <v>0</v>
      </c>
      <c r="CY56" s="353" t="b">
        <f t="shared" si="51"/>
        <v>1</v>
      </c>
      <c r="DC56" s="347">
        <f t="shared" si="60"/>
        <v>2</v>
      </c>
      <c r="DD56" s="353" t="b">
        <f t="shared" si="52"/>
        <v>1</v>
      </c>
      <c r="DE56" s="353" t="b">
        <f t="shared" si="53"/>
        <v>0</v>
      </c>
      <c r="DF56" s="353" t="b">
        <f t="shared" si="54"/>
        <v>1</v>
      </c>
      <c r="DG56" s="353"/>
      <c r="DH56" s="353"/>
      <c r="DI56" s="353"/>
      <c r="DJ56" s="353"/>
      <c r="DK56" s="353">
        <f t="shared" si="61"/>
        <v>2</v>
      </c>
      <c r="DM56" s="341">
        <f t="shared" si="55"/>
        <v>0</v>
      </c>
    </row>
    <row r="57" spans="2:117" x14ac:dyDescent="0.25">
      <c r="B57" s="373">
        <f t="shared" si="56"/>
        <v>27</v>
      </c>
      <c r="C57" s="373"/>
      <c r="D57" s="373"/>
      <c r="E57" s="373"/>
      <c r="F57" s="374" t="s">
        <v>144</v>
      </c>
      <c r="G57" s="375">
        <v>1</v>
      </c>
      <c r="H57" s="375">
        <v>1</v>
      </c>
      <c r="I57" s="375">
        <v>1</v>
      </c>
      <c r="J57" s="375">
        <v>1</v>
      </c>
      <c r="K57" s="375">
        <v>1</v>
      </c>
      <c r="L57" s="375">
        <v>1</v>
      </c>
      <c r="M57" s="375">
        <v>1</v>
      </c>
      <c r="N57" s="375">
        <v>1</v>
      </c>
      <c r="O57" s="375">
        <v>1</v>
      </c>
      <c r="P57" s="375">
        <v>1</v>
      </c>
      <c r="Q57" s="375">
        <v>1</v>
      </c>
      <c r="R57" s="375">
        <v>1</v>
      </c>
      <c r="S57" s="375">
        <v>1</v>
      </c>
      <c r="T57" s="376">
        <v>0</v>
      </c>
      <c r="U57" s="376">
        <v>0</v>
      </c>
      <c r="V57" s="376">
        <v>0</v>
      </c>
      <c r="W57" s="376">
        <v>0</v>
      </c>
      <c r="X57" s="376">
        <v>0</v>
      </c>
      <c r="Y57" s="376">
        <v>0</v>
      </c>
      <c r="Z57" s="376">
        <f t="shared" si="8"/>
        <v>1</v>
      </c>
      <c r="AA57" s="376">
        <v>1</v>
      </c>
      <c r="AB57" s="376"/>
      <c r="AC57" s="376"/>
      <c r="AD57" s="376"/>
      <c r="AE57" s="376"/>
      <c r="AF57" s="376">
        <f t="shared" si="9"/>
        <v>0</v>
      </c>
      <c r="AG57" s="376">
        <v>1</v>
      </c>
      <c r="AH57" s="376">
        <f t="shared" si="10"/>
        <v>1</v>
      </c>
      <c r="AI57" s="376"/>
      <c r="AJ57" s="376"/>
      <c r="AK57" s="373">
        <f t="shared" si="11"/>
        <v>1</v>
      </c>
      <c r="AL57" s="373"/>
      <c r="AM57" s="373"/>
      <c r="AN57" s="373"/>
      <c r="AO57" s="373"/>
      <c r="AP57" s="377">
        <f t="shared" si="57"/>
        <v>1</v>
      </c>
      <c r="AQ57" s="378"/>
      <c r="AR57" s="341">
        <f t="shared" si="12"/>
        <v>1</v>
      </c>
      <c r="AS57" s="341">
        <f t="shared" si="58"/>
        <v>0</v>
      </c>
      <c r="AT57" s="341">
        <f t="shared" si="58"/>
        <v>1</v>
      </c>
      <c r="AU57" s="361">
        <f t="shared" si="13"/>
        <v>1</v>
      </c>
      <c r="AV57" s="361">
        <f t="shared" si="14"/>
        <v>1</v>
      </c>
      <c r="AW57" s="361">
        <f t="shared" si="15"/>
        <v>1</v>
      </c>
      <c r="AX57" s="361">
        <f t="shared" si="16"/>
        <v>1</v>
      </c>
      <c r="AY57" s="361">
        <f t="shared" si="17"/>
        <v>1</v>
      </c>
      <c r="AZ57" s="361">
        <f t="shared" si="18"/>
        <v>1</v>
      </c>
      <c r="BA57" s="361">
        <f t="shared" si="19"/>
        <v>1</v>
      </c>
      <c r="BB57" s="361">
        <f t="shared" si="20"/>
        <v>1</v>
      </c>
      <c r="BC57" s="361">
        <f t="shared" si="21"/>
        <v>1</v>
      </c>
      <c r="BD57" s="361">
        <f t="shared" si="22"/>
        <v>1</v>
      </c>
      <c r="BE57" s="361">
        <f t="shared" si="23"/>
        <v>1</v>
      </c>
      <c r="BF57" s="361">
        <f t="shared" si="24"/>
        <v>1</v>
      </c>
      <c r="BG57" s="361">
        <f t="shared" si="25"/>
        <v>1</v>
      </c>
      <c r="BH57" s="361">
        <f t="shared" si="26"/>
        <v>1</v>
      </c>
      <c r="BI57" s="361">
        <f t="shared" si="27"/>
        <v>1</v>
      </c>
      <c r="BJ57" s="361">
        <f t="shared" si="28"/>
        <v>1</v>
      </c>
      <c r="BK57" s="361">
        <f t="shared" si="29"/>
        <v>1</v>
      </c>
      <c r="BL57" s="361">
        <f t="shared" si="30"/>
        <v>1</v>
      </c>
      <c r="BM57" s="361">
        <f t="shared" si="31"/>
        <v>1</v>
      </c>
      <c r="BN57" s="361">
        <f t="shared" si="32"/>
        <v>1</v>
      </c>
      <c r="BO57" s="361">
        <f t="shared" si="33"/>
        <v>1</v>
      </c>
      <c r="BP57" s="361">
        <f t="shared" si="34"/>
        <v>1</v>
      </c>
      <c r="BQ57" s="361">
        <f t="shared" si="35"/>
        <v>1</v>
      </c>
      <c r="BR57" s="361">
        <f t="shared" si="36"/>
        <v>1</v>
      </c>
      <c r="BS57" s="361">
        <f t="shared" si="37"/>
        <v>1</v>
      </c>
      <c r="BT57" s="361">
        <f t="shared" si="38"/>
        <v>1</v>
      </c>
      <c r="BU57" s="361">
        <f t="shared" si="39"/>
        <v>1</v>
      </c>
      <c r="BV57" s="361">
        <f t="shared" si="40"/>
        <v>1</v>
      </c>
      <c r="BW57" s="361">
        <f t="shared" si="41"/>
        <v>1</v>
      </c>
      <c r="BX57" s="361">
        <f t="shared" si="42"/>
        <v>1</v>
      </c>
      <c r="BY57" s="361">
        <f t="shared" si="43"/>
        <v>1</v>
      </c>
      <c r="BZ57" s="361">
        <f t="shared" si="44"/>
        <v>1</v>
      </c>
      <c r="CA57" s="361">
        <f t="shared" si="45"/>
        <v>1</v>
      </c>
      <c r="CB57" s="361">
        <f t="shared" si="46"/>
        <v>1</v>
      </c>
      <c r="CC57" s="361">
        <f t="shared" si="47"/>
        <v>1</v>
      </c>
      <c r="CH57" s="341">
        <f t="shared" si="59"/>
        <v>1</v>
      </c>
      <c r="CI57" s="341">
        <f t="shared" si="59"/>
        <v>2</v>
      </c>
      <c r="CJ57" s="341">
        <f t="shared" si="59"/>
        <v>3</v>
      </c>
      <c r="CK57" s="341">
        <f t="shared" si="59"/>
        <v>4</v>
      </c>
      <c r="CL57" s="341">
        <f t="shared" si="59"/>
        <v>5</v>
      </c>
      <c r="CM57" s="341">
        <f t="shared" si="59"/>
        <v>6</v>
      </c>
      <c r="CN57" s="341">
        <f t="shared" si="59"/>
        <v>7</v>
      </c>
      <c r="CO57" s="341">
        <f t="shared" si="59"/>
        <v>8</v>
      </c>
      <c r="CP57" s="341">
        <f t="shared" si="59"/>
        <v>9</v>
      </c>
      <c r="CQ57" s="341">
        <f t="shared" si="59"/>
        <v>10</v>
      </c>
      <c r="CT57" s="353"/>
      <c r="CU57" s="353"/>
      <c r="CV57" s="353"/>
      <c r="CW57" s="353" t="b">
        <f t="shared" si="49"/>
        <v>0</v>
      </c>
      <c r="CX57" s="353" t="b">
        <f t="shared" si="50"/>
        <v>0</v>
      </c>
      <c r="CY57" s="353" t="b">
        <f t="shared" si="51"/>
        <v>1</v>
      </c>
      <c r="DC57" s="347">
        <f t="shared" si="60"/>
        <v>1</v>
      </c>
      <c r="DD57" s="353" t="b">
        <f t="shared" si="52"/>
        <v>0</v>
      </c>
      <c r="DE57" s="353" t="b">
        <f t="shared" si="53"/>
        <v>0</v>
      </c>
      <c r="DF57" s="353" t="b">
        <f t="shared" si="54"/>
        <v>1</v>
      </c>
      <c r="DG57" s="353"/>
      <c r="DH57" s="353"/>
      <c r="DI57" s="353"/>
      <c r="DJ57" s="353"/>
      <c r="DK57" s="353">
        <f t="shared" si="61"/>
        <v>1</v>
      </c>
      <c r="DM57" s="341">
        <f t="shared" si="55"/>
        <v>0</v>
      </c>
    </row>
    <row r="58" spans="2:117" x14ac:dyDescent="0.25">
      <c r="B58" s="373">
        <f t="shared" si="56"/>
        <v>28</v>
      </c>
      <c r="C58" s="373"/>
      <c r="D58" s="373"/>
      <c r="E58" s="373"/>
      <c r="F58" s="374" t="s">
        <v>145</v>
      </c>
      <c r="G58" s="375">
        <v>1</v>
      </c>
      <c r="H58" s="375">
        <v>1</v>
      </c>
      <c r="I58" s="375">
        <v>1</v>
      </c>
      <c r="J58" s="375">
        <v>1</v>
      </c>
      <c r="K58" s="375">
        <v>1</v>
      </c>
      <c r="L58" s="375">
        <v>1</v>
      </c>
      <c r="M58" s="375">
        <v>1</v>
      </c>
      <c r="N58" s="375">
        <v>1</v>
      </c>
      <c r="O58" s="375">
        <v>1</v>
      </c>
      <c r="P58" s="375">
        <v>1</v>
      </c>
      <c r="Q58" s="375">
        <v>1</v>
      </c>
      <c r="R58" s="375">
        <v>1</v>
      </c>
      <c r="S58" s="375">
        <v>0</v>
      </c>
      <c r="T58" s="376">
        <v>1</v>
      </c>
      <c r="U58" s="376">
        <v>1</v>
      </c>
      <c r="V58" s="376">
        <v>1</v>
      </c>
      <c r="W58" s="376">
        <v>1</v>
      </c>
      <c r="X58" s="376">
        <v>1</v>
      </c>
      <c r="Y58" s="376">
        <v>1</v>
      </c>
      <c r="Z58" s="376">
        <f t="shared" si="8"/>
        <v>1</v>
      </c>
      <c r="AA58" s="376">
        <v>1</v>
      </c>
      <c r="AB58" s="376"/>
      <c r="AC58" s="376"/>
      <c r="AD58" s="376"/>
      <c r="AE58" s="376"/>
      <c r="AF58" s="376">
        <f t="shared" si="9"/>
        <v>0</v>
      </c>
      <c r="AG58" s="376">
        <v>1</v>
      </c>
      <c r="AH58" s="376">
        <f t="shared" si="10"/>
        <v>1</v>
      </c>
      <c r="AI58" s="376"/>
      <c r="AJ58" s="376"/>
      <c r="AK58" s="373">
        <f t="shared" si="11"/>
        <v>1</v>
      </c>
      <c r="AL58" s="373"/>
      <c r="AM58" s="373"/>
      <c r="AN58" s="373"/>
      <c r="AO58" s="373"/>
      <c r="AP58" s="377">
        <f t="shared" si="57"/>
        <v>1</v>
      </c>
      <c r="AQ58" s="378"/>
      <c r="AR58" s="341">
        <f t="shared" si="12"/>
        <v>1</v>
      </c>
      <c r="AS58" s="341">
        <f t="shared" si="58"/>
        <v>0</v>
      </c>
      <c r="AT58" s="341">
        <f t="shared" si="58"/>
        <v>1</v>
      </c>
      <c r="AU58" s="361">
        <f t="shared" si="13"/>
        <v>1</v>
      </c>
      <c r="AV58" s="361">
        <f t="shared" si="14"/>
        <v>1</v>
      </c>
      <c r="AW58" s="361">
        <f t="shared" si="15"/>
        <v>1</v>
      </c>
      <c r="AX58" s="361">
        <f t="shared" si="16"/>
        <v>1</v>
      </c>
      <c r="AY58" s="361">
        <f t="shared" si="17"/>
        <v>1</v>
      </c>
      <c r="AZ58" s="361">
        <f t="shared" si="18"/>
        <v>1</v>
      </c>
      <c r="BA58" s="361">
        <f t="shared" si="19"/>
        <v>1</v>
      </c>
      <c r="BB58" s="361">
        <f t="shared" si="20"/>
        <v>1</v>
      </c>
      <c r="BC58" s="361">
        <f t="shared" si="21"/>
        <v>1</v>
      </c>
      <c r="BD58" s="361">
        <f t="shared" si="22"/>
        <v>1</v>
      </c>
      <c r="BE58" s="361">
        <f t="shared" si="23"/>
        <v>1</v>
      </c>
      <c r="BF58" s="361">
        <f t="shared" si="24"/>
        <v>1</v>
      </c>
      <c r="BG58" s="361">
        <f t="shared" si="25"/>
        <v>1</v>
      </c>
      <c r="BH58" s="361">
        <f t="shared" si="26"/>
        <v>1</v>
      </c>
      <c r="BI58" s="361">
        <f t="shared" si="27"/>
        <v>1</v>
      </c>
      <c r="BJ58" s="361">
        <f t="shared" si="28"/>
        <v>1</v>
      </c>
      <c r="BK58" s="361">
        <f t="shared" si="29"/>
        <v>1</v>
      </c>
      <c r="BL58" s="361">
        <f t="shared" si="30"/>
        <v>1</v>
      </c>
      <c r="BM58" s="361">
        <f t="shared" si="31"/>
        <v>1</v>
      </c>
      <c r="BN58" s="361">
        <f t="shared" si="32"/>
        <v>1</v>
      </c>
      <c r="BO58" s="361">
        <f t="shared" si="33"/>
        <v>1</v>
      </c>
      <c r="BP58" s="361">
        <f t="shared" si="34"/>
        <v>1</v>
      </c>
      <c r="BQ58" s="361">
        <f t="shared" si="35"/>
        <v>1</v>
      </c>
      <c r="BR58" s="361">
        <f t="shared" si="36"/>
        <v>1</v>
      </c>
      <c r="BS58" s="361">
        <f t="shared" si="37"/>
        <v>1</v>
      </c>
      <c r="BT58" s="361">
        <f t="shared" si="38"/>
        <v>1</v>
      </c>
      <c r="BU58" s="361">
        <f t="shared" si="39"/>
        <v>1</v>
      </c>
      <c r="BV58" s="361">
        <f t="shared" si="40"/>
        <v>1</v>
      </c>
      <c r="BW58" s="361">
        <f t="shared" si="41"/>
        <v>1</v>
      </c>
      <c r="BX58" s="361">
        <f t="shared" si="42"/>
        <v>1</v>
      </c>
      <c r="BY58" s="361">
        <f t="shared" si="43"/>
        <v>1</v>
      </c>
      <c r="BZ58" s="361">
        <f t="shared" si="44"/>
        <v>1</v>
      </c>
      <c r="CA58" s="361">
        <f t="shared" si="45"/>
        <v>1</v>
      </c>
      <c r="CB58" s="361">
        <f t="shared" si="46"/>
        <v>1</v>
      </c>
      <c r="CC58" s="361">
        <f t="shared" si="47"/>
        <v>1</v>
      </c>
      <c r="CH58" s="341">
        <f t="shared" si="59"/>
        <v>1</v>
      </c>
      <c r="CI58" s="341">
        <f t="shared" si="59"/>
        <v>2</v>
      </c>
      <c r="CJ58" s="341">
        <f t="shared" si="59"/>
        <v>3</v>
      </c>
      <c r="CK58" s="341">
        <f t="shared" si="59"/>
        <v>4</v>
      </c>
      <c r="CL58" s="341">
        <f t="shared" si="59"/>
        <v>5</v>
      </c>
      <c r="CM58" s="341">
        <f t="shared" si="59"/>
        <v>6</v>
      </c>
      <c r="CN58" s="341">
        <f t="shared" si="59"/>
        <v>7</v>
      </c>
      <c r="CO58" s="341">
        <f t="shared" si="59"/>
        <v>8</v>
      </c>
      <c r="CP58" s="341">
        <f t="shared" si="59"/>
        <v>9</v>
      </c>
      <c r="CQ58" s="341">
        <f t="shared" si="59"/>
        <v>10</v>
      </c>
      <c r="CT58" s="353"/>
      <c r="CU58" s="353"/>
      <c r="CV58" s="353"/>
      <c r="CW58" s="353" t="b">
        <f t="shared" si="49"/>
        <v>1</v>
      </c>
      <c r="CX58" s="353" t="b">
        <f t="shared" si="50"/>
        <v>0</v>
      </c>
      <c r="CY58" s="353" t="b">
        <f t="shared" si="51"/>
        <v>1</v>
      </c>
      <c r="DC58" s="347">
        <f t="shared" si="60"/>
        <v>2</v>
      </c>
      <c r="DD58" s="353" t="b">
        <f t="shared" si="52"/>
        <v>1</v>
      </c>
      <c r="DE58" s="353" t="b">
        <f t="shared" si="53"/>
        <v>0</v>
      </c>
      <c r="DF58" s="353" t="b">
        <f t="shared" si="54"/>
        <v>1</v>
      </c>
      <c r="DG58" s="353"/>
      <c r="DH58" s="353"/>
      <c r="DI58" s="353"/>
      <c r="DJ58" s="353"/>
      <c r="DK58" s="353">
        <f t="shared" si="61"/>
        <v>2</v>
      </c>
      <c r="DM58" s="341">
        <f t="shared" si="55"/>
        <v>0</v>
      </c>
    </row>
    <row r="59" spans="2:117" x14ac:dyDescent="0.25">
      <c r="B59" s="373">
        <f t="shared" si="56"/>
        <v>29</v>
      </c>
      <c r="C59" s="373"/>
      <c r="D59" s="373"/>
      <c r="E59" s="373"/>
      <c r="F59" s="374" t="s">
        <v>146</v>
      </c>
      <c r="G59" s="375">
        <v>1</v>
      </c>
      <c r="H59" s="375">
        <v>1</v>
      </c>
      <c r="I59" s="375">
        <v>1</v>
      </c>
      <c r="J59" s="375">
        <v>1</v>
      </c>
      <c r="K59" s="375">
        <v>1</v>
      </c>
      <c r="L59" s="375">
        <v>1</v>
      </c>
      <c r="M59" s="375">
        <v>1</v>
      </c>
      <c r="N59" s="375">
        <v>1</v>
      </c>
      <c r="O59" s="375">
        <v>1</v>
      </c>
      <c r="P59" s="375">
        <v>1</v>
      </c>
      <c r="Q59" s="375">
        <v>1</v>
      </c>
      <c r="R59" s="375">
        <v>1</v>
      </c>
      <c r="S59" s="375">
        <v>1</v>
      </c>
      <c r="T59" s="376">
        <v>0</v>
      </c>
      <c r="U59" s="376">
        <v>0</v>
      </c>
      <c r="V59" s="376">
        <v>0</v>
      </c>
      <c r="W59" s="376">
        <v>0</v>
      </c>
      <c r="X59" s="376">
        <v>0</v>
      </c>
      <c r="Y59" s="376">
        <v>0</v>
      </c>
      <c r="Z59" s="376">
        <f t="shared" si="8"/>
        <v>1</v>
      </c>
      <c r="AA59" s="376">
        <v>1</v>
      </c>
      <c r="AB59" s="376"/>
      <c r="AC59" s="376"/>
      <c r="AD59" s="376"/>
      <c r="AE59" s="376"/>
      <c r="AF59" s="376">
        <f t="shared" si="9"/>
        <v>0</v>
      </c>
      <c r="AG59" s="376">
        <v>1</v>
      </c>
      <c r="AH59" s="376">
        <f t="shared" si="10"/>
        <v>1</v>
      </c>
      <c r="AI59" s="376"/>
      <c r="AJ59" s="376"/>
      <c r="AK59" s="373">
        <f t="shared" si="11"/>
        <v>1</v>
      </c>
      <c r="AL59" s="373"/>
      <c r="AM59" s="373"/>
      <c r="AN59" s="373"/>
      <c r="AO59" s="373"/>
      <c r="AP59" s="377">
        <f t="shared" si="57"/>
        <v>1</v>
      </c>
      <c r="AQ59" s="378"/>
      <c r="AR59" s="341">
        <f t="shared" si="12"/>
        <v>1</v>
      </c>
      <c r="AS59" s="341">
        <f t="shared" si="58"/>
        <v>0</v>
      </c>
      <c r="AT59" s="341">
        <f t="shared" si="58"/>
        <v>1</v>
      </c>
      <c r="AU59" s="361">
        <f t="shared" si="13"/>
        <v>1</v>
      </c>
      <c r="AV59" s="361">
        <f t="shared" si="14"/>
        <v>1</v>
      </c>
      <c r="AW59" s="361">
        <f t="shared" si="15"/>
        <v>1</v>
      </c>
      <c r="AX59" s="361">
        <f t="shared" si="16"/>
        <v>1</v>
      </c>
      <c r="AY59" s="361">
        <f t="shared" si="17"/>
        <v>1</v>
      </c>
      <c r="AZ59" s="361">
        <f t="shared" si="18"/>
        <v>1</v>
      </c>
      <c r="BA59" s="361">
        <f t="shared" si="19"/>
        <v>1</v>
      </c>
      <c r="BB59" s="361">
        <f t="shared" si="20"/>
        <v>1</v>
      </c>
      <c r="BC59" s="361">
        <f t="shared" si="21"/>
        <v>1</v>
      </c>
      <c r="BD59" s="361">
        <f t="shared" si="22"/>
        <v>1</v>
      </c>
      <c r="BE59" s="361">
        <f t="shared" si="23"/>
        <v>1</v>
      </c>
      <c r="BF59" s="361">
        <f t="shared" si="24"/>
        <v>1</v>
      </c>
      <c r="BG59" s="361">
        <f t="shared" si="25"/>
        <v>1</v>
      </c>
      <c r="BH59" s="361">
        <f t="shared" si="26"/>
        <v>1</v>
      </c>
      <c r="BI59" s="361">
        <f t="shared" si="27"/>
        <v>1</v>
      </c>
      <c r="BJ59" s="361">
        <f t="shared" si="28"/>
        <v>1</v>
      </c>
      <c r="BK59" s="361">
        <f t="shared" si="29"/>
        <v>1</v>
      </c>
      <c r="BL59" s="361">
        <f t="shared" si="30"/>
        <v>1</v>
      </c>
      <c r="BM59" s="361">
        <f t="shared" si="31"/>
        <v>1</v>
      </c>
      <c r="BN59" s="361">
        <f t="shared" si="32"/>
        <v>1</v>
      </c>
      <c r="BO59" s="361">
        <f t="shared" si="33"/>
        <v>1</v>
      </c>
      <c r="BP59" s="361">
        <f t="shared" si="34"/>
        <v>1</v>
      </c>
      <c r="BQ59" s="361">
        <f t="shared" si="35"/>
        <v>1</v>
      </c>
      <c r="BR59" s="361">
        <f t="shared" si="36"/>
        <v>1</v>
      </c>
      <c r="BS59" s="361">
        <f t="shared" si="37"/>
        <v>1</v>
      </c>
      <c r="BT59" s="361">
        <f t="shared" si="38"/>
        <v>1</v>
      </c>
      <c r="BU59" s="361">
        <f t="shared" si="39"/>
        <v>1</v>
      </c>
      <c r="BV59" s="361">
        <f t="shared" si="40"/>
        <v>1</v>
      </c>
      <c r="BW59" s="361">
        <f t="shared" si="41"/>
        <v>1</v>
      </c>
      <c r="BX59" s="361">
        <f t="shared" si="42"/>
        <v>1</v>
      </c>
      <c r="BY59" s="361">
        <f t="shared" si="43"/>
        <v>1</v>
      </c>
      <c r="BZ59" s="361">
        <f t="shared" si="44"/>
        <v>1</v>
      </c>
      <c r="CA59" s="361">
        <f t="shared" si="45"/>
        <v>1</v>
      </c>
      <c r="CB59" s="361">
        <f t="shared" si="46"/>
        <v>1</v>
      </c>
      <c r="CC59" s="361">
        <f t="shared" si="47"/>
        <v>1</v>
      </c>
      <c r="CH59" s="341">
        <f t="shared" si="59"/>
        <v>1</v>
      </c>
      <c r="CI59" s="341">
        <f t="shared" si="59"/>
        <v>2</v>
      </c>
      <c r="CJ59" s="341">
        <f t="shared" si="59"/>
        <v>3</v>
      </c>
      <c r="CK59" s="341">
        <f t="shared" si="59"/>
        <v>4</v>
      </c>
      <c r="CL59" s="341">
        <f t="shared" si="59"/>
        <v>5</v>
      </c>
      <c r="CM59" s="341">
        <f t="shared" si="59"/>
        <v>6</v>
      </c>
      <c r="CN59" s="341">
        <f t="shared" si="59"/>
        <v>7</v>
      </c>
      <c r="CO59" s="341">
        <f t="shared" si="59"/>
        <v>8</v>
      </c>
      <c r="CP59" s="341">
        <f t="shared" si="59"/>
        <v>9</v>
      </c>
      <c r="CQ59" s="341">
        <f t="shared" si="59"/>
        <v>10</v>
      </c>
      <c r="CT59" s="353"/>
      <c r="CU59" s="353"/>
      <c r="CV59" s="353"/>
      <c r="CW59" s="353" t="b">
        <f t="shared" si="49"/>
        <v>0</v>
      </c>
      <c r="CX59" s="353" t="b">
        <f t="shared" si="50"/>
        <v>0</v>
      </c>
      <c r="CY59" s="353" t="b">
        <f t="shared" si="51"/>
        <v>1</v>
      </c>
      <c r="DC59" s="347">
        <f t="shared" si="60"/>
        <v>1</v>
      </c>
      <c r="DD59" s="353" t="b">
        <f t="shared" si="52"/>
        <v>0</v>
      </c>
      <c r="DE59" s="353" t="b">
        <f t="shared" si="53"/>
        <v>0</v>
      </c>
      <c r="DF59" s="353" t="b">
        <f t="shared" si="54"/>
        <v>1</v>
      </c>
      <c r="DG59" s="353"/>
      <c r="DH59" s="353"/>
      <c r="DI59" s="353"/>
      <c r="DJ59" s="353"/>
      <c r="DK59" s="353">
        <f t="shared" si="61"/>
        <v>1</v>
      </c>
      <c r="DM59" s="341">
        <f t="shared" si="55"/>
        <v>0</v>
      </c>
    </row>
    <row r="60" spans="2:117" x14ac:dyDescent="0.25">
      <c r="B60" s="373">
        <f t="shared" si="56"/>
        <v>30</v>
      </c>
      <c r="C60" s="373"/>
      <c r="D60" s="373"/>
      <c r="E60" s="373"/>
      <c r="F60" s="374" t="s">
        <v>522</v>
      </c>
      <c r="G60" s="375">
        <v>1</v>
      </c>
      <c r="H60" s="375">
        <v>1</v>
      </c>
      <c r="I60" s="375">
        <v>1</v>
      </c>
      <c r="J60" s="375">
        <v>1</v>
      </c>
      <c r="K60" s="375">
        <v>1</v>
      </c>
      <c r="L60" s="375">
        <v>1</v>
      </c>
      <c r="M60" s="375">
        <v>1</v>
      </c>
      <c r="N60" s="375">
        <v>1</v>
      </c>
      <c r="O60" s="375">
        <v>1</v>
      </c>
      <c r="P60" s="375">
        <v>1</v>
      </c>
      <c r="Q60" s="375">
        <v>1</v>
      </c>
      <c r="R60" s="375">
        <v>1</v>
      </c>
      <c r="S60" s="375">
        <v>0</v>
      </c>
      <c r="T60" s="376">
        <v>1</v>
      </c>
      <c r="U60" s="376">
        <v>1</v>
      </c>
      <c r="V60" s="376">
        <v>1</v>
      </c>
      <c r="W60" s="376">
        <v>1</v>
      </c>
      <c r="X60" s="376">
        <v>1</v>
      </c>
      <c r="Y60" s="376">
        <v>1</v>
      </c>
      <c r="Z60" s="376">
        <f t="shared" si="8"/>
        <v>1</v>
      </c>
      <c r="AA60" s="376">
        <v>0</v>
      </c>
      <c r="AB60" s="376" t="s">
        <v>418</v>
      </c>
      <c r="AC60" s="376">
        <v>1</v>
      </c>
      <c r="AD60" s="376">
        <v>1</v>
      </c>
      <c r="AE60" s="376">
        <v>1</v>
      </c>
      <c r="AF60" s="376">
        <f t="shared" si="9"/>
        <v>0</v>
      </c>
      <c r="AG60" s="376">
        <v>1</v>
      </c>
      <c r="AH60" s="376">
        <f t="shared" si="10"/>
        <v>1</v>
      </c>
      <c r="AI60" s="376"/>
      <c r="AJ60" s="376"/>
      <c r="AK60" s="373">
        <f t="shared" si="11"/>
        <v>1</v>
      </c>
      <c r="AL60" s="373"/>
      <c r="AM60" s="373"/>
      <c r="AN60" s="373"/>
      <c r="AO60" s="373"/>
      <c r="AP60" s="377">
        <f t="shared" si="57"/>
        <v>1</v>
      </c>
      <c r="AQ60" s="378"/>
      <c r="AR60" s="341">
        <f t="shared" si="12"/>
        <v>1</v>
      </c>
      <c r="AS60" s="341">
        <f t="shared" si="58"/>
        <v>0</v>
      </c>
      <c r="AT60" s="341">
        <f t="shared" si="58"/>
        <v>1</v>
      </c>
      <c r="AU60" s="361">
        <f t="shared" si="13"/>
        <v>1</v>
      </c>
      <c r="AV60" s="361">
        <f t="shared" si="14"/>
        <v>1</v>
      </c>
      <c r="AW60" s="361">
        <f t="shared" si="15"/>
        <v>1</v>
      </c>
      <c r="AX60" s="361">
        <f t="shared" si="16"/>
        <v>1</v>
      </c>
      <c r="AY60" s="361">
        <f t="shared" si="17"/>
        <v>1</v>
      </c>
      <c r="AZ60" s="361">
        <f t="shared" si="18"/>
        <v>1</v>
      </c>
      <c r="BA60" s="361">
        <f t="shared" si="19"/>
        <v>1</v>
      </c>
      <c r="BB60" s="361">
        <f t="shared" si="20"/>
        <v>1</v>
      </c>
      <c r="BC60" s="361">
        <f t="shared" si="21"/>
        <v>1</v>
      </c>
      <c r="BD60" s="361">
        <f t="shared" si="22"/>
        <v>1</v>
      </c>
      <c r="BE60" s="361">
        <f t="shared" si="23"/>
        <v>1</v>
      </c>
      <c r="BF60" s="361">
        <f t="shared" si="24"/>
        <v>1</v>
      </c>
      <c r="BG60" s="361">
        <f t="shared" si="25"/>
        <v>1</v>
      </c>
      <c r="BH60" s="361">
        <f t="shared" si="26"/>
        <v>1</v>
      </c>
      <c r="BI60" s="361">
        <f t="shared" si="27"/>
        <v>1</v>
      </c>
      <c r="BJ60" s="361">
        <f t="shared" si="28"/>
        <v>1</v>
      </c>
      <c r="BK60" s="361">
        <f t="shared" si="29"/>
        <v>1</v>
      </c>
      <c r="BL60" s="361">
        <f t="shared" si="30"/>
        <v>1</v>
      </c>
      <c r="BM60" s="361">
        <f t="shared" si="31"/>
        <v>1</v>
      </c>
      <c r="BN60" s="361">
        <f t="shared" si="32"/>
        <v>1</v>
      </c>
      <c r="BO60" s="361">
        <f t="shared" si="33"/>
        <v>1</v>
      </c>
      <c r="BP60" s="361">
        <f t="shared" si="34"/>
        <v>1</v>
      </c>
      <c r="BQ60" s="361">
        <f t="shared" si="35"/>
        <v>1</v>
      </c>
      <c r="BR60" s="361">
        <f t="shared" si="36"/>
        <v>1</v>
      </c>
      <c r="BS60" s="361">
        <f t="shared" si="37"/>
        <v>1</v>
      </c>
      <c r="BT60" s="361">
        <f t="shared" si="38"/>
        <v>1</v>
      </c>
      <c r="BU60" s="361">
        <f t="shared" si="39"/>
        <v>1</v>
      </c>
      <c r="BV60" s="361">
        <f t="shared" si="40"/>
        <v>1</v>
      </c>
      <c r="BW60" s="361">
        <f t="shared" si="41"/>
        <v>1</v>
      </c>
      <c r="BX60" s="361">
        <f t="shared" si="42"/>
        <v>1</v>
      </c>
      <c r="BY60" s="361">
        <f t="shared" si="43"/>
        <v>1</v>
      </c>
      <c r="BZ60" s="361">
        <f t="shared" si="44"/>
        <v>1</v>
      </c>
      <c r="CA60" s="361">
        <f t="shared" si="45"/>
        <v>1</v>
      </c>
      <c r="CB60" s="361">
        <f t="shared" si="46"/>
        <v>1</v>
      </c>
      <c r="CC60" s="361">
        <f t="shared" si="47"/>
        <v>1</v>
      </c>
      <c r="CH60" s="341">
        <f t="shared" si="59"/>
        <v>1</v>
      </c>
      <c r="CI60" s="341">
        <f t="shared" si="59"/>
        <v>2</v>
      </c>
      <c r="CJ60" s="341">
        <f t="shared" si="59"/>
        <v>3</v>
      </c>
      <c r="CK60" s="341">
        <f t="shared" si="59"/>
        <v>4</v>
      </c>
      <c r="CL60" s="341">
        <f t="shared" si="59"/>
        <v>5</v>
      </c>
      <c r="CM60" s="341">
        <f t="shared" si="59"/>
        <v>6</v>
      </c>
      <c r="CN60" s="341">
        <f t="shared" si="59"/>
        <v>7</v>
      </c>
      <c r="CO60" s="341">
        <f t="shared" si="59"/>
        <v>8</v>
      </c>
      <c r="CP60" s="341">
        <f t="shared" si="59"/>
        <v>9</v>
      </c>
      <c r="CQ60" s="341">
        <f t="shared" si="59"/>
        <v>10</v>
      </c>
      <c r="CT60" s="353"/>
      <c r="CU60" s="353"/>
      <c r="CV60" s="353"/>
      <c r="CW60" s="353" t="b">
        <f t="shared" si="49"/>
        <v>1</v>
      </c>
      <c r="CX60" s="353" t="b">
        <f t="shared" si="50"/>
        <v>0</v>
      </c>
      <c r="CY60" s="353" t="b">
        <f t="shared" si="51"/>
        <v>1</v>
      </c>
      <c r="DC60" s="347">
        <f t="shared" si="60"/>
        <v>2</v>
      </c>
      <c r="DD60" s="353" t="b">
        <f t="shared" si="52"/>
        <v>1</v>
      </c>
      <c r="DE60" s="353" t="b">
        <f t="shared" si="53"/>
        <v>0</v>
      </c>
      <c r="DF60" s="353" t="b">
        <f t="shared" si="54"/>
        <v>1</v>
      </c>
      <c r="DG60" s="353"/>
      <c r="DH60" s="353"/>
      <c r="DI60" s="353"/>
      <c r="DJ60" s="353"/>
      <c r="DK60" s="353">
        <f t="shared" si="61"/>
        <v>2</v>
      </c>
      <c r="DM60" s="341">
        <f t="shared" si="55"/>
        <v>0</v>
      </c>
    </row>
    <row r="61" spans="2:117" x14ac:dyDescent="0.25">
      <c r="B61" s="373">
        <f t="shared" si="56"/>
        <v>31</v>
      </c>
      <c r="C61" s="373"/>
      <c r="D61" s="373"/>
      <c r="E61" s="373"/>
      <c r="F61" s="374" t="s">
        <v>523</v>
      </c>
      <c r="G61" s="375">
        <v>1</v>
      </c>
      <c r="H61" s="375">
        <v>1</v>
      </c>
      <c r="I61" s="375">
        <v>1</v>
      </c>
      <c r="J61" s="375">
        <v>1</v>
      </c>
      <c r="K61" s="375">
        <v>1</v>
      </c>
      <c r="L61" s="375">
        <v>1</v>
      </c>
      <c r="M61" s="375">
        <v>1</v>
      </c>
      <c r="N61" s="375">
        <v>1</v>
      </c>
      <c r="O61" s="375">
        <v>1</v>
      </c>
      <c r="P61" s="375">
        <v>1</v>
      </c>
      <c r="Q61" s="375">
        <v>1</v>
      </c>
      <c r="R61" s="375">
        <v>1</v>
      </c>
      <c r="S61" s="375">
        <v>0</v>
      </c>
      <c r="T61" s="376">
        <v>1</v>
      </c>
      <c r="U61" s="376">
        <v>1</v>
      </c>
      <c r="V61" s="376">
        <v>1</v>
      </c>
      <c r="W61" s="376">
        <v>1</v>
      </c>
      <c r="X61" s="376">
        <v>1</v>
      </c>
      <c r="Y61" s="376">
        <v>1</v>
      </c>
      <c r="Z61" s="376">
        <f t="shared" si="8"/>
        <v>1</v>
      </c>
      <c r="AA61" s="376">
        <v>0</v>
      </c>
      <c r="AB61" s="376" t="s">
        <v>418</v>
      </c>
      <c r="AC61" s="376">
        <v>1</v>
      </c>
      <c r="AD61" s="376">
        <v>1</v>
      </c>
      <c r="AE61" s="376">
        <v>1</v>
      </c>
      <c r="AF61" s="376">
        <f t="shared" si="9"/>
        <v>0</v>
      </c>
      <c r="AG61" s="376">
        <v>1</v>
      </c>
      <c r="AH61" s="376">
        <f t="shared" si="10"/>
        <v>1</v>
      </c>
      <c r="AI61" s="376"/>
      <c r="AJ61" s="376"/>
      <c r="AK61" s="373">
        <f t="shared" si="11"/>
        <v>1</v>
      </c>
      <c r="AL61" s="373"/>
      <c r="AM61" s="373"/>
      <c r="AN61" s="373"/>
      <c r="AO61" s="373"/>
      <c r="AP61" s="377">
        <f t="shared" si="57"/>
        <v>1</v>
      </c>
      <c r="AQ61" s="378"/>
      <c r="AR61" s="341">
        <f t="shared" si="12"/>
        <v>1</v>
      </c>
      <c r="AS61" s="341">
        <f t="shared" si="58"/>
        <v>0</v>
      </c>
      <c r="AT61" s="341">
        <f t="shared" si="58"/>
        <v>1</v>
      </c>
      <c r="AU61" s="361">
        <f t="shared" si="13"/>
        <v>1</v>
      </c>
      <c r="AV61" s="361">
        <f t="shared" si="14"/>
        <v>1</v>
      </c>
      <c r="AW61" s="361">
        <f t="shared" si="15"/>
        <v>1</v>
      </c>
      <c r="AX61" s="361">
        <f t="shared" si="16"/>
        <v>1</v>
      </c>
      <c r="AY61" s="361">
        <f t="shared" si="17"/>
        <v>1</v>
      </c>
      <c r="AZ61" s="361">
        <f t="shared" si="18"/>
        <v>1</v>
      </c>
      <c r="BA61" s="361">
        <f t="shared" si="19"/>
        <v>1</v>
      </c>
      <c r="BB61" s="361">
        <f t="shared" si="20"/>
        <v>1</v>
      </c>
      <c r="BC61" s="361">
        <f t="shared" si="21"/>
        <v>1</v>
      </c>
      <c r="BD61" s="361">
        <f t="shared" si="22"/>
        <v>1</v>
      </c>
      <c r="BE61" s="361">
        <f t="shared" si="23"/>
        <v>1</v>
      </c>
      <c r="BF61" s="361">
        <f t="shared" si="24"/>
        <v>1</v>
      </c>
      <c r="BG61" s="361">
        <f t="shared" si="25"/>
        <v>1</v>
      </c>
      <c r="BH61" s="361">
        <f t="shared" si="26"/>
        <v>1</v>
      </c>
      <c r="BI61" s="361">
        <f t="shared" si="27"/>
        <v>1</v>
      </c>
      <c r="BJ61" s="361">
        <f t="shared" si="28"/>
        <v>1</v>
      </c>
      <c r="BK61" s="361">
        <f t="shared" si="29"/>
        <v>1</v>
      </c>
      <c r="BL61" s="361">
        <f t="shared" si="30"/>
        <v>1</v>
      </c>
      <c r="BM61" s="361">
        <f t="shared" si="31"/>
        <v>1</v>
      </c>
      <c r="BN61" s="361">
        <f t="shared" si="32"/>
        <v>1</v>
      </c>
      <c r="BO61" s="361">
        <f t="shared" si="33"/>
        <v>1</v>
      </c>
      <c r="BP61" s="361">
        <f t="shared" si="34"/>
        <v>1</v>
      </c>
      <c r="BQ61" s="361">
        <f t="shared" si="35"/>
        <v>1</v>
      </c>
      <c r="BR61" s="361">
        <f t="shared" si="36"/>
        <v>1</v>
      </c>
      <c r="BS61" s="361">
        <f t="shared" si="37"/>
        <v>1</v>
      </c>
      <c r="BT61" s="361">
        <f t="shared" si="38"/>
        <v>1</v>
      </c>
      <c r="BU61" s="361">
        <f t="shared" si="39"/>
        <v>1</v>
      </c>
      <c r="BV61" s="361">
        <f t="shared" si="40"/>
        <v>1</v>
      </c>
      <c r="BW61" s="361">
        <f t="shared" si="41"/>
        <v>1</v>
      </c>
      <c r="BX61" s="361">
        <f t="shared" si="42"/>
        <v>1</v>
      </c>
      <c r="BY61" s="361">
        <f t="shared" si="43"/>
        <v>1</v>
      </c>
      <c r="BZ61" s="361">
        <f t="shared" si="44"/>
        <v>1</v>
      </c>
      <c r="CA61" s="361">
        <f t="shared" si="45"/>
        <v>1</v>
      </c>
      <c r="CB61" s="361">
        <f t="shared" si="46"/>
        <v>1</v>
      </c>
      <c r="CC61" s="361">
        <f t="shared" si="47"/>
        <v>1</v>
      </c>
      <c r="CH61" s="341">
        <f t="shared" si="59"/>
        <v>1</v>
      </c>
      <c r="CI61" s="341">
        <f t="shared" si="59"/>
        <v>2</v>
      </c>
      <c r="CJ61" s="341">
        <f t="shared" si="59"/>
        <v>3</v>
      </c>
      <c r="CK61" s="341">
        <f t="shared" si="59"/>
        <v>4</v>
      </c>
      <c r="CL61" s="341">
        <f t="shared" si="59"/>
        <v>5</v>
      </c>
      <c r="CM61" s="341">
        <f t="shared" si="59"/>
        <v>6</v>
      </c>
      <c r="CN61" s="341">
        <f t="shared" si="59"/>
        <v>7</v>
      </c>
      <c r="CO61" s="341">
        <f t="shared" si="59"/>
        <v>8</v>
      </c>
      <c r="CP61" s="341">
        <f t="shared" si="59"/>
        <v>9</v>
      </c>
      <c r="CQ61" s="341">
        <f t="shared" si="59"/>
        <v>10</v>
      </c>
      <c r="CT61" s="353"/>
      <c r="CU61" s="353"/>
      <c r="CV61" s="353"/>
      <c r="CW61" s="353" t="b">
        <f t="shared" si="49"/>
        <v>1</v>
      </c>
      <c r="CX61" s="353" t="b">
        <f t="shared" si="50"/>
        <v>0</v>
      </c>
      <c r="CY61" s="353" t="b">
        <f t="shared" si="51"/>
        <v>1</v>
      </c>
      <c r="DC61" s="347">
        <f t="shared" si="60"/>
        <v>2</v>
      </c>
      <c r="DD61" s="353" t="b">
        <f t="shared" si="52"/>
        <v>1</v>
      </c>
      <c r="DE61" s="353" t="b">
        <f t="shared" si="53"/>
        <v>0</v>
      </c>
      <c r="DF61" s="353" t="b">
        <f t="shared" si="54"/>
        <v>1</v>
      </c>
      <c r="DG61" s="353"/>
      <c r="DH61" s="353"/>
      <c r="DI61" s="353"/>
      <c r="DJ61" s="353"/>
      <c r="DK61" s="353">
        <f t="shared" si="61"/>
        <v>2</v>
      </c>
      <c r="DM61" s="341">
        <f t="shared" si="55"/>
        <v>0</v>
      </c>
    </row>
    <row r="62" spans="2:117" x14ac:dyDescent="0.25">
      <c r="B62" s="373">
        <f t="shared" si="56"/>
        <v>32</v>
      </c>
      <c r="C62" s="373"/>
      <c r="D62" s="373"/>
      <c r="E62" s="373"/>
      <c r="F62" s="374" t="s">
        <v>524</v>
      </c>
      <c r="G62" s="375">
        <v>1</v>
      </c>
      <c r="H62" s="375">
        <v>1</v>
      </c>
      <c r="I62" s="375">
        <v>1</v>
      </c>
      <c r="J62" s="375">
        <v>1</v>
      </c>
      <c r="K62" s="375">
        <v>1</v>
      </c>
      <c r="L62" s="375">
        <v>1</v>
      </c>
      <c r="M62" s="375">
        <v>1</v>
      </c>
      <c r="N62" s="375">
        <v>1</v>
      </c>
      <c r="O62" s="375">
        <v>1</v>
      </c>
      <c r="P62" s="375">
        <v>1</v>
      </c>
      <c r="Q62" s="375">
        <v>1</v>
      </c>
      <c r="R62" s="375">
        <v>1</v>
      </c>
      <c r="S62" s="375">
        <v>0</v>
      </c>
      <c r="T62" s="375">
        <v>1</v>
      </c>
      <c r="U62" s="376">
        <v>1</v>
      </c>
      <c r="V62" s="376">
        <v>1</v>
      </c>
      <c r="W62" s="376">
        <v>1</v>
      </c>
      <c r="X62" s="376">
        <v>1</v>
      </c>
      <c r="Y62" s="376">
        <v>1</v>
      </c>
      <c r="Z62" s="376">
        <f t="shared" si="8"/>
        <v>1</v>
      </c>
      <c r="AA62" s="376">
        <v>1</v>
      </c>
      <c r="AB62" s="376" t="s">
        <v>418</v>
      </c>
      <c r="AC62" s="376">
        <v>1</v>
      </c>
      <c r="AD62" s="376">
        <v>1</v>
      </c>
      <c r="AE62" s="376">
        <v>1</v>
      </c>
      <c r="AF62" s="376">
        <f t="shared" si="9"/>
        <v>0</v>
      </c>
      <c r="AG62" s="376">
        <v>1</v>
      </c>
      <c r="AH62" s="376">
        <f t="shared" si="10"/>
        <v>1</v>
      </c>
      <c r="AI62" s="376"/>
      <c r="AJ62" s="376"/>
      <c r="AK62" s="373">
        <f t="shared" si="11"/>
        <v>1</v>
      </c>
      <c r="AL62" s="373"/>
      <c r="AM62" s="373"/>
      <c r="AN62" s="373"/>
      <c r="AO62" s="373"/>
      <c r="AP62" s="377">
        <f t="shared" si="57"/>
        <v>1</v>
      </c>
      <c r="AQ62" s="378"/>
      <c r="AR62" s="341">
        <f t="shared" si="12"/>
        <v>1</v>
      </c>
      <c r="AS62" s="341">
        <f t="shared" si="58"/>
        <v>0</v>
      </c>
      <c r="AT62" s="341">
        <f t="shared" si="58"/>
        <v>1</v>
      </c>
      <c r="AU62" s="361">
        <f t="shared" si="13"/>
        <v>1</v>
      </c>
      <c r="AV62" s="361">
        <f t="shared" si="14"/>
        <v>1</v>
      </c>
      <c r="AW62" s="361">
        <f t="shared" si="15"/>
        <v>1</v>
      </c>
      <c r="AX62" s="361">
        <f t="shared" si="16"/>
        <v>1</v>
      </c>
      <c r="AY62" s="361">
        <f t="shared" si="17"/>
        <v>1</v>
      </c>
      <c r="AZ62" s="361">
        <f t="shared" si="18"/>
        <v>1</v>
      </c>
      <c r="BA62" s="361">
        <f t="shared" si="19"/>
        <v>1</v>
      </c>
      <c r="BB62" s="361">
        <f t="shared" si="20"/>
        <v>1</v>
      </c>
      <c r="BC62" s="361">
        <f t="shared" si="21"/>
        <v>1</v>
      </c>
      <c r="BD62" s="361">
        <f t="shared" si="22"/>
        <v>1</v>
      </c>
      <c r="BE62" s="361">
        <f t="shared" si="23"/>
        <v>1</v>
      </c>
      <c r="BF62" s="361">
        <f t="shared" si="24"/>
        <v>1</v>
      </c>
      <c r="BG62" s="361">
        <f t="shared" si="25"/>
        <v>1</v>
      </c>
      <c r="BH62" s="361">
        <f t="shared" si="26"/>
        <v>1</v>
      </c>
      <c r="BI62" s="361">
        <f t="shared" si="27"/>
        <v>1</v>
      </c>
      <c r="BJ62" s="361">
        <f t="shared" si="28"/>
        <v>1</v>
      </c>
      <c r="BK62" s="361">
        <f t="shared" si="29"/>
        <v>1</v>
      </c>
      <c r="BL62" s="361">
        <f t="shared" si="30"/>
        <v>1</v>
      </c>
      <c r="BM62" s="361">
        <f t="shared" si="31"/>
        <v>1</v>
      </c>
      <c r="BN62" s="361">
        <f t="shared" si="32"/>
        <v>1</v>
      </c>
      <c r="BO62" s="361">
        <f t="shared" si="33"/>
        <v>1</v>
      </c>
      <c r="BP62" s="361">
        <f t="shared" si="34"/>
        <v>1</v>
      </c>
      <c r="BQ62" s="361">
        <f t="shared" si="35"/>
        <v>1</v>
      </c>
      <c r="BR62" s="361">
        <f t="shared" si="36"/>
        <v>1</v>
      </c>
      <c r="BS62" s="361">
        <f t="shared" si="37"/>
        <v>1</v>
      </c>
      <c r="BT62" s="361">
        <f t="shared" si="38"/>
        <v>1</v>
      </c>
      <c r="BU62" s="361">
        <f t="shared" si="39"/>
        <v>1</v>
      </c>
      <c r="BV62" s="361">
        <f t="shared" si="40"/>
        <v>1</v>
      </c>
      <c r="BW62" s="361">
        <f t="shared" si="41"/>
        <v>1</v>
      </c>
      <c r="BX62" s="361">
        <f t="shared" si="42"/>
        <v>1</v>
      </c>
      <c r="BY62" s="361">
        <f t="shared" si="43"/>
        <v>1</v>
      </c>
      <c r="BZ62" s="361">
        <f t="shared" si="44"/>
        <v>1</v>
      </c>
      <c r="CA62" s="361">
        <f t="shared" si="45"/>
        <v>1</v>
      </c>
      <c r="CB62" s="361">
        <f t="shared" si="46"/>
        <v>1</v>
      </c>
      <c r="CC62" s="361">
        <f t="shared" si="47"/>
        <v>1</v>
      </c>
      <c r="CH62" s="341">
        <f t="shared" si="59"/>
        <v>1</v>
      </c>
      <c r="CI62" s="341">
        <f t="shared" si="59"/>
        <v>2</v>
      </c>
      <c r="CJ62" s="341">
        <f t="shared" si="59"/>
        <v>3</v>
      </c>
      <c r="CK62" s="341">
        <f t="shared" si="59"/>
        <v>4</v>
      </c>
      <c r="CL62" s="341">
        <f t="shared" si="59"/>
        <v>5</v>
      </c>
      <c r="CM62" s="341">
        <f t="shared" si="59"/>
        <v>6</v>
      </c>
      <c r="CN62" s="341">
        <f t="shared" si="59"/>
        <v>7</v>
      </c>
      <c r="CO62" s="341">
        <f t="shared" si="59"/>
        <v>8</v>
      </c>
      <c r="CP62" s="341">
        <f t="shared" si="59"/>
        <v>9</v>
      </c>
      <c r="CQ62" s="341">
        <f t="shared" si="59"/>
        <v>10</v>
      </c>
      <c r="CT62" s="353"/>
      <c r="CU62" s="353"/>
      <c r="CV62" s="353"/>
      <c r="CW62" s="353" t="b">
        <f t="shared" si="49"/>
        <v>1</v>
      </c>
      <c r="CX62" s="353" t="b">
        <f t="shared" si="50"/>
        <v>0</v>
      </c>
      <c r="CY62" s="353" t="b">
        <f t="shared" si="51"/>
        <v>1</v>
      </c>
      <c r="DC62" s="347">
        <f t="shared" si="60"/>
        <v>2</v>
      </c>
      <c r="DD62" s="353" t="b">
        <f t="shared" si="52"/>
        <v>1</v>
      </c>
      <c r="DE62" s="353" t="b">
        <f t="shared" si="53"/>
        <v>0</v>
      </c>
      <c r="DF62" s="353" t="b">
        <f t="shared" si="54"/>
        <v>1</v>
      </c>
      <c r="DG62" s="353"/>
      <c r="DH62" s="353"/>
      <c r="DI62" s="353"/>
      <c r="DJ62" s="353"/>
      <c r="DK62" s="353">
        <f t="shared" si="61"/>
        <v>2</v>
      </c>
      <c r="DM62" s="341">
        <f t="shared" si="55"/>
        <v>0</v>
      </c>
    </row>
    <row r="63" spans="2:117" x14ac:dyDescent="0.25">
      <c r="B63" s="373">
        <f t="shared" si="56"/>
        <v>33</v>
      </c>
      <c r="C63" s="373"/>
      <c r="D63" s="373"/>
      <c r="E63" s="373"/>
      <c r="F63" s="374" t="s">
        <v>147</v>
      </c>
      <c r="G63" s="375">
        <v>1</v>
      </c>
      <c r="H63" s="375">
        <v>1</v>
      </c>
      <c r="I63" s="375">
        <v>1</v>
      </c>
      <c r="J63" s="375">
        <v>1</v>
      </c>
      <c r="K63" s="375">
        <v>1</v>
      </c>
      <c r="L63" s="375">
        <v>1</v>
      </c>
      <c r="M63" s="375">
        <v>1</v>
      </c>
      <c r="N63" s="375">
        <v>1</v>
      </c>
      <c r="O63" s="375">
        <v>1</v>
      </c>
      <c r="P63" s="375">
        <v>1</v>
      </c>
      <c r="Q63" s="375">
        <v>1</v>
      </c>
      <c r="R63" s="375">
        <v>1</v>
      </c>
      <c r="S63" s="375">
        <v>0</v>
      </c>
      <c r="T63" s="375">
        <v>1</v>
      </c>
      <c r="U63" s="375">
        <v>1</v>
      </c>
      <c r="V63" s="375">
        <v>1</v>
      </c>
      <c r="W63" s="375">
        <v>1</v>
      </c>
      <c r="X63" s="375">
        <v>1</v>
      </c>
      <c r="Y63" s="375">
        <v>1</v>
      </c>
      <c r="Z63" s="376">
        <f t="shared" ref="Z63:Z94" si="62">IF(F63="","",IF(AND(S63=1,T63=1),$AS$1,IF(OR(S63=1,AND(T63=1,U63=1,V63=1,W63=1,X63=1,Y63=1)),1,0)))</f>
        <v>1</v>
      </c>
      <c r="AA63" s="376">
        <v>1</v>
      </c>
      <c r="AB63" s="376" t="s">
        <v>419</v>
      </c>
      <c r="AC63" s="376">
        <v>1</v>
      </c>
      <c r="AD63" s="376">
        <v>0</v>
      </c>
      <c r="AE63" s="376"/>
      <c r="AF63" s="376">
        <f t="shared" ref="AF63:AF94" si="63">IF($F63="","",IF(OR(DL63=1,AND(DM63=1,AA63=1)),1,0))</f>
        <v>0</v>
      </c>
      <c r="AG63" s="376">
        <v>1</v>
      </c>
      <c r="AH63" s="376">
        <f t="shared" ref="AH63:AH94" si="64">IF(F63="","",IF(AA63=1,1,IF(AND(AB63="לא",SUM(AC63:AD63)=2),1,IF(AND(AB63="כן",SUM(AC63:AE63)=3),1,0))))</f>
        <v>1</v>
      </c>
      <c r="AI63" s="376"/>
      <c r="AJ63" s="376"/>
      <c r="AK63" s="373">
        <f t="shared" ref="AK63:AK94" si="65">IF(F63="","",IF(G63&gt;=$G$5,1,0))</f>
        <v>1</v>
      </c>
      <c r="AL63" s="373"/>
      <c r="AM63" s="373"/>
      <c r="AN63" s="373"/>
      <c r="AO63" s="373"/>
      <c r="AP63" s="377">
        <f t="shared" si="57"/>
        <v>1</v>
      </c>
      <c r="AQ63" s="378"/>
      <c r="AR63" s="341">
        <f t="shared" ref="AR63:AR94" si="66">IF(OR(SUM(AU63:CC63)&lt;&gt;COUNT(AU63:CC63),SUMPRODUCT(--(G63:AK63=$AS$1))&lt;&gt;0),0,1)</f>
        <v>1</v>
      </c>
      <c r="AS63" s="341">
        <f t="shared" si="58"/>
        <v>0</v>
      </c>
      <c r="AT63" s="341">
        <f t="shared" si="58"/>
        <v>1</v>
      </c>
      <c r="AU63" s="361">
        <f t="shared" ref="AU63:AU94" si="67">IF(OR(G$30="",G$4=99),1,IF(G63="",0,IFERROR(CHOOSE(AU$28,IF(ISNA(MATCH(G63,$AS$30:$AT$30,0)),0,1),IF(ISNUMBER(G63),1,0),IF(G63=TRUNC(G63),1,0),IF(AND(G63*1=G63,G63&gt;=0),1,0),IF(AND(G63=TRUNC(G63),G63&gt;=0),1,0),IF(AND(G63*1=G63,G63&gt;0),1,0),IF(AND(G63=TRUNC(G63),G63&gt;0),1,0),1,IF(ISNA(HLOOKUP(G63,$AV$4:$BE$4,1,0)),0,1)),0)))</f>
        <v>1</v>
      </c>
      <c r="AV63" s="361">
        <f t="shared" ref="AV63:AV94" si="68">IF(OR(H$30="",H$4=99),1,IF(H63="",0,IFERROR(CHOOSE(AV$28,IF(ISNA(MATCH(H63,$AS$30:$AT$30,0)),0,1),IF(ISNUMBER(H63),1,0),IF(H63=TRUNC(H63),1,0),IF(AND(H63*1=H63,H63&gt;=0),1,0),IF(AND(H63=TRUNC(H63),H63&gt;=0),1,0),IF(AND(H63*1=H63,H63&gt;0),1,0),IF(AND(H63=TRUNC(H63),H63&gt;0),1,0),1,IF(ISNA(HLOOKUP(H63,$AV$4:$BE$4,1,0)),0,1)),0)))</f>
        <v>1</v>
      </c>
      <c r="AW63" s="361">
        <f t="shared" ref="AW63:AW94" si="69">IF(OR(I$30="",I$4=99),1,IF(I63="",0,IFERROR(CHOOSE(AW$28,IF(ISNA(MATCH(I63,$AS$30:$AT$30,0)),0,1),IF(ISNUMBER(I63),1,0),IF(I63=TRUNC(I63),1,0),IF(AND(I63*1=I63,I63&gt;=0),1,0),IF(AND(I63=TRUNC(I63),I63&gt;=0),1,0),IF(AND(I63*1=I63,I63&gt;0),1,0),IF(AND(I63=TRUNC(I63),I63&gt;0),1,0),1,IF(ISNA(HLOOKUP(I63,$AV$4:$BE$4,1,0)),0,1)),0)))</f>
        <v>1</v>
      </c>
      <c r="AX63" s="361">
        <f t="shared" ref="AX63:AX94" si="70">IF(OR(J$30="",J$4=99),1,IF(J63="",0,IFERROR(CHOOSE(AX$28,IF(ISNA(MATCH(J63,$AS$30:$AT$30,0)),0,1),IF(ISNUMBER(J63),1,0),IF(J63=TRUNC(J63),1,0),IF(AND(J63*1=J63,J63&gt;=0),1,0),IF(AND(J63=TRUNC(J63),J63&gt;=0),1,0),IF(AND(J63*1=J63,J63&gt;0),1,0),IF(AND(J63=TRUNC(J63),J63&gt;0),1,0),1,IF(ISNA(HLOOKUP(J63,$AV$4:$BE$4,1,0)),0,1)),0)))</f>
        <v>1</v>
      </c>
      <c r="AY63" s="361">
        <f t="shared" ref="AY63:AY94" si="71">IF(OR(K$30="",K$4=99),1,IF(K63="",0,IFERROR(CHOOSE(AY$28,IF(ISNA(MATCH(K63,$AS$30:$AT$30,0)),0,1),IF(ISNUMBER(K63),1,0),IF(K63=TRUNC(K63),1,0),IF(AND(K63*1=K63,K63&gt;=0),1,0),IF(AND(K63=TRUNC(K63),K63&gt;=0),1,0),IF(AND(K63*1=K63,K63&gt;0),1,0),IF(AND(K63=TRUNC(K63),K63&gt;0),1,0),1,IF(ISNA(HLOOKUP(K63,$AV$4:$BE$4,1,0)),0,1)),0)))</f>
        <v>1</v>
      </c>
      <c r="AZ63" s="361">
        <f t="shared" ref="AZ63:AZ94" si="72">IF(OR(L$30="",L$4=99),1,IF(L63="",0,IFERROR(CHOOSE(AZ$28,IF(ISNA(MATCH(L63,$AS$30:$AT$30,0)),0,1),IF(ISNUMBER(L63),1,0),IF(L63=TRUNC(L63),1,0),IF(AND(L63*1=L63,L63&gt;=0),1,0),IF(AND(L63=TRUNC(L63),L63&gt;=0),1,0),IF(AND(L63*1=L63,L63&gt;0),1,0),IF(AND(L63=TRUNC(L63),L63&gt;0),1,0),1,IF(ISNA(HLOOKUP(L63,$AV$4:$BE$4,1,0)),0,1)),0)))</f>
        <v>1</v>
      </c>
      <c r="BA63" s="361">
        <f t="shared" ref="BA63:BA94" si="73">IF(OR(M$30="",M$4=99),1,IF(M63="",0,IFERROR(CHOOSE(BA$28,IF(ISNA(MATCH(M63,$AS$30:$AT$30,0)),0,1),IF(ISNUMBER(M63),1,0),IF(M63=TRUNC(M63),1,0),IF(AND(M63*1=M63,M63&gt;=0),1,0),IF(AND(M63=TRUNC(M63),M63&gt;=0),1,0),IF(AND(M63*1=M63,M63&gt;0),1,0),IF(AND(M63=TRUNC(M63),M63&gt;0),1,0),1,IF(ISNA(HLOOKUP(M63,$AV$4:$BE$4,1,0)),0,1)),0)))</f>
        <v>1</v>
      </c>
      <c r="BB63" s="361">
        <f t="shared" ref="BB63:BB94" si="74">IF(OR(N$30="",N$4=99),1,IF(N63="",0,IFERROR(CHOOSE(BB$28,IF(ISNA(MATCH(N63,$AS$30:$AT$30,0)),0,1),IF(ISNUMBER(N63),1,0),IF(N63=TRUNC(N63),1,0),IF(AND(N63*1=N63,N63&gt;=0),1,0),IF(AND(N63=TRUNC(N63),N63&gt;=0),1,0),IF(AND(N63*1=N63,N63&gt;0),1,0),IF(AND(N63=TRUNC(N63),N63&gt;0),1,0),1,IF(ISNA(HLOOKUP(N63,$AV$4:$BE$4,1,0)),0,1)),0)))</f>
        <v>1</v>
      </c>
      <c r="BC63" s="361">
        <f t="shared" ref="BC63:BC94" si="75">IF(OR(O$30="",O$4=99),1,IF(O63="",0,IFERROR(CHOOSE(BC$28,IF(ISNA(MATCH(O63,$AS$30:$AT$30,0)),0,1),IF(ISNUMBER(O63),1,0),IF(O63=TRUNC(O63),1,0),IF(AND(O63*1=O63,O63&gt;=0),1,0),IF(AND(O63=TRUNC(O63),O63&gt;=0),1,0),IF(AND(O63*1=O63,O63&gt;0),1,0),IF(AND(O63=TRUNC(O63),O63&gt;0),1,0),1,IF(ISNA(HLOOKUP(O63,$AV$4:$BE$4,1,0)),0,1)),0)))</f>
        <v>1</v>
      </c>
      <c r="BD63" s="361">
        <f t="shared" ref="BD63:BD94" si="76">IF(OR(P$30="",P$4=99),1,IF(P63="",0,IFERROR(CHOOSE(BD$28,IF(ISNA(MATCH(P63,$AS$30:$AT$30,0)),0,1),IF(ISNUMBER(P63),1,0),IF(P63=TRUNC(P63),1,0),IF(AND(P63*1=P63,P63&gt;=0),1,0),IF(AND(P63=TRUNC(P63),P63&gt;=0),1,0),IF(AND(P63*1=P63,P63&gt;0),1,0),IF(AND(P63=TRUNC(P63),P63&gt;0),1,0),1,IF(ISNA(HLOOKUP(P63,$AV$4:$BE$4,1,0)),0,1)),0)))</f>
        <v>1</v>
      </c>
      <c r="BE63" s="361">
        <f t="shared" ref="BE63:BE94" si="77">IF(OR(Q$30="",Q$4=99),1,IF(Q63="",0,IFERROR(CHOOSE(BE$28,IF(ISNA(MATCH(Q63,$AS$30:$AT$30,0)),0,1),IF(ISNUMBER(Q63),1,0),IF(Q63=TRUNC(Q63),1,0),IF(AND(Q63*1=Q63,Q63&gt;=0),1,0),IF(AND(Q63=TRUNC(Q63),Q63&gt;=0),1,0),IF(AND(Q63*1=Q63,Q63&gt;0),1,0),IF(AND(Q63=TRUNC(Q63),Q63&gt;0),1,0),1,IF(ISNA(HLOOKUP(Q63,$AV$4:$BE$4,1,0)),0,1)),0)))</f>
        <v>1</v>
      </c>
      <c r="BF63" s="361">
        <f t="shared" ref="BF63:BF94" si="78">IF(OR(R$30="",R$4=99),1,IF(R63="",0,IFERROR(CHOOSE(BF$28,IF(ISNA(MATCH(R63,$AS$30:$AT$30,0)),0,1),IF(ISNUMBER(R63),1,0),IF(R63=TRUNC(R63),1,0),IF(AND(R63*1=R63,R63&gt;=0),1,0),IF(AND(R63=TRUNC(R63),R63&gt;=0),1,0),IF(AND(R63*1=R63,R63&gt;0),1,0),IF(AND(R63=TRUNC(R63),R63&gt;0),1,0),1,IF(ISNA(HLOOKUP(R63,$AV$4:$BE$4,1,0)),0,1)),0)))</f>
        <v>1</v>
      </c>
      <c r="BG63" s="361">
        <f t="shared" ref="BG63:BG94" si="79">IF(OR(S$30="",S$4=99),1,IF(S63="",0,IFERROR(CHOOSE(BF$28,IF(ISNA(MATCH(S63,$AS$30:$AT$30,0)),0,1),IF(ISNUMBER(S63),1,0),IF(S63=TRUNC(S63),1,0),IF(AND(S63*1=S63,S63&gt;=0),1,0),IF(AND(S63=TRUNC(S63),S63&gt;=0),1,0),IF(AND(S63*1=S63,S63&gt;0),1,0),IF(AND(S63=TRUNC(S63),S63&gt;0),1,0),1,IF(ISNA(HLOOKUP(S63,$AV$4:$BE$4,1,0)),0,1)),0)))</f>
        <v>1</v>
      </c>
      <c r="BH63" s="361">
        <f t="shared" ref="BH63:BH94" si="80">IF(OR(T$30="",T$4=99),1,IF(T63="",0,IFERROR(CHOOSE(BG$28,IF(ISNA(MATCH(T63,$AS$30:$AT$30,0)),0,1),IF(ISNUMBER(T63),1,0),IF(T63=TRUNC(T63),1,0),IF(AND(T63*1=T63,T63&gt;=0),1,0),IF(AND(T63=TRUNC(T63),T63&gt;=0),1,0),IF(AND(T63*1=T63,T63&gt;0),1,0),IF(AND(T63=TRUNC(T63),T63&gt;0),1,0),1,IF(ISNA(HLOOKUP(T63,$AV$4:$BE$4,1,0)),0,1)),0)))</f>
        <v>1</v>
      </c>
      <c r="BI63" s="361">
        <f t="shared" ref="BI63:BI94" si="81">IF(OR(U$30="",U$4=99),1,IF(U63="",0,IFERROR(CHOOSE(BH$28,IF(ISNA(MATCH(U63,$AS$30:$AT$30,0)),0,1),IF(ISNUMBER(U63),1,0),IF(U63=TRUNC(U63),1,0),IF(AND(U63*1=U63,U63&gt;=0),1,0),IF(AND(U63=TRUNC(U63),U63&gt;=0),1,0),IF(AND(U63*1=U63,U63&gt;0),1,0),IF(AND(U63=TRUNC(U63),U63&gt;0),1,0),1,IF(ISNA(HLOOKUP(U63,$AV$4:$BE$4,1,0)),0,1)),0)))</f>
        <v>1</v>
      </c>
      <c r="BJ63" s="361">
        <f t="shared" ref="BJ63:BJ94" si="82">IF(OR(V$30="",V$4=99),1,IF(V63="",0,IFERROR(CHOOSE(BI$28,IF(ISNA(MATCH(V63,$AS$30:$AT$30,0)),0,1),IF(ISNUMBER(V63),1,0),IF(V63=TRUNC(V63),1,0),IF(AND(V63*1=V63,V63&gt;=0),1,0),IF(AND(V63=TRUNC(V63),V63&gt;=0),1,0),IF(AND(V63*1=V63,V63&gt;0),1,0),IF(AND(V63=TRUNC(V63),V63&gt;0),1,0),1,IF(ISNA(HLOOKUP(V63,$AV$4:$BE$4,1,0)),0,1)),0)))</f>
        <v>1</v>
      </c>
      <c r="BK63" s="361">
        <f t="shared" ref="BK63:BK94" si="83">IF(OR(W$30="",W$4=99),1,IF(W63="",0,IFERROR(CHOOSE(BJ$28,IF(ISNA(MATCH(W63,$AS$30:$AT$30,0)),0,1),IF(ISNUMBER(W63),1,0),IF(W63=TRUNC(W63),1,0),IF(AND(W63*1=W63,W63&gt;=0),1,0),IF(AND(W63=TRUNC(W63),W63&gt;=0),1,0),IF(AND(W63*1=W63,W63&gt;0),1,0),IF(AND(W63=TRUNC(W63),W63&gt;0),1,0),1,IF(ISNA(HLOOKUP(W63,$AV$4:$BE$4,1,0)),0,1)),0)))</f>
        <v>1</v>
      </c>
      <c r="BL63" s="361">
        <f t="shared" ref="BL63:BL94" si="84">IF(OR(X$30="",X$4=99),1,IF(X63="",0,IFERROR(CHOOSE(BK$28,IF(ISNA(MATCH(X63,$AS$30:$AT$30,0)),0,1),IF(ISNUMBER(X63),1,0),IF(X63=TRUNC(X63),1,0),IF(AND(X63*1=X63,X63&gt;=0),1,0),IF(AND(X63=TRUNC(X63),X63&gt;=0),1,0),IF(AND(X63*1=X63,X63&gt;0),1,0),IF(AND(X63=TRUNC(X63),X63&gt;0),1,0),1,IF(ISNA(HLOOKUP(X63,$AV$4:$BE$4,1,0)),0,1)),0)))</f>
        <v>1</v>
      </c>
      <c r="BM63" s="361">
        <f t="shared" ref="BM63:BM94" si="85">IF(OR(Y$30="",Y$4=99),1,IF(Y63="",0,IFERROR(CHOOSE(BL$28,IF(ISNA(MATCH(Y63,$AS$30:$AT$30,0)),0,1),IF(ISNUMBER(Y63),1,0),IF(Y63=TRUNC(Y63),1,0),IF(AND(Y63*1=Y63,Y63&gt;=0),1,0),IF(AND(Y63=TRUNC(Y63),Y63&gt;=0),1,0),IF(AND(Y63*1=Y63,Y63&gt;0),1,0),IF(AND(Y63=TRUNC(Y63),Y63&gt;0),1,0),1,IF(ISNA(HLOOKUP(Y63,$AV$4:$BE$4,1,0)),0,1)),0)))</f>
        <v>1</v>
      </c>
      <c r="BN63" s="361">
        <f t="shared" ref="BN63:BN94" si="86">IF(OR(Z$30="",Z$4=99),1,IF(Z63="",0,IFERROR(CHOOSE(BM$28,IF(ISNA(MATCH(Z63,$AS$30:$AT$30,0)),0,1),IF(ISNUMBER(Z63),1,0),IF(Z63=TRUNC(Z63),1,0),IF(AND(Z63*1=Z63,Z63&gt;=0),1,0),IF(AND(Z63=TRUNC(Z63),Z63&gt;=0),1,0),IF(AND(Z63*1=Z63,Z63&gt;0),1,0),IF(AND(Z63=TRUNC(Z63),Z63&gt;0),1,0),1,IF(ISNA(HLOOKUP(Z63,$AV$4:$BE$4,1,0)),0,1)),0)))</f>
        <v>1</v>
      </c>
      <c r="BO63" s="361">
        <f t="shared" ref="BO63:BO94" si="87">IF(OR(AA$30="",AA$4=99),1,IF(AA63="",0,IFERROR(CHOOSE(BN$28,IF(ISNA(MATCH(AA63,$AS$30:$AT$30,0)),0,1),IF(ISNUMBER(AA63),1,0),IF(AA63=TRUNC(AA63),1,0),IF(AND(AA63*1=AA63,AA63&gt;=0),1,0),IF(AND(AA63=TRUNC(AA63),AA63&gt;=0),1,0),IF(AND(AA63*1=AA63,AA63&gt;0),1,0),IF(AND(AA63=TRUNC(AA63),AA63&gt;0),1,0),1,IF(ISNA(HLOOKUP(AA63,$AV$4:$BE$4,1,0)),0,1)),0)))</f>
        <v>1</v>
      </c>
      <c r="BP63" s="361">
        <f t="shared" ref="BP63:BP94" si="88">IF(OR(AB$30="",AB$4=99),1,IF(AB63="",0,IFERROR(CHOOSE(BO$28,IF(ISNA(MATCH(AB63,$AS$30:$AT$30,0)),0,1),IF(ISNUMBER(AB63),1,0),IF(AB63=TRUNC(AB63),1,0),IF(AND(AB63*1=AB63,AB63&gt;=0),1,0),IF(AND(AB63=TRUNC(AB63),AB63&gt;=0),1,0),IF(AND(AB63*1=AB63,AB63&gt;0),1,0),IF(AND(AB63=TRUNC(AB63),AB63&gt;0),1,0),1,IF(ISNA(HLOOKUP(AB63,$AV$4:$BE$4,1,0)),0,1)),0)))</f>
        <v>1</v>
      </c>
      <c r="BQ63" s="361">
        <f t="shared" ref="BQ63:BQ94" si="89">IF(OR(AC$30="",AC$4=99),1,IF(AC63="",0,IFERROR(CHOOSE(BP$28,IF(ISNA(MATCH(AC63,$AS$30:$AT$30,0)),0,1),IF(ISNUMBER(AC63),1,0),IF(AC63=TRUNC(AC63),1,0),IF(AND(AC63*1=AC63,AC63&gt;=0),1,0),IF(AND(AC63=TRUNC(AC63),AC63&gt;=0),1,0),IF(AND(AC63*1=AC63,AC63&gt;0),1,0),IF(AND(AC63=TRUNC(AC63),AC63&gt;0),1,0),1,IF(ISNA(HLOOKUP(AC63,$AV$4:$BE$4,1,0)),0,1)),0)))</f>
        <v>1</v>
      </c>
      <c r="BR63" s="361">
        <f t="shared" ref="BR63:BR94" si="90">IF(OR(AD$30="",AD$4=99),1,IF(AD63="",0,IFERROR(CHOOSE(BQ$28,IF(ISNA(MATCH(AD63,$AS$30:$AT$30,0)),0,1),IF(ISNUMBER(AD63),1,0),IF(AD63=TRUNC(AD63),1,0),IF(AND(AD63*1=AD63,AD63&gt;=0),1,0),IF(AND(AD63=TRUNC(AD63),AD63&gt;=0),1,0),IF(AND(AD63*1=AD63,AD63&gt;0),1,0),IF(AND(AD63=TRUNC(AD63),AD63&gt;0),1,0),1,IF(ISNA(HLOOKUP(AD63,$AV$4:$BE$4,1,0)),0,1)),0)))</f>
        <v>1</v>
      </c>
      <c r="BS63" s="361">
        <f t="shared" ref="BS63:BS94" si="91">IF(OR(AE$30="",AE$4=99),1,IF(AE63="",0,IFERROR(CHOOSE(BR$28,IF(ISNA(MATCH(AE63,$AS$30:$AT$30,0)),0,1),IF(ISNUMBER(AE63),1,0),IF(AE63=TRUNC(AE63),1,0),IF(AND(AE63*1=AE63,AE63&gt;=0),1,0),IF(AND(AE63=TRUNC(AE63),AE63&gt;=0),1,0),IF(AND(AE63*1=AE63,AE63&gt;0),1,0),IF(AND(AE63=TRUNC(AE63),AE63&gt;0),1,0),1,IF(ISNA(HLOOKUP(AE63,$AV$4:$BE$4,1,0)),0,1)),0)))</f>
        <v>1</v>
      </c>
      <c r="BT63" s="361">
        <f t="shared" ref="BT63:BT94" si="92">IF(OR(AF$30="",AF$4=99),1,IF(AF63="",0,IFERROR(CHOOSE(BS$28,IF(ISNA(MATCH(AF63,$AS$30:$AT$30,0)),0,1),IF(ISNUMBER(AF63),1,0),IF(AF63=TRUNC(AF63),1,0),IF(AND(AF63*1=AF63,AF63&gt;=0),1,0),IF(AND(AF63=TRUNC(AF63),AF63&gt;=0),1,0),IF(AND(AF63*1=AF63,AF63&gt;0),1,0),IF(AND(AF63=TRUNC(AF63),AF63&gt;0),1,0),1,IF(ISNA(HLOOKUP(AF63,$AV$4:$BE$4,1,0)),0,1)),0)))</f>
        <v>1</v>
      </c>
      <c r="BU63" s="361">
        <f t="shared" ref="BU63:BU94" si="93">IF(OR(AH$30="",AH$4=99),1,IF(AH63="",0,IFERROR(CHOOSE(BT$28,IF(ISNA(MATCH(AH63,$AS$30:$AT$30,0)),0,1),IF(ISNUMBER(AH63),1,0),IF(AH63=TRUNC(AH63),1,0),IF(AND(AH63*1=AH63,AH63&gt;=0),1,0),IF(AND(AH63=TRUNC(AH63),AH63&gt;=0),1,0),IF(AND(AH63*1=AH63,AH63&gt;0),1,0),IF(AND(AH63=TRUNC(AH63),AH63&gt;0),1,0),1,IF(ISNA(HLOOKUP(AH63,$AV$4:$BE$4,1,0)),0,1)),0)))</f>
        <v>1</v>
      </c>
      <c r="BV63" s="361">
        <f t="shared" ref="BV63:BV94" si="94">IF(OR(AI$30="",AI$4=99),1,IF(AI63="",0,IFERROR(CHOOSE(BU$28,IF(ISNA(MATCH(AI63,$AS$30:$AT$30,0)),0,1),IF(ISNUMBER(AI63),1,0),IF(AI63=TRUNC(AI63),1,0),IF(AND(AI63*1=AI63,AI63&gt;=0),1,0),IF(AND(AI63=TRUNC(AI63),AI63&gt;=0),1,0),IF(AND(AI63*1=AI63,AI63&gt;0),1,0),IF(AND(AI63=TRUNC(AI63),AI63&gt;0),1,0),1,IF(ISNA(HLOOKUP(AI63,$AV$4:$BE$4,1,0)),0,1)),0)))</f>
        <v>1</v>
      </c>
      <c r="BW63" s="361">
        <f t="shared" ref="BW63:BW94" si="95">IF(OR(AJ$30="",AJ$4=99),1,IF(AJ63="",0,IFERROR(CHOOSE(BV$28,IF(ISNA(MATCH(AJ63,$AS$30:$AT$30,0)),0,1),IF(ISNUMBER(AJ63),1,0),IF(AJ63=TRUNC(AJ63),1,0),IF(AND(AJ63*1=AJ63,AJ63&gt;=0),1,0),IF(AND(AJ63=TRUNC(AJ63),AJ63&gt;=0),1,0),IF(AND(AJ63*1=AJ63,AJ63&gt;0),1,0),IF(AND(AJ63=TRUNC(AJ63),AJ63&gt;0),1,0),1,IF(ISNA(HLOOKUP(AJ63,$AV$4:$BE$4,1,0)),0,1)),0)))</f>
        <v>1</v>
      </c>
      <c r="BX63" s="361">
        <f t="shared" ref="BX63:BX94" si="96">IF(OR(AK$30="",AK$4=99),1,IF(AK63="",0,IFERROR(CHOOSE(BW$28,IF(ISNA(MATCH(AK63,$AS$30:$AT$30,0)),0,1),IF(ISNUMBER(AK63),1,0),IF(AK63=TRUNC(AK63),1,0),IF(AND(AK63*1=AK63,AK63&gt;=0),1,0),IF(AND(AK63=TRUNC(AK63),AK63&gt;=0),1,0),IF(AND(AK63*1=AK63,AK63&gt;0),1,0),IF(AND(AK63=TRUNC(AK63),AK63&gt;0),1,0),1,IF(ISNA(HLOOKUP(AK63,$AV$4:$BE$4,1,0)),0,1)),0)))</f>
        <v>1</v>
      </c>
      <c r="BY63" s="361">
        <f t="shared" ref="BY63:BY94" si="97">IF(OR(AL$30="",AL$4=99),1,IF(AL63="",0,IFERROR(CHOOSE(BX$28,IF(ISNA(MATCH(AL63,$AS$30:$AT$30,0)),0,1),IF(ISNUMBER(AL63),1,0),IF(AL63=TRUNC(AL63),1,0),IF(AND(AL63*1=AL63,AL63&gt;=0),1,0),IF(AND(AL63=TRUNC(AL63),AL63&gt;=0),1,0),IF(AND(AL63*1=AL63,AL63&gt;0),1,0),IF(AND(AL63=TRUNC(AL63),AL63&gt;0),1,0),1,IF(ISNA(HLOOKUP(AL63,$AV$4:$BE$4,1,0)),0,1)),0)))</f>
        <v>1</v>
      </c>
      <c r="BZ63" s="361">
        <f t="shared" ref="BZ63:BZ94" si="98">IF(OR(AM$30="",AM$4=99),1,IF(AM63="",0,IFERROR(CHOOSE(BY$28,IF(ISNA(MATCH(AM63,$AS$30:$AT$30,0)),0,1),IF(ISNUMBER(AM63),1,0),IF(AM63=TRUNC(AM63),1,0),IF(AND(AM63*1=AM63,AM63&gt;=0),1,0),IF(AND(AM63=TRUNC(AM63),AM63&gt;=0),1,0),IF(AND(AM63*1=AM63,AM63&gt;0),1,0),IF(AND(AM63=TRUNC(AM63),AM63&gt;0),1,0),1,IF(ISNA(HLOOKUP(AM63,$AV$4:$BE$4,1,0)),0,1)),0)))</f>
        <v>1</v>
      </c>
      <c r="CA63" s="361">
        <f t="shared" ref="CA63:CA94" si="99">IF(OR(AN$30="",AN$4=99),1,IF(AN63="",0,IFERROR(CHOOSE(BZ$28,IF(ISNA(MATCH(AN63,$AS$30:$AT$30,0)),0,1),IF(ISNUMBER(AN63),1,0),IF(AN63=TRUNC(AN63),1,0),IF(AND(AN63*1=AN63,AN63&gt;=0),1,0),IF(AND(AN63=TRUNC(AN63),AN63&gt;=0),1,0),IF(AND(AN63*1=AN63,AN63&gt;0),1,0),IF(AND(AN63=TRUNC(AN63),AN63&gt;0),1,0),1,IF(ISNA(HLOOKUP(AN63,$AV$4:$BE$4,1,0)),0,1)),0)))</f>
        <v>1</v>
      </c>
      <c r="CB63" s="361">
        <f t="shared" ref="CB63:CB94" si="100">IF(OR(AO$30="",AO$4=99),1,IF(AO63="",0,IFERROR(CHOOSE(CA$28,IF(ISNA(MATCH(AO63,$AS$30:$AT$30,0)),0,1),IF(ISNUMBER(AO63),1,0),IF(AO63=TRUNC(AO63),1,0),IF(AND(AO63*1=AO63,AO63&gt;=0),1,0),IF(AND(AO63=TRUNC(AO63),AO63&gt;=0),1,0),IF(AND(AO63*1=AO63,AO63&gt;0),1,0),IF(AND(AO63=TRUNC(AO63),AO63&gt;0),1,0),1,IF(ISNA(HLOOKUP(AO63,$AV$4:$BE$4,1,0)),0,1)),0)))</f>
        <v>1</v>
      </c>
      <c r="CC63" s="361">
        <f t="shared" ref="CC63:CC94" si="101">IF(OR(AP$30="",AP$4=99),1,IF(AP63="",0,IFERROR(CHOOSE(CB$28,IF(ISNA(MATCH(AP63,$AS$30:$AT$30,0)),0,1),IF(ISNUMBER(AP63),1,0),IF(AP63=TRUNC(AP63),1,0),IF(AND(AP63*1=AP63,AP63&gt;=0),1,0),IF(AND(AP63=TRUNC(AP63),AP63&gt;=0),1,0),IF(AND(AP63*1=AP63,AP63&gt;0),1,0),IF(AND(AP63=TRUNC(AP63),AP63&gt;0),1,0),1,IF(ISNA(HLOOKUP(AP63,$AV$4:$BE$4,1,0)),0,1)),0)))</f>
        <v>1</v>
      </c>
      <c r="CH63" s="341">
        <f t="shared" si="59"/>
        <v>1</v>
      </c>
      <c r="CI63" s="341">
        <f t="shared" si="59"/>
        <v>2</v>
      </c>
      <c r="CJ63" s="341">
        <f t="shared" si="59"/>
        <v>3</v>
      </c>
      <c r="CK63" s="341">
        <f t="shared" si="59"/>
        <v>4</v>
      </c>
      <c r="CL63" s="341">
        <f t="shared" si="59"/>
        <v>5</v>
      </c>
      <c r="CM63" s="341">
        <f t="shared" si="59"/>
        <v>6</v>
      </c>
      <c r="CN63" s="341">
        <f t="shared" si="59"/>
        <v>7</v>
      </c>
      <c r="CO63" s="341">
        <f t="shared" si="59"/>
        <v>8</v>
      </c>
      <c r="CP63" s="341">
        <f t="shared" si="59"/>
        <v>9</v>
      </c>
      <c r="CQ63" s="341">
        <f t="shared" si="59"/>
        <v>10</v>
      </c>
      <c r="CT63" s="353"/>
      <c r="CU63" s="353"/>
      <c r="CV63" s="353"/>
      <c r="CW63" s="353" t="b">
        <f t="shared" ref="CW63:CW94" si="102">W63&gt;=CV$5</f>
        <v>1</v>
      </c>
      <c r="CX63" s="353" t="b">
        <f t="shared" ref="CX63:CX94" si="103">X63&gt;=CW$5</f>
        <v>0</v>
      </c>
      <c r="CY63" s="353" t="b">
        <f t="shared" ref="CY63:CY94" si="104">Y63&gt;=CX$5</f>
        <v>1</v>
      </c>
      <c r="DC63" s="347">
        <f t="shared" si="60"/>
        <v>2</v>
      </c>
      <c r="DD63" s="353" t="b">
        <f t="shared" ref="DD63:DD94" si="105">W63&gt;=DC$5</f>
        <v>1</v>
      </c>
      <c r="DE63" s="353" t="b">
        <f t="shared" ref="DE63:DE94" si="106">X63&gt;=DD$5</f>
        <v>0</v>
      </c>
      <c r="DF63" s="353" t="b">
        <f t="shared" ref="DF63:DF94" si="107">Y63&gt;=DE$5</f>
        <v>1</v>
      </c>
      <c r="DG63" s="353"/>
      <c r="DH63" s="353"/>
      <c r="DI63" s="353"/>
      <c r="DJ63" s="353"/>
      <c r="DK63" s="353">
        <f t="shared" si="61"/>
        <v>2</v>
      </c>
      <c r="DM63" s="341">
        <f t="shared" ref="DM63:DM94" si="108">IF($F63="","",IF(AND(DK63=$CW$3,DK63-DC63&lt;=$DD$3),1,0))</f>
        <v>0</v>
      </c>
    </row>
    <row r="64" spans="2:117" x14ac:dyDescent="0.25">
      <c r="B64" s="373">
        <f t="shared" si="56"/>
        <v>34</v>
      </c>
      <c r="C64" s="373"/>
      <c r="D64" s="373"/>
      <c r="E64" s="373"/>
      <c r="F64" s="374" t="s">
        <v>148</v>
      </c>
      <c r="G64" s="375">
        <v>1</v>
      </c>
      <c r="H64" s="375">
        <v>1</v>
      </c>
      <c r="I64" s="375">
        <v>1</v>
      </c>
      <c r="J64" s="375">
        <v>1</v>
      </c>
      <c r="K64" s="375">
        <v>1</v>
      </c>
      <c r="L64" s="375">
        <v>1</v>
      </c>
      <c r="M64" s="375">
        <v>1</v>
      </c>
      <c r="N64" s="375">
        <v>1</v>
      </c>
      <c r="O64" s="375">
        <v>1</v>
      </c>
      <c r="P64" s="375">
        <v>1</v>
      </c>
      <c r="Q64" s="375">
        <v>1</v>
      </c>
      <c r="R64" s="375">
        <v>1</v>
      </c>
      <c r="S64" s="375">
        <v>0</v>
      </c>
      <c r="T64" s="375">
        <v>1</v>
      </c>
      <c r="U64" s="375">
        <v>1</v>
      </c>
      <c r="V64" s="375">
        <v>1</v>
      </c>
      <c r="W64" s="375">
        <v>1</v>
      </c>
      <c r="X64" s="375">
        <v>1</v>
      </c>
      <c r="Y64" s="375">
        <v>1</v>
      </c>
      <c r="Z64" s="376">
        <f t="shared" si="62"/>
        <v>1</v>
      </c>
      <c r="AA64" s="376">
        <v>1</v>
      </c>
      <c r="AB64" s="376"/>
      <c r="AC64" s="376"/>
      <c r="AD64" s="376"/>
      <c r="AE64" s="376"/>
      <c r="AF64" s="376">
        <f t="shared" si="63"/>
        <v>0</v>
      </c>
      <c r="AG64" s="376">
        <v>1</v>
      </c>
      <c r="AH64" s="376">
        <f t="shared" si="64"/>
        <v>1</v>
      </c>
      <c r="AI64" s="376"/>
      <c r="AJ64" s="376"/>
      <c r="AK64" s="373">
        <f t="shared" si="65"/>
        <v>1</v>
      </c>
      <c r="AL64" s="373"/>
      <c r="AM64" s="373"/>
      <c r="AN64" s="373"/>
      <c r="AO64" s="373"/>
      <c r="AP64" s="377">
        <f t="shared" ref="AP64:AP95" si="109">IF($F64="","",IF(AL64=1,1,IF(AR64&lt;&gt;1,$AS$1,IF(SUMPRODUCT(--(G64:AK64&gt;=$G$5:$AK$5)*($G$5:$AK$5&lt;&gt;"")*($G$4:$AK$4=1))=COUNTIF($G$4:$AK$4,1),1,0))))</f>
        <v>1</v>
      </c>
      <c r="AQ64" s="378"/>
      <c r="AR64" s="341">
        <f t="shared" si="66"/>
        <v>1</v>
      </c>
      <c r="AS64" s="341">
        <f t="shared" ref="AS64:AT132" si="110">IF($F64="","",AS$30)</f>
        <v>0</v>
      </c>
      <c r="AT64" s="341">
        <f t="shared" si="110"/>
        <v>1</v>
      </c>
      <c r="AU64" s="361">
        <f t="shared" si="67"/>
        <v>1</v>
      </c>
      <c r="AV64" s="361">
        <f t="shared" si="68"/>
        <v>1</v>
      </c>
      <c r="AW64" s="361">
        <f t="shared" si="69"/>
        <v>1</v>
      </c>
      <c r="AX64" s="361">
        <f t="shared" si="70"/>
        <v>1</v>
      </c>
      <c r="AY64" s="361">
        <f t="shared" si="71"/>
        <v>1</v>
      </c>
      <c r="AZ64" s="361">
        <f t="shared" si="72"/>
        <v>1</v>
      </c>
      <c r="BA64" s="361">
        <f t="shared" si="73"/>
        <v>1</v>
      </c>
      <c r="BB64" s="361">
        <f t="shared" si="74"/>
        <v>1</v>
      </c>
      <c r="BC64" s="361">
        <f t="shared" si="75"/>
        <v>1</v>
      </c>
      <c r="BD64" s="361">
        <f t="shared" si="76"/>
        <v>1</v>
      </c>
      <c r="BE64" s="361">
        <f t="shared" si="77"/>
        <v>1</v>
      </c>
      <c r="BF64" s="361">
        <f t="shared" si="78"/>
        <v>1</v>
      </c>
      <c r="BG64" s="361">
        <f t="shared" si="79"/>
        <v>1</v>
      </c>
      <c r="BH64" s="361">
        <f t="shared" si="80"/>
        <v>1</v>
      </c>
      <c r="BI64" s="361">
        <f t="shared" si="81"/>
        <v>1</v>
      </c>
      <c r="BJ64" s="361">
        <f t="shared" si="82"/>
        <v>1</v>
      </c>
      <c r="BK64" s="361">
        <f t="shared" si="83"/>
        <v>1</v>
      </c>
      <c r="BL64" s="361">
        <f t="shared" si="84"/>
        <v>1</v>
      </c>
      <c r="BM64" s="361">
        <f t="shared" si="85"/>
        <v>1</v>
      </c>
      <c r="BN64" s="361">
        <f t="shared" si="86"/>
        <v>1</v>
      </c>
      <c r="BO64" s="361">
        <f t="shared" si="87"/>
        <v>1</v>
      </c>
      <c r="BP64" s="361">
        <f t="shared" si="88"/>
        <v>1</v>
      </c>
      <c r="BQ64" s="361">
        <f t="shared" si="89"/>
        <v>1</v>
      </c>
      <c r="BR64" s="361">
        <f t="shared" si="90"/>
        <v>1</v>
      </c>
      <c r="BS64" s="361">
        <f t="shared" si="91"/>
        <v>1</v>
      </c>
      <c r="BT64" s="361">
        <f t="shared" si="92"/>
        <v>1</v>
      </c>
      <c r="BU64" s="361">
        <f t="shared" si="93"/>
        <v>1</v>
      </c>
      <c r="BV64" s="361">
        <f t="shared" si="94"/>
        <v>1</v>
      </c>
      <c r="BW64" s="361">
        <f t="shared" si="95"/>
        <v>1</v>
      </c>
      <c r="BX64" s="361">
        <f t="shared" si="96"/>
        <v>1</v>
      </c>
      <c r="BY64" s="361">
        <f t="shared" si="97"/>
        <v>1</v>
      </c>
      <c r="BZ64" s="361">
        <f t="shared" si="98"/>
        <v>1</v>
      </c>
      <c r="CA64" s="361">
        <f t="shared" si="99"/>
        <v>1</v>
      </c>
      <c r="CB64" s="361">
        <f t="shared" si="100"/>
        <v>1</v>
      </c>
      <c r="CC64" s="361">
        <f t="shared" si="101"/>
        <v>1</v>
      </c>
      <c r="CH64" s="341">
        <f t="shared" ref="CH64:CQ89" si="111">IF($F64="","",CH$30)</f>
        <v>1</v>
      </c>
      <c r="CI64" s="341">
        <f t="shared" si="111"/>
        <v>2</v>
      </c>
      <c r="CJ64" s="341">
        <f t="shared" si="111"/>
        <v>3</v>
      </c>
      <c r="CK64" s="341">
        <f t="shared" si="111"/>
        <v>4</v>
      </c>
      <c r="CL64" s="341">
        <f t="shared" si="111"/>
        <v>5</v>
      </c>
      <c r="CM64" s="341">
        <f t="shared" si="111"/>
        <v>6</v>
      </c>
      <c r="CN64" s="341">
        <f t="shared" si="111"/>
        <v>7</v>
      </c>
      <c r="CO64" s="341">
        <f t="shared" si="111"/>
        <v>8</v>
      </c>
      <c r="CP64" s="341">
        <f t="shared" si="111"/>
        <v>9</v>
      </c>
      <c r="CQ64" s="341">
        <f t="shared" si="111"/>
        <v>10</v>
      </c>
      <c r="CT64" s="353"/>
      <c r="CU64" s="353"/>
      <c r="CV64" s="353"/>
      <c r="CW64" s="353" t="b">
        <f t="shared" si="102"/>
        <v>1</v>
      </c>
      <c r="CX64" s="353" t="b">
        <f t="shared" si="103"/>
        <v>0</v>
      </c>
      <c r="CY64" s="353" t="b">
        <f t="shared" si="104"/>
        <v>1</v>
      </c>
      <c r="DC64" s="347">
        <f t="shared" si="60"/>
        <v>2</v>
      </c>
      <c r="DD64" s="353" t="b">
        <f t="shared" si="105"/>
        <v>1</v>
      </c>
      <c r="DE64" s="353" t="b">
        <f t="shared" si="106"/>
        <v>0</v>
      </c>
      <c r="DF64" s="353" t="b">
        <f t="shared" si="107"/>
        <v>1</v>
      </c>
      <c r="DG64" s="353"/>
      <c r="DH64" s="353"/>
      <c r="DI64" s="353"/>
      <c r="DJ64" s="353"/>
      <c r="DK64" s="353">
        <f t="shared" si="61"/>
        <v>2</v>
      </c>
      <c r="DM64" s="341">
        <f t="shared" si="108"/>
        <v>0</v>
      </c>
    </row>
    <row r="65" spans="2:117" x14ac:dyDescent="0.25">
      <c r="B65" s="373">
        <f t="shared" si="56"/>
        <v>35</v>
      </c>
      <c r="C65" s="373"/>
      <c r="D65" s="373"/>
      <c r="E65" s="373"/>
      <c r="F65" s="374" t="s">
        <v>149</v>
      </c>
      <c r="G65" s="375">
        <v>1</v>
      </c>
      <c r="H65" s="375">
        <v>1</v>
      </c>
      <c r="I65" s="375">
        <v>1</v>
      </c>
      <c r="J65" s="375">
        <v>1</v>
      </c>
      <c r="K65" s="375">
        <v>1</v>
      </c>
      <c r="L65" s="375">
        <v>1</v>
      </c>
      <c r="M65" s="375">
        <v>1</v>
      </c>
      <c r="N65" s="375">
        <v>1</v>
      </c>
      <c r="O65" s="375">
        <v>1</v>
      </c>
      <c r="P65" s="375">
        <v>1</v>
      </c>
      <c r="Q65" s="375">
        <v>1</v>
      </c>
      <c r="R65" s="375">
        <v>1</v>
      </c>
      <c r="S65" s="375">
        <v>0</v>
      </c>
      <c r="T65" s="375">
        <v>1</v>
      </c>
      <c r="U65" s="375">
        <v>1</v>
      </c>
      <c r="V65" s="375">
        <v>1</v>
      </c>
      <c r="W65" s="375">
        <v>1</v>
      </c>
      <c r="X65" s="375">
        <v>1</v>
      </c>
      <c r="Y65" s="375">
        <v>1</v>
      </c>
      <c r="Z65" s="376">
        <f t="shared" si="62"/>
        <v>1</v>
      </c>
      <c r="AA65" s="376">
        <v>1</v>
      </c>
      <c r="AB65" s="376"/>
      <c r="AC65" s="376"/>
      <c r="AD65" s="376"/>
      <c r="AE65" s="376"/>
      <c r="AF65" s="376">
        <f t="shared" si="63"/>
        <v>0</v>
      </c>
      <c r="AG65" s="376">
        <v>1</v>
      </c>
      <c r="AH65" s="376">
        <f t="shared" si="64"/>
        <v>1</v>
      </c>
      <c r="AI65" s="376"/>
      <c r="AJ65" s="376"/>
      <c r="AK65" s="373">
        <f t="shared" si="65"/>
        <v>1</v>
      </c>
      <c r="AL65" s="373"/>
      <c r="AM65" s="373"/>
      <c r="AN65" s="373"/>
      <c r="AO65" s="373"/>
      <c r="AP65" s="377">
        <f t="shared" si="109"/>
        <v>1</v>
      </c>
      <c r="AQ65" s="378"/>
      <c r="AR65" s="341">
        <f t="shared" si="66"/>
        <v>1</v>
      </c>
      <c r="AS65" s="341">
        <f t="shared" si="110"/>
        <v>0</v>
      </c>
      <c r="AT65" s="341">
        <f t="shared" si="110"/>
        <v>1</v>
      </c>
      <c r="AU65" s="361">
        <f t="shared" si="67"/>
        <v>1</v>
      </c>
      <c r="AV65" s="361">
        <f t="shared" si="68"/>
        <v>1</v>
      </c>
      <c r="AW65" s="361">
        <f t="shared" si="69"/>
        <v>1</v>
      </c>
      <c r="AX65" s="361">
        <f t="shared" si="70"/>
        <v>1</v>
      </c>
      <c r="AY65" s="361">
        <f t="shared" si="71"/>
        <v>1</v>
      </c>
      <c r="AZ65" s="361">
        <f t="shared" si="72"/>
        <v>1</v>
      </c>
      <c r="BA65" s="361">
        <f t="shared" si="73"/>
        <v>1</v>
      </c>
      <c r="BB65" s="361">
        <f t="shared" si="74"/>
        <v>1</v>
      </c>
      <c r="BC65" s="361">
        <f t="shared" si="75"/>
        <v>1</v>
      </c>
      <c r="BD65" s="361">
        <f t="shared" si="76"/>
        <v>1</v>
      </c>
      <c r="BE65" s="361">
        <f t="shared" si="77"/>
        <v>1</v>
      </c>
      <c r="BF65" s="361">
        <f t="shared" si="78"/>
        <v>1</v>
      </c>
      <c r="BG65" s="361">
        <f t="shared" si="79"/>
        <v>1</v>
      </c>
      <c r="BH65" s="361">
        <f t="shared" si="80"/>
        <v>1</v>
      </c>
      <c r="BI65" s="361">
        <f t="shared" si="81"/>
        <v>1</v>
      </c>
      <c r="BJ65" s="361">
        <f t="shared" si="82"/>
        <v>1</v>
      </c>
      <c r="BK65" s="361">
        <f t="shared" si="83"/>
        <v>1</v>
      </c>
      <c r="BL65" s="361">
        <f t="shared" si="84"/>
        <v>1</v>
      </c>
      <c r="BM65" s="361">
        <f t="shared" si="85"/>
        <v>1</v>
      </c>
      <c r="BN65" s="361">
        <f t="shared" si="86"/>
        <v>1</v>
      </c>
      <c r="BO65" s="361">
        <f t="shared" si="87"/>
        <v>1</v>
      </c>
      <c r="BP65" s="361">
        <f t="shared" si="88"/>
        <v>1</v>
      </c>
      <c r="BQ65" s="361">
        <f t="shared" si="89"/>
        <v>1</v>
      </c>
      <c r="BR65" s="361">
        <f t="shared" si="90"/>
        <v>1</v>
      </c>
      <c r="BS65" s="361">
        <f t="shared" si="91"/>
        <v>1</v>
      </c>
      <c r="BT65" s="361">
        <f t="shared" si="92"/>
        <v>1</v>
      </c>
      <c r="BU65" s="361">
        <f t="shared" si="93"/>
        <v>1</v>
      </c>
      <c r="BV65" s="361">
        <f t="shared" si="94"/>
        <v>1</v>
      </c>
      <c r="BW65" s="361">
        <f t="shared" si="95"/>
        <v>1</v>
      </c>
      <c r="BX65" s="361">
        <f t="shared" si="96"/>
        <v>1</v>
      </c>
      <c r="BY65" s="361">
        <f t="shared" si="97"/>
        <v>1</v>
      </c>
      <c r="BZ65" s="361">
        <f t="shared" si="98"/>
        <v>1</v>
      </c>
      <c r="CA65" s="361">
        <f t="shared" si="99"/>
        <v>1</v>
      </c>
      <c r="CB65" s="361">
        <f t="shared" si="100"/>
        <v>1</v>
      </c>
      <c r="CC65" s="361">
        <f t="shared" si="101"/>
        <v>1</v>
      </c>
      <c r="CH65" s="341">
        <f t="shared" si="111"/>
        <v>1</v>
      </c>
      <c r="CI65" s="341">
        <f t="shared" si="111"/>
        <v>2</v>
      </c>
      <c r="CJ65" s="341">
        <f t="shared" si="111"/>
        <v>3</v>
      </c>
      <c r="CK65" s="341">
        <f t="shared" si="111"/>
        <v>4</v>
      </c>
      <c r="CL65" s="341">
        <f t="shared" si="111"/>
        <v>5</v>
      </c>
      <c r="CM65" s="341">
        <f t="shared" si="111"/>
        <v>6</v>
      </c>
      <c r="CN65" s="341">
        <f t="shared" si="111"/>
        <v>7</v>
      </c>
      <c r="CO65" s="341">
        <f t="shared" si="111"/>
        <v>8</v>
      </c>
      <c r="CP65" s="341">
        <f t="shared" si="111"/>
        <v>9</v>
      </c>
      <c r="CQ65" s="341">
        <f t="shared" si="111"/>
        <v>10</v>
      </c>
      <c r="CT65" s="353"/>
      <c r="CU65" s="353"/>
      <c r="CV65" s="353"/>
      <c r="CW65" s="353" t="b">
        <f t="shared" si="102"/>
        <v>1</v>
      </c>
      <c r="CX65" s="353" t="b">
        <f t="shared" si="103"/>
        <v>0</v>
      </c>
      <c r="CY65" s="353" t="b">
        <f t="shared" si="104"/>
        <v>1</v>
      </c>
      <c r="DC65" s="347">
        <f t="shared" si="60"/>
        <v>2</v>
      </c>
      <c r="DD65" s="353" t="b">
        <f t="shared" si="105"/>
        <v>1</v>
      </c>
      <c r="DE65" s="353" t="b">
        <f t="shared" si="106"/>
        <v>0</v>
      </c>
      <c r="DF65" s="353" t="b">
        <f t="shared" si="107"/>
        <v>1</v>
      </c>
      <c r="DG65" s="353"/>
      <c r="DH65" s="353"/>
      <c r="DI65" s="353"/>
      <c r="DJ65" s="353"/>
      <c r="DK65" s="353">
        <f t="shared" si="61"/>
        <v>2</v>
      </c>
      <c r="DM65" s="341">
        <f t="shared" si="108"/>
        <v>0</v>
      </c>
    </row>
    <row r="66" spans="2:117" x14ac:dyDescent="0.25">
      <c r="B66" s="373">
        <f t="shared" si="56"/>
        <v>36</v>
      </c>
      <c r="C66" s="373"/>
      <c r="D66" s="373"/>
      <c r="E66" s="373"/>
      <c r="F66" s="374" t="s">
        <v>150</v>
      </c>
      <c r="G66" s="375">
        <v>1</v>
      </c>
      <c r="H66" s="375">
        <v>1</v>
      </c>
      <c r="I66" s="375">
        <v>1</v>
      </c>
      <c r="J66" s="375">
        <v>1</v>
      </c>
      <c r="K66" s="375">
        <v>1</v>
      </c>
      <c r="L66" s="375">
        <v>1</v>
      </c>
      <c r="M66" s="375">
        <v>1</v>
      </c>
      <c r="N66" s="375">
        <v>1</v>
      </c>
      <c r="O66" s="375">
        <v>1</v>
      </c>
      <c r="P66" s="375">
        <v>1</v>
      </c>
      <c r="Q66" s="375">
        <v>1</v>
      </c>
      <c r="R66" s="375">
        <v>1</v>
      </c>
      <c r="S66" s="375">
        <v>0</v>
      </c>
      <c r="T66" s="375">
        <v>1</v>
      </c>
      <c r="U66" s="375">
        <v>1</v>
      </c>
      <c r="V66" s="375">
        <v>1</v>
      </c>
      <c r="W66" s="375">
        <v>1</v>
      </c>
      <c r="X66" s="375">
        <v>1</v>
      </c>
      <c r="Y66" s="375">
        <v>1</v>
      </c>
      <c r="Z66" s="376">
        <f t="shared" si="62"/>
        <v>1</v>
      </c>
      <c r="AA66" s="376">
        <v>1</v>
      </c>
      <c r="AB66" s="376"/>
      <c r="AC66" s="376"/>
      <c r="AD66" s="376"/>
      <c r="AE66" s="376"/>
      <c r="AF66" s="376">
        <f t="shared" si="63"/>
        <v>0</v>
      </c>
      <c r="AG66" s="376">
        <v>1</v>
      </c>
      <c r="AH66" s="376">
        <f t="shared" si="64"/>
        <v>1</v>
      </c>
      <c r="AI66" s="376"/>
      <c r="AJ66" s="376"/>
      <c r="AK66" s="373">
        <f t="shared" si="65"/>
        <v>1</v>
      </c>
      <c r="AL66" s="373"/>
      <c r="AM66" s="373"/>
      <c r="AN66" s="373"/>
      <c r="AO66" s="373"/>
      <c r="AP66" s="377">
        <f t="shared" si="109"/>
        <v>1</v>
      </c>
      <c r="AQ66" s="378"/>
      <c r="AR66" s="341">
        <f t="shared" si="66"/>
        <v>1</v>
      </c>
      <c r="AS66" s="341">
        <f t="shared" si="110"/>
        <v>0</v>
      </c>
      <c r="AT66" s="341">
        <f t="shared" si="110"/>
        <v>1</v>
      </c>
      <c r="AU66" s="361">
        <f t="shared" si="67"/>
        <v>1</v>
      </c>
      <c r="AV66" s="361">
        <f t="shared" si="68"/>
        <v>1</v>
      </c>
      <c r="AW66" s="361">
        <f t="shared" si="69"/>
        <v>1</v>
      </c>
      <c r="AX66" s="361">
        <f t="shared" si="70"/>
        <v>1</v>
      </c>
      <c r="AY66" s="361">
        <f t="shared" si="71"/>
        <v>1</v>
      </c>
      <c r="AZ66" s="361">
        <f t="shared" si="72"/>
        <v>1</v>
      </c>
      <c r="BA66" s="361">
        <f t="shared" si="73"/>
        <v>1</v>
      </c>
      <c r="BB66" s="361">
        <f t="shared" si="74"/>
        <v>1</v>
      </c>
      <c r="BC66" s="361">
        <f t="shared" si="75"/>
        <v>1</v>
      </c>
      <c r="BD66" s="361">
        <f t="shared" si="76"/>
        <v>1</v>
      </c>
      <c r="BE66" s="361">
        <f t="shared" si="77"/>
        <v>1</v>
      </c>
      <c r="BF66" s="361">
        <f t="shared" si="78"/>
        <v>1</v>
      </c>
      <c r="BG66" s="361">
        <f t="shared" si="79"/>
        <v>1</v>
      </c>
      <c r="BH66" s="361">
        <f t="shared" si="80"/>
        <v>1</v>
      </c>
      <c r="BI66" s="361">
        <f t="shared" si="81"/>
        <v>1</v>
      </c>
      <c r="BJ66" s="361">
        <f t="shared" si="82"/>
        <v>1</v>
      </c>
      <c r="BK66" s="361">
        <f t="shared" si="83"/>
        <v>1</v>
      </c>
      <c r="BL66" s="361">
        <f t="shared" si="84"/>
        <v>1</v>
      </c>
      <c r="BM66" s="361">
        <f t="shared" si="85"/>
        <v>1</v>
      </c>
      <c r="BN66" s="361">
        <f t="shared" si="86"/>
        <v>1</v>
      </c>
      <c r="BO66" s="361">
        <f t="shared" si="87"/>
        <v>1</v>
      </c>
      <c r="BP66" s="361">
        <f t="shared" si="88"/>
        <v>1</v>
      </c>
      <c r="BQ66" s="361">
        <f t="shared" si="89"/>
        <v>1</v>
      </c>
      <c r="BR66" s="361">
        <f t="shared" si="90"/>
        <v>1</v>
      </c>
      <c r="BS66" s="361">
        <f t="shared" si="91"/>
        <v>1</v>
      </c>
      <c r="BT66" s="361">
        <f t="shared" si="92"/>
        <v>1</v>
      </c>
      <c r="BU66" s="361">
        <f t="shared" si="93"/>
        <v>1</v>
      </c>
      <c r="BV66" s="361">
        <f t="shared" si="94"/>
        <v>1</v>
      </c>
      <c r="BW66" s="361">
        <f t="shared" si="95"/>
        <v>1</v>
      </c>
      <c r="BX66" s="361">
        <f t="shared" si="96"/>
        <v>1</v>
      </c>
      <c r="BY66" s="361">
        <f t="shared" si="97"/>
        <v>1</v>
      </c>
      <c r="BZ66" s="361">
        <f t="shared" si="98"/>
        <v>1</v>
      </c>
      <c r="CA66" s="361">
        <f t="shared" si="99"/>
        <v>1</v>
      </c>
      <c r="CB66" s="361">
        <f t="shared" si="100"/>
        <v>1</v>
      </c>
      <c r="CC66" s="361">
        <f t="shared" si="101"/>
        <v>1</v>
      </c>
      <c r="CH66" s="341">
        <f t="shared" si="111"/>
        <v>1</v>
      </c>
      <c r="CI66" s="341">
        <f t="shared" si="111"/>
        <v>2</v>
      </c>
      <c r="CJ66" s="341">
        <f t="shared" si="111"/>
        <v>3</v>
      </c>
      <c r="CK66" s="341">
        <f t="shared" si="111"/>
        <v>4</v>
      </c>
      <c r="CL66" s="341">
        <f t="shared" si="111"/>
        <v>5</v>
      </c>
      <c r="CM66" s="341">
        <f t="shared" si="111"/>
        <v>6</v>
      </c>
      <c r="CN66" s="341">
        <f t="shared" si="111"/>
        <v>7</v>
      </c>
      <c r="CO66" s="341">
        <f t="shared" si="111"/>
        <v>8</v>
      </c>
      <c r="CP66" s="341">
        <f t="shared" si="111"/>
        <v>9</v>
      </c>
      <c r="CQ66" s="341">
        <f t="shared" si="111"/>
        <v>10</v>
      </c>
      <c r="CT66" s="353"/>
      <c r="CU66" s="353"/>
      <c r="CV66" s="353"/>
      <c r="CW66" s="353" t="b">
        <f t="shared" si="102"/>
        <v>1</v>
      </c>
      <c r="CX66" s="353" t="b">
        <f t="shared" si="103"/>
        <v>0</v>
      </c>
      <c r="CY66" s="353" t="b">
        <f t="shared" si="104"/>
        <v>1</v>
      </c>
      <c r="DC66" s="347">
        <f t="shared" si="60"/>
        <v>2</v>
      </c>
      <c r="DD66" s="353" t="b">
        <f t="shared" si="105"/>
        <v>1</v>
      </c>
      <c r="DE66" s="353" t="b">
        <f t="shared" si="106"/>
        <v>0</v>
      </c>
      <c r="DF66" s="353" t="b">
        <f t="shared" si="107"/>
        <v>1</v>
      </c>
      <c r="DG66" s="353"/>
      <c r="DH66" s="353"/>
      <c r="DI66" s="353"/>
      <c r="DJ66" s="353"/>
      <c r="DK66" s="353">
        <f t="shared" si="61"/>
        <v>2</v>
      </c>
      <c r="DM66" s="341">
        <f t="shared" si="108"/>
        <v>0</v>
      </c>
    </row>
    <row r="67" spans="2:117" x14ac:dyDescent="0.25">
      <c r="B67" s="373">
        <f t="shared" si="56"/>
        <v>37</v>
      </c>
      <c r="C67" s="373"/>
      <c r="D67" s="373"/>
      <c r="E67" s="373"/>
      <c r="F67" s="374" t="s">
        <v>151</v>
      </c>
      <c r="G67" s="375">
        <v>1</v>
      </c>
      <c r="H67" s="375">
        <v>1</v>
      </c>
      <c r="I67" s="375">
        <v>1</v>
      </c>
      <c r="J67" s="375">
        <v>1</v>
      </c>
      <c r="K67" s="375">
        <v>1</v>
      </c>
      <c r="L67" s="375">
        <v>1</v>
      </c>
      <c r="M67" s="375">
        <v>1</v>
      </c>
      <c r="N67" s="375">
        <v>1</v>
      </c>
      <c r="O67" s="375">
        <v>1</v>
      </c>
      <c r="P67" s="375">
        <v>1</v>
      </c>
      <c r="Q67" s="375">
        <v>1</v>
      </c>
      <c r="R67" s="375">
        <v>1</v>
      </c>
      <c r="S67" s="375">
        <v>0</v>
      </c>
      <c r="T67" s="375">
        <v>1</v>
      </c>
      <c r="U67" s="375">
        <v>1</v>
      </c>
      <c r="V67" s="375">
        <v>1</v>
      </c>
      <c r="W67" s="375">
        <v>1</v>
      </c>
      <c r="X67" s="375">
        <v>1</v>
      </c>
      <c r="Y67" s="375">
        <v>1</v>
      </c>
      <c r="Z67" s="376">
        <f t="shared" si="62"/>
        <v>1</v>
      </c>
      <c r="AA67" s="376">
        <v>1</v>
      </c>
      <c r="AB67" s="376"/>
      <c r="AC67" s="376"/>
      <c r="AD67" s="376"/>
      <c r="AE67" s="376"/>
      <c r="AF67" s="376">
        <f t="shared" si="63"/>
        <v>0</v>
      </c>
      <c r="AG67" s="376">
        <v>1</v>
      </c>
      <c r="AH67" s="376">
        <f t="shared" si="64"/>
        <v>1</v>
      </c>
      <c r="AI67" s="376"/>
      <c r="AJ67" s="376"/>
      <c r="AK67" s="373">
        <f t="shared" si="65"/>
        <v>1</v>
      </c>
      <c r="AL67" s="373"/>
      <c r="AM67" s="373"/>
      <c r="AN67" s="373"/>
      <c r="AO67" s="373"/>
      <c r="AP67" s="377">
        <f t="shared" si="109"/>
        <v>1</v>
      </c>
      <c r="AQ67" s="378"/>
      <c r="AR67" s="341">
        <f t="shared" si="66"/>
        <v>1</v>
      </c>
      <c r="AS67" s="341">
        <f t="shared" si="110"/>
        <v>0</v>
      </c>
      <c r="AT67" s="341">
        <f t="shared" si="110"/>
        <v>1</v>
      </c>
      <c r="AU67" s="361">
        <f t="shared" si="67"/>
        <v>1</v>
      </c>
      <c r="AV67" s="361">
        <f t="shared" si="68"/>
        <v>1</v>
      </c>
      <c r="AW67" s="361">
        <f t="shared" si="69"/>
        <v>1</v>
      </c>
      <c r="AX67" s="361">
        <f t="shared" si="70"/>
        <v>1</v>
      </c>
      <c r="AY67" s="361">
        <f t="shared" si="71"/>
        <v>1</v>
      </c>
      <c r="AZ67" s="361">
        <f t="shared" si="72"/>
        <v>1</v>
      </c>
      <c r="BA67" s="361">
        <f t="shared" si="73"/>
        <v>1</v>
      </c>
      <c r="BB67" s="361">
        <f t="shared" si="74"/>
        <v>1</v>
      </c>
      <c r="BC67" s="361">
        <f t="shared" si="75"/>
        <v>1</v>
      </c>
      <c r="BD67" s="361">
        <f t="shared" si="76"/>
        <v>1</v>
      </c>
      <c r="BE67" s="361">
        <f t="shared" si="77"/>
        <v>1</v>
      </c>
      <c r="BF67" s="361">
        <f t="shared" si="78"/>
        <v>1</v>
      </c>
      <c r="BG67" s="361">
        <f t="shared" si="79"/>
        <v>1</v>
      </c>
      <c r="BH67" s="361">
        <f t="shared" si="80"/>
        <v>1</v>
      </c>
      <c r="BI67" s="361">
        <f t="shared" si="81"/>
        <v>1</v>
      </c>
      <c r="BJ67" s="361">
        <f t="shared" si="82"/>
        <v>1</v>
      </c>
      <c r="BK67" s="361">
        <f t="shared" si="83"/>
        <v>1</v>
      </c>
      <c r="BL67" s="361">
        <f t="shared" si="84"/>
        <v>1</v>
      </c>
      <c r="BM67" s="361">
        <f t="shared" si="85"/>
        <v>1</v>
      </c>
      <c r="BN67" s="361">
        <f t="shared" si="86"/>
        <v>1</v>
      </c>
      <c r="BO67" s="361">
        <f t="shared" si="87"/>
        <v>1</v>
      </c>
      <c r="BP67" s="361">
        <f t="shared" si="88"/>
        <v>1</v>
      </c>
      <c r="BQ67" s="361">
        <f t="shared" si="89"/>
        <v>1</v>
      </c>
      <c r="BR67" s="361">
        <f t="shared" si="90"/>
        <v>1</v>
      </c>
      <c r="BS67" s="361">
        <f t="shared" si="91"/>
        <v>1</v>
      </c>
      <c r="BT67" s="361">
        <f t="shared" si="92"/>
        <v>1</v>
      </c>
      <c r="BU67" s="361">
        <f t="shared" si="93"/>
        <v>1</v>
      </c>
      <c r="BV67" s="361">
        <f t="shared" si="94"/>
        <v>1</v>
      </c>
      <c r="BW67" s="361">
        <f t="shared" si="95"/>
        <v>1</v>
      </c>
      <c r="BX67" s="361">
        <f t="shared" si="96"/>
        <v>1</v>
      </c>
      <c r="BY67" s="361">
        <f t="shared" si="97"/>
        <v>1</v>
      </c>
      <c r="BZ67" s="361">
        <f t="shared" si="98"/>
        <v>1</v>
      </c>
      <c r="CA67" s="361">
        <f t="shared" si="99"/>
        <v>1</v>
      </c>
      <c r="CB67" s="361">
        <f t="shared" si="100"/>
        <v>1</v>
      </c>
      <c r="CC67" s="361">
        <f t="shared" si="101"/>
        <v>1</v>
      </c>
      <c r="CH67" s="341">
        <f t="shared" si="111"/>
        <v>1</v>
      </c>
      <c r="CI67" s="341">
        <f t="shared" si="111"/>
        <v>2</v>
      </c>
      <c r="CJ67" s="341">
        <f t="shared" si="111"/>
        <v>3</v>
      </c>
      <c r="CK67" s="341">
        <f t="shared" si="111"/>
        <v>4</v>
      </c>
      <c r="CL67" s="341">
        <f t="shared" si="111"/>
        <v>5</v>
      </c>
      <c r="CM67" s="341">
        <f t="shared" si="111"/>
        <v>6</v>
      </c>
      <c r="CN67" s="341">
        <f t="shared" si="111"/>
        <v>7</v>
      </c>
      <c r="CO67" s="341">
        <f t="shared" si="111"/>
        <v>8</v>
      </c>
      <c r="CP67" s="341">
        <f t="shared" si="111"/>
        <v>9</v>
      </c>
      <c r="CQ67" s="341">
        <f t="shared" si="111"/>
        <v>10</v>
      </c>
      <c r="CT67" s="353"/>
      <c r="CU67" s="353"/>
      <c r="CV67" s="353"/>
      <c r="CW67" s="353" t="b">
        <f t="shared" si="102"/>
        <v>1</v>
      </c>
      <c r="CX67" s="353" t="b">
        <f t="shared" si="103"/>
        <v>0</v>
      </c>
      <c r="CY67" s="353" t="b">
        <f t="shared" si="104"/>
        <v>1</v>
      </c>
      <c r="DC67" s="347">
        <f t="shared" si="60"/>
        <v>2</v>
      </c>
      <c r="DD67" s="353" t="b">
        <f t="shared" si="105"/>
        <v>1</v>
      </c>
      <c r="DE67" s="353" t="b">
        <f t="shared" si="106"/>
        <v>0</v>
      </c>
      <c r="DF67" s="353" t="b">
        <f t="shared" si="107"/>
        <v>1</v>
      </c>
      <c r="DG67" s="353"/>
      <c r="DH67" s="353"/>
      <c r="DI67" s="353"/>
      <c r="DJ67" s="353"/>
      <c r="DK67" s="353">
        <f t="shared" si="61"/>
        <v>2</v>
      </c>
      <c r="DM67" s="341">
        <f t="shared" si="108"/>
        <v>0</v>
      </c>
    </row>
    <row r="68" spans="2:117" x14ac:dyDescent="0.25">
      <c r="B68" s="373">
        <f t="shared" si="56"/>
        <v>38</v>
      </c>
      <c r="C68" s="373"/>
      <c r="D68" s="373"/>
      <c r="E68" s="373"/>
      <c r="F68" s="374" t="s">
        <v>152</v>
      </c>
      <c r="G68" s="375">
        <v>1</v>
      </c>
      <c r="H68" s="375">
        <v>1</v>
      </c>
      <c r="I68" s="375">
        <v>1</v>
      </c>
      <c r="J68" s="375">
        <v>1</v>
      </c>
      <c r="K68" s="375">
        <v>1</v>
      </c>
      <c r="L68" s="375">
        <v>1</v>
      </c>
      <c r="M68" s="375">
        <v>1</v>
      </c>
      <c r="N68" s="375">
        <v>1</v>
      </c>
      <c r="O68" s="375">
        <v>1</v>
      </c>
      <c r="P68" s="375">
        <v>1</v>
      </c>
      <c r="Q68" s="375">
        <v>1</v>
      </c>
      <c r="R68" s="375">
        <v>1</v>
      </c>
      <c r="S68" s="375">
        <v>0</v>
      </c>
      <c r="T68" s="375">
        <v>1</v>
      </c>
      <c r="U68" s="375">
        <v>1</v>
      </c>
      <c r="V68" s="375">
        <v>1</v>
      </c>
      <c r="W68" s="375">
        <v>1</v>
      </c>
      <c r="X68" s="375">
        <v>1</v>
      </c>
      <c r="Y68" s="375">
        <v>1</v>
      </c>
      <c r="Z68" s="376">
        <f t="shared" si="62"/>
        <v>1</v>
      </c>
      <c r="AA68" s="376">
        <v>1</v>
      </c>
      <c r="AB68" s="376"/>
      <c r="AC68" s="376"/>
      <c r="AD68" s="376"/>
      <c r="AE68" s="376"/>
      <c r="AF68" s="376">
        <f t="shared" si="63"/>
        <v>0</v>
      </c>
      <c r="AG68" s="376">
        <v>1</v>
      </c>
      <c r="AH68" s="376">
        <f t="shared" si="64"/>
        <v>1</v>
      </c>
      <c r="AI68" s="376"/>
      <c r="AJ68" s="376"/>
      <c r="AK68" s="373">
        <f t="shared" si="65"/>
        <v>1</v>
      </c>
      <c r="AL68" s="373"/>
      <c r="AM68" s="373"/>
      <c r="AN68" s="373"/>
      <c r="AO68" s="373"/>
      <c r="AP68" s="377">
        <f t="shared" si="109"/>
        <v>1</v>
      </c>
      <c r="AQ68" s="378"/>
      <c r="AR68" s="341">
        <f t="shared" si="66"/>
        <v>1</v>
      </c>
      <c r="AS68" s="341">
        <f t="shared" si="110"/>
        <v>0</v>
      </c>
      <c r="AT68" s="341">
        <f t="shared" si="110"/>
        <v>1</v>
      </c>
      <c r="AU68" s="361">
        <f t="shared" si="67"/>
        <v>1</v>
      </c>
      <c r="AV68" s="361">
        <f t="shared" si="68"/>
        <v>1</v>
      </c>
      <c r="AW68" s="361">
        <f t="shared" si="69"/>
        <v>1</v>
      </c>
      <c r="AX68" s="361">
        <f t="shared" si="70"/>
        <v>1</v>
      </c>
      <c r="AY68" s="361">
        <f t="shared" si="71"/>
        <v>1</v>
      </c>
      <c r="AZ68" s="361">
        <f t="shared" si="72"/>
        <v>1</v>
      </c>
      <c r="BA68" s="361">
        <f t="shared" si="73"/>
        <v>1</v>
      </c>
      <c r="BB68" s="361">
        <f t="shared" si="74"/>
        <v>1</v>
      </c>
      <c r="BC68" s="361">
        <f t="shared" si="75"/>
        <v>1</v>
      </c>
      <c r="BD68" s="361">
        <f t="shared" si="76"/>
        <v>1</v>
      </c>
      <c r="BE68" s="361">
        <f t="shared" si="77"/>
        <v>1</v>
      </c>
      <c r="BF68" s="361">
        <f t="shared" si="78"/>
        <v>1</v>
      </c>
      <c r="BG68" s="361">
        <f t="shared" si="79"/>
        <v>1</v>
      </c>
      <c r="BH68" s="361">
        <f t="shared" si="80"/>
        <v>1</v>
      </c>
      <c r="BI68" s="361">
        <f t="shared" si="81"/>
        <v>1</v>
      </c>
      <c r="BJ68" s="361">
        <f t="shared" si="82"/>
        <v>1</v>
      </c>
      <c r="BK68" s="361">
        <f t="shared" si="83"/>
        <v>1</v>
      </c>
      <c r="BL68" s="361">
        <f t="shared" si="84"/>
        <v>1</v>
      </c>
      <c r="BM68" s="361">
        <f t="shared" si="85"/>
        <v>1</v>
      </c>
      <c r="BN68" s="361">
        <f t="shared" si="86"/>
        <v>1</v>
      </c>
      <c r="BO68" s="361">
        <f t="shared" si="87"/>
        <v>1</v>
      </c>
      <c r="BP68" s="361">
        <f t="shared" si="88"/>
        <v>1</v>
      </c>
      <c r="BQ68" s="361">
        <f t="shared" si="89"/>
        <v>1</v>
      </c>
      <c r="BR68" s="361">
        <f t="shared" si="90"/>
        <v>1</v>
      </c>
      <c r="BS68" s="361">
        <f t="shared" si="91"/>
        <v>1</v>
      </c>
      <c r="BT68" s="361">
        <f t="shared" si="92"/>
        <v>1</v>
      </c>
      <c r="BU68" s="361">
        <f t="shared" si="93"/>
        <v>1</v>
      </c>
      <c r="BV68" s="361">
        <f t="shared" si="94"/>
        <v>1</v>
      </c>
      <c r="BW68" s="361">
        <f t="shared" si="95"/>
        <v>1</v>
      </c>
      <c r="BX68" s="361">
        <f t="shared" si="96"/>
        <v>1</v>
      </c>
      <c r="BY68" s="361">
        <f t="shared" si="97"/>
        <v>1</v>
      </c>
      <c r="BZ68" s="361">
        <f t="shared" si="98"/>
        <v>1</v>
      </c>
      <c r="CA68" s="361">
        <f t="shared" si="99"/>
        <v>1</v>
      </c>
      <c r="CB68" s="361">
        <f t="shared" si="100"/>
        <v>1</v>
      </c>
      <c r="CC68" s="361">
        <f t="shared" si="101"/>
        <v>1</v>
      </c>
      <c r="CH68" s="341">
        <f t="shared" si="111"/>
        <v>1</v>
      </c>
      <c r="CI68" s="341">
        <f t="shared" si="111"/>
        <v>2</v>
      </c>
      <c r="CJ68" s="341">
        <f t="shared" si="111"/>
        <v>3</v>
      </c>
      <c r="CK68" s="341">
        <f t="shared" si="111"/>
        <v>4</v>
      </c>
      <c r="CL68" s="341">
        <f t="shared" si="111"/>
        <v>5</v>
      </c>
      <c r="CM68" s="341">
        <f t="shared" si="111"/>
        <v>6</v>
      </c>
      <c r="CN68" s="341">
        <f t="shared" si="111"/>
        <v>7</v>
      </c>
      <c r="CO68" s="341">
        <f t="shared" si="111"/>
        <v>8</v>
      </c>
      <c r="CP68" s="341">
        <f t="shared" si="111"/>
        <v>9</v>
      </c>
      <c r="CQ68" s="341">
        <f t="shared" si="111"/>
        <v>10</v>
      </c>
      <c r="CT68" s="353"/>
      <c r="CU68" s="353"/>
      <c r="CV68" s="353"/>
      <c r="CW68" s="353" t="b">
        <f t="shared" si="102"/>
        <v>1</v>
      </c>
      <c r="CX68" s="353" t="b">
        <f t="shared" si="103"/>
        <v>0</v>
      </c>
      <c r="CY68" s="353" t="b">
        <f t="shared" si="104"/>
        <v>1</v>
      </c>
      <c r="DC68" s="347">
        <f t="shared" si="60"/>
        <v>2</v>
      </c>
      <c r="DD68" s="353" t="b">
        <f t="shared" si="105"/>
        <v>1</v>
      </c>
      <c r="DE68" s="353" t="b">
        <f t="shared" si="106"/>
        <v>0</v>
      </c>
      <c r="DF68" s="353" t="b">
        <f t="shared" si="107"/>
        <v>1</v>
      </c>
      <c r="DG68" s="353"/>
      <c r="DH68" s="353"/>
      <c r="DI68" s="353"/>
      <c r="DJ68" s="353"/>
      <c r="DK68" s="353">
        <f t="shared" si="61"/>
        <v>2</v>
      </c>
      <c r="DM68" s="341">
        <f t="shared" si="108"/>
        <v>0</v>
      </c>
    </row>
    <row r="69" spans="2:117" x14ac:dyDescent="0.25">
      <c r="B69" s="373">
        <f t="shared" si="56"/>
        <v>39</v>
      </c>
      <c r="C69" s="373"/>
      <c r="D69" s="373"/>
      <c r="E69" s="373"/>
      <c r="F69" s="374" t="s">
        <v>153</v>
      </c>
      <c r="G69" s="375">
        <v>1</v>
      </c>
      <c r="H69" s="375">
        <v>1</v>
      </c>
      <c r="I69" s="375">
        <v>1</v>
      </c>
      <c r="J69" s="375">
        <v>1</v>
      </c>
      <c r="K69" s="375">
        <v>1</v>
      </c>
      <c r="L69" s="375">
        <v>1</v>
      </c>
      <c r="M69" s="375">
        <v>1</v>
      </c>
      <c r="N69" s="375">
        <v>1</v>
      </c>
      <c r="O69" s="375">
        <v>1</v>
      </c>
      <c r="P69" s="375">
        <v>1</v>
      </c>
      <c r="Q69" s="375">
        <v>1</v>
      </c>
      <c r="R69" s="375">
        <v>1</v>
      </c>
      <c r="S69" s="375">
        <v>0</v>
      </c>
      <c r="T69" s="375">
        <v>1</v>
      </c>
      <c r="U69" s="375">
        <v>1</v>
      </c>
      <c r="V69" s="375">
        <v>1</v>
      </c>
      <c r="W69" s="375">
        <v>1</v>
      </c>
      <c r="X69" s="375">
        <v>1</v>
      </c>
      <c r="Y69" s="375">
        <v>1</v>
      </c>
      <c r="Z69" s="376">
        <f t="shared" si="62"/>
        <v>1</v>
      </c>
      <c r="AA69" s="376">
        <v>1</v>
      </c>
      <c r="AB69" s="376"/>
      <c r="AC69" s="376"/>
      <c r="AD69" s="376"/>
      <c r="AE69" s="376"/>
      <c r="AF69" s="376">
        <f t="shared" si="63"/>
        <v>0</v>
      </c>
      <c r="AG69" s="376">
        <v>1</v>
      </c>
      <c r="AH69" s="376">
        <f t="shared" si="64"/>
        <v>1</v>
      </c>
      <c r="AI69" s="376"/>
      <c r="AJ69" s="376"/>
      <c r="AK69" s="373">
        <f t="shared" si="65"/>
        <v>1</v>
      </c>
      <c r="AL69" s="373"/>
      <c r="AM69" s="373"/>
      <c r="AN69" s="373"/>
      <c r="AO69" s="373"/>
      <c r="AP69" s="377">
        <f t="shared" si="109"/>
        <v>1</v>
      </c>
      <c r="AQ69" s="378"/>
      <c r="AR69" s="341">
        <f t="shared" si="66"/>
        <v>1</v>
      </c>
      <c r="AS69" s="341">
        <f t="shared" si="110"/>
        <v>0</v>
      </c>
      <c r="AT69" s="341">
        <f t="shared" si="110"/>
        <v>1</v>
      </c>
      <c r="AU69" s="361">
        <f t="shared" si="67"/>
        <v>1</v>
      </c>
      <c r="AV69" s="361">
        <f t="shared" si="68"/>
        <v>1</v>
      </c>
      <c r="AW69" s="361">
        <f t="shared" si="69"/>
        <v>1</v>
      </c>
      <c r="AX69" s="361">
        <f t="shared" si="70"/>
        <v>1</v>
      </c>
      <c r="AY69" s="361">
        <f t="shared" si="71"/>
        <v>1</v>
      </c>
      <c r="AZ69" s="361">
        <f t="shared" si="72"/>
        <v>1</v>
      </c>
      <c r="BA69" s="361">
        <f t="shared" si="73"/>
        <v>1</v>
      </c>
      <c r="BB69" s="361">
        <f t="shared" si="74"/>
        <v>1</v>
      </c>
      <c r="BC69" s="361">
        <f t="shared" si="75"/>
        <v>1</v>
      </c>
      <c r="BD69" s="361">
        <f t="shared" si="76"/>
        <v>1</v>
      </c>
      <c r="BE69" s="361">
        <f t="shared" si="77"/>
        <v>1</v>
      </c>
      <c r="BF69" s="361">
        <f t="shared" si="78"/>
        <v>1</v>
      </c>
      <c r="BG69" s="361">
        <f t="shared" si="79"/>
        <v>1</v>
      </c>
      <c r="BH69" s="361">
        <f t="shared" si="80"/>
        <v>1</v>
      </c>
      <c r="BI69" s="361">
        <f t="shared" si="81"/>
        <v>1</v>
      </c>
      <c r="BJ69" s="361">
        <f t="shared" si="82"/>
        <v>1</v>
      </c>
      <c r="BK69" s="361">
        <f t="shared" si="83"/>
        <v>1</v>
      </c>
      <c r="BL69" s="361">
        <f t="shared" si="84"/>
        <v>1</v>
      </c>
      <c r="BM69" s="361">
        <f t="shared" si="85"/>
        <v>1</v>
      </c>
      <c r="BN69" s="361">
        <f t="shared" si="86"/>
        <v>1</v>
      </c>
      <c r="BO69" s="361">
        <f t="shared" si="87"/>
        <v>1</v>
      </c>
      <c r="BP69" s="361">
        <f t="shared" si="88"/>
        <v>1</v>
      </c>
      <c r="BQ69" s="361">
        <f t="shared" si="89"/>
        <v>1</v>
      </c>
      <c r="BR69" s="361">
        <f t="shared" si="90"/>
        <v>1</v>
      </c>
      <c r="BS69" s="361">
        <f t="shared" si="91"/>
        <v>1</v>
      </c>
      <c r="BT69" s="361">
        <f t="shared" si="92"/>
        <v>1</v>
      </c>
      <c r="BU69" s="361">
        <f t="shared" si="93"/>
        <v>1</v>
      </c>
      <c r="BV69" s="361">
        <f t="shared" si="94"/>
        <v>1</v>
      </c>
      <c r="BW69" s="361">
        <f t="shared" si="95"/>
        <v>1</v>
      </c>
      <c r="BX69" s="361">
        <f t="shared" si="96"/>
        <v>1</v>
      </c>
      <c r="BY69" s="361">
        <f t="shared" si="97"/>
        <v>1</v>
      </c>
      <c r="BZ69" s="361">
        <f t="shared" si="98"/>
        <v>1</v>
      </c>
      <c r="CA69" s="361">
        <f t="shared" si="99"/>
        <v>1</v>
      </c>
      <c r="CB69" s="361">
        <f t="shared" si="100"/>
        <v>1</v>
      </c>
      <c r="CC69" s="361">
        <f t="shared" si="101"/>
        <v>1</v>
      </c>
      <c r="CH69" s="341">
        <f t="shared" si="111"/>
        <v>1</v>
      </c>
      <c r="CI69" s="341">
        <f t="shared" si="111"/>
        <v>2</v>
      </c>
      <c r="CJ69" s="341">
        <f t="shared" si="111"/>
        <v>3</v>
      </c>
      <c r="CK69" s="341">
        <f t="shared" si="111"/>
        <v>4</v>
      </c>
      <c r="CL69" s="341">
        <f t="shared" si="111"/>
        <v>5</v>
      </c>
      <c r="CM69" s="341">
        <f t="shared" si="111"/>
        <v>6</v>
      </c>
      <c r="CN69" s="341">
        <f t="shared" si="111"/>
        <v>7</v>
      </c>
      <c r="CO69" s="341">
        <f t="shared" si="111"/>
        <v>8</v>
      </c>
      <c r="CP69" s="341">
        <f t="shared" si="111"/>
        <v>9</v>
      </c>
      <c r="CQ69" s="341">
        <f t="shared" si="111"/>
        <v>10</v>
      </c>
      <c r="CT69" s="353"/>
      <c r="CU69" s="353"/>
      <c r="CV69" s="353"/>
      <c r="CW69" s="353" t="b">
        <f t="shared" si="102"/>
        <v>1</v>
      </c>
      <c r="CX69" s="353" t="b">
        <f t="shared" si="103"/>
        <v>0</v>
      </c>
      <c r="CY69" s="353" t="b">
        <f t="shared" si="104"/>
        <v>1</v>
      </c>
      <c r="DC69" s="347">
        <f t="shared" si="60"/>
        <v>2</v>
      </c>
      <c r="DD69" s="353" t="b">
        <f t="shared" si="105"/>
        <v>1</v>
      </c>
      <c r="DE69" s="353" t="b">
        <f t="shared" si="106"/>
        <v>0</v>
      </c>
      <c r="DF69" s="353" t="b">
        <f t="shared" si="107"/>
        <v>1</v>
      </c>
      <c r="DG69" s="353"/>
      <c r="DH69" s="353"/>
      <c r="DI69" s="353"/>
      <c r="DJ69" s="353"/>
      <c r="DK69" s="353">
        <f t="shared" si="61"/>
        <v>2</v>
      </c>
      <c r="DM69" s="341">
        <f t="shared" si="108"/>
        <v>0</v>
      </c>
    </row>
    <row r="70" spans="2:117" x14ac:dyDescent="0.25">
      <c r="B70" s="373">
        <f t="shared" si="56"/>
        <v>40</v>
      </c>
      <c r="C70" s="373"/>
      <c r="D70" s="373"/>
      <c r="E70" s="373"/>
      <c r="F70" s="374" t="s">
        <v>154</v>
      </c>
      <c r="G70" s="375">
        <v>1</v>
      </c>
      <c r="H70" s="375">
        <v>1</v>
      </c>
      <c r="I70" s="375">
        <v>1</v>
      </c>
      <c r="J70" s="375">
        <v>1</v>
      </c>
      <c r="K70" s="375">
        <v>1</v>
      </c>
      <c r="L70" s="375">
        <v>1</v>
      </c>
      <c r="M70" s="375">
        <v>1</v>
      </c>
      <c r="N70" s="375">
        <v>1</v>
      </c>
      <c r="O70" s="375">
        <v>1</v>
      </c>
      <c r="P70" s="375">
        <v>1</v>
      </c>
      <c r="Q70" s="375">
        <v>1</v>
      </c>
      <c r="R70" s="375">
        <v>1</v>
      </c>
      <c r="S70" s="375">
        <v>0</v>
      </c>
      <c r="T70" s="375">
        <v>1</v>
      </c>
      <c r="U70" s="375">
        <v>1</v>
      </c>
      <c r="V70" s="375">
        <v>1</v>
      </c>
      <c r="W70" s="375">
        <v>1</v>
      </c>
      <c r="X70" s="375">
        <v>1</v>
      </c>
      <c r="Y70" s="375">
        <v>1</v>
      </c>
      <c r="Z70" s="376">
        <f t="shared" si="62"/>
        <v>1</v>
      </c>
      <c r="AA70" s="376">
        <v>1</v>
      </c>
      <c r="AB70" s="376"/>
      <c r="AC70" s="376"/>
      <c r="AD70" s="376"/>
      <c r="AE70" s="376"/>
      <c r="AF70" s="376">
        <f t="shared" si="63"/>
        <v>0</v>
      </c>
      <c r="AG70" s="376">
        <v>1</v>
      </c>
      <c r="AH70" s="376">
        <f t="shared" si="64"/>
        <v>1</v>
      </c>
      <c r="AI70" s="376"/>
      <c r="AJ70" s="376"/>
      <c r="AK70" s="373">
        <f t="shared" si="65"/>
        <v>1</v>
      </c>
      <c r="AL70" s="373"/>
      <c r="AM70" s="373"/>
      <c r="AN70" s="373"/>
      <c r="AO70" s="373"/>
      <c r="AP70" s="377">
        <f t="shared" si="109"/>
        <v>1</v>
      </c>
      <c r="AQ70" s="378"/>
      <c r="AR70" s="341">
        <f t="shared" si="66"/>
        <v>1</v>
      </c>
      <c r="AS70" s="341">
        <f t="shared" si="110"/>
        <v>0</v>
      </c>
      <c r="AT70" s="341">
        <f t="shared" si="110"/>
        <v>1</v>
      </c>
      <c r="AU70" s="361">
        <f t="shared" si="67"/>
        <v>1</v>
      </c>
      <c r="AV70" s="361">
        <f t="shared" si="68"/>
        <v>1</v>
      </c>
      <c r="AW70" s="361">
        <f t="shared" si="69"/>
        <v>1</v>
      </c>
      <c r="AX70" s="361">
        <f t="shared" si="70"/>
        <v>1</v>
      </c>
      <c r="AY70" s="361">
        <f t="shared" si="71"/>
        <v>1</v>
      </c>
      <c r="AZ70" s="361">
        <f t="shared" si="72"/>
        <v>1</v>
      </c>
      <c r="BA70" s="361">
        <f t="shared" si="73"/>
        <v>1</v>
      </c>
      <c r="BB70" s="361">
        <f t="shared" si="74"/>
        <v>1</v>
      </c>
      <c r="BC70" s="361">
        <f t="shared" si="75"/>
        <v>1</v>
      </c>
      <c r="BD70" s="361">
        <f t="shared" si="76"/>
        <v>1</v>
      </c>
      <c r="BE70" s="361">
        <f t="shared" si="77"/>
        <v>1</v>
      </c>
      <c r="BF70" s="361">
        <f t="shared" si="78"/>
        <v>1</v>
      </c>
      <c r="BG70" s="361">
        <f t="shared" si="79"/>
        <v>1</v>
      </c>
      <c r="BH70" s="361">
        <f t="shared" si="80"/>
        <v>1</v>
      </c>
      <c r="BI70" s="361">
        <f t="shared" si="81"/>
        <v>1</v>
      </c>
      <c r="BJ70" s="361">
        <f t="shared" si="82"/>
        <v>1</v>
      </c>
      <c r="BK70" s="361">
        <f t="shared" si="83"/>
        <v>1</v>
      </c>
      <c r="BL70" s="361">
        <f t="shared" si="84"/>
        <v>1</v>
      </c>
      <c r="BM70" s="361">
        <f t="shared" si="85"/>
        <v>1</v>
      </c>
      <c r="BN70" s="361">
        <f t="shared" si="86"/>
        <v>1</v>
      </c>
      <c r="BO70" s="361">
        <f t="shared" si="87"/>
        <v>1</v>
      </c>
      <c r="BP70" s="361">
        <f t="shared" si="88"/>
        <v>1</v>
      </c>
      <c r="BQ70" s="361">
        <f t="shared" si="89"/>
        <v>1</v>
      </c>
      <c r="BR70" s="361">
        <f t="shared" si="90"/>
        <v>1</v>
      </c>
      <c r="BS70" s="361">
        <f t="shared" si="91"/>
        <v>1</v>
      </c>
      <c r="BT70" s="361">
        <f t="shared" si="92"/>
        <v>1</v>
      </c>
      <c r="BU70" s="361">
        <f t="shared" si="93"/>
        <v>1</v>
      </c>
      <c r="BV70" s="361">
        <f t="shared" si="94"/>
        <v>1</v>
      </c>
      <c r="BW70" s="361">
        <f t="shared" si="95"/>
        <v>1</v>
      </c>
      <c r="BX70" s="361">
        <f t="shared" si="96"/>
        <v>1</v>
      </c>
      <c r="BY70" s="361">
        <f t="shared" si="97"/>
        <v>1</v>
      </c>
      <c r="BZ70" s="361">
        <f t="shared" si="98"/>
        <v>1</v>
      </c>
      <c r="CA70" s="361">
        <f t="shared" si="99"/>
        <v>1</v>
      </c>
      <c r="CB70" s="361">
        <f t="shared" si="100"/>
        <v>1</v>
      </c>
      <c r="CC70" s="361">
        <f t="shared" si="101"/>
        <v>1</v>
      </c>
      <c r="CH70" s="341">
        <f t="shared" si="111"/>
        <v>1</v>
      </c>
      <c r="CI70" s="341">
        <f t="shared" si="111"/>
        <v>2</v>
      </c>
      <c r="CJ70" s="341">
        <f t="shared" si="111"/>
        <v>3</v>
      </c>
      <c r="CK70" s="341">
        <f t="shared" si="111"/>
        <v>4</v>
      </c>
      <c r="CL70" s="341">
        <f t="shared" si="111"/>
        <v>5</v>
      </c>
      <c r="CM70" s="341">
        <f t="shared" si="111"/>
        <v>6</v>
      </c>
      <c r="CN70" s="341">
        <f t="shared" si="111"/>
        <v>7</v>
      </c>
      <c r="CO70" s="341">
        <f t="shared" si="111"/>
        <v>8</v>
      </c>
      <c r="CP70" s="341">
        <f t="shared" si="111"/>
        <v>9</v>
      </c>
      <c r="CQ70" s="341">
        <f t="shared" si="111"/>
        <v>10</v>
      </c>
      <c r="CT70" s="353"/>
      <c r="CU70" s="353"/>
      <c r="CV70" s="353"/>
      <c r="CW70" s="353" t="b">
        <f t="shared" si="102"/>
        <v>1</v>
      </c>
      <c r="CX70" s="353" t="b">
        <f t="shared" si="103"/>
        <v>0</v>
      </c>
      <c r="CY70" s="353" t="b">
        <f t="shared" si="104"/>
        <v>1</v>
      </c>
      <c r="DC70" s="347">
        <f t="shared" si="60"/>
        <v>2</v>
      </c>
      <c r="DD70" s="353" t="b">
        <f t="shared" si="105"/>
        <v>1</v>
      </c>
      <c r="DE70" s="353" t="b">
        <f t="shared" si="106"/>
        <v>0</v>
      </c>
      <c r="DF70" s="353" t="b">
        <f t="shared" si="107"/>
        <v>1</v>
      </c>
      <c r="DG70" s="353"/>
      <c r="DH70" s="353"/>
      <c r="DI70" s="353"/>
      <c r="DJ70" s="353"/>
      <c r="DK70" s="353">
        <f t="shared" si="61"/>
        <v>2</v>
      </c>
      <c r="DM70" s="341">
        <f t="shared" si="108"/>
        <v>0</v>
      </c>
    </row>
    <row r="71" spans="2:117" x14ac:dyDescent="0.25">
      <c r="B71" s="373">
        <f t="shared" si="56"/>
        <v>41</v>
      </c>
      <c r="C71" s="373"/>
      <c r="D71" s="373"/>
      <c r="E71" s="373"/>
      <c r="F71" s="374" t="s">
        <v>155</v>
      </c>
      <c r="G71" s="375">
        <v>1</v>
      </c>
      <c r="H71" s="375">
        <v>1</v>
      </c>
      <c r="I71" s="375">
        <v>1</v>
      </c>
      <c r="J71" s="375">
        <v>1</v>
      </c>
      <c r="K71" s="375">
        <v>1</v>
      </c>
      <c r="L71" s="375">
        <v>1</v>
      </c>
      <c r="M71" s="375">
        <v>1</v>
      </c>
      <c r="N71" s="375">
        <v>1</v>
      </c>
      <c r="O71" s="375">
        <v>1</v>
      </c>
      <c r="P71" s="375">
        <v>1</v>
      </c>
      <c r="Q71" s="375">
        <v>1</v>
      </c>
      <c r="R71" s="375">
        <v>1</v>
      </c>
      <c r="S71" s="375">
        <v>0</v>
      </c>
      <c r="T71" s="375">
        <v>1</v>
      </c>
      <c r="U71" s="375">
        <v>1</v>
      </c>
      <c r="V71" s="375">
        <v>1</v>
      </c>
      <c r="W71" s="375">
        <v>1</v>
      </c>
      <c r="X71" s="375">
        <v>1</v>
      </c>
      <c r="Y71" s="375">
        <v>1</v>
      </c>
      <c r="Z71" s="376">
        <f t="shared" si="62"/>
        <v>1</v>
      </c>
      <c r="AA71" s="376">
        <v>1</v>
      </c>
      <c r="AB71" s="376"/>
      <c r="AC71" s="376"/>
      <c r="AD71" s="376"/>
      <c r="AE71" s="376"/>
      <c r="AF71" s="376">
        <f t="shared" si="63"/>
        <v>0</v>
      </c>
      <c r="AG71" s="376">
        <v>1</v>
      </c>
      <c r="AH71" s="376">
        <f t="shared" si="64"/>
        <v>1</v>
      </c>
      <c r="AI71" s="376"/>
      <c r="AJ71" s="376"/>
      <c r="AK71" s="373">
        <f t="shared" si="65"/>
        <v>1</v>
      </c>
      <c r="AL71" s="373"/>
      <c r="AM71" s="373"/>
      <c r="AN71" s="373"/>
      <c r="AO71" s="373"/>
      <c r="AP71" s="377">
        <f t="shared" si="109"/>
        <v>1</v>
      </c>
      <c r="AQ71" s="378"/>
      <c r="AR71" s="341">
        <f t="shared" si="66"/>
        <v>1</v>
      </c>
      <c r="AS71" s="341">
        <f t="shared" si="110"/>
        <v>0</v>
      </c>
      <c r="AT71" s="341">
        <f t="shared" si="110"/>
        <v>1</v>
      </c>
      <c r="AU71" s="361">
        <f t="shared" si="67"/>
        <v>1</v>
      </c>
      <c r="AV71" s="361">
        <f t="shared" si="68"/>
        <v>1</v>
      </c>
      <c r="AW71" s="361">
        <f t="shared" si="69"/>
        <v>1</v>
      </c>
      <c r="AX71" s="361">
        <f t="shared" si="70"/>
        <v>1</v>
      </c>
      <c r="AY71" s="361">
        <f t="shared" si="71"/>
        <v>1</v>
      </c>
      <c r="AZ71" s="361">
        <f t="shared" si="72"/>
        <v>1</v>
      </c>
      <c r="BA71" s="361">
        <f t="shared" si="73"/>
        <v>1</v>
      </c>
      <c r="BB71" s="361">
        <f t="shared" si="74"/>
        <v>1</v>
      </c>
      <c r="BC71" s="361">
        <f t="shared" si="75"/>
        <v>1</v>
      </c>
      <c r="BD71" s="361">
        <f t="shared" si="76"/>
        <v>1</v>
      </c>
      <c r="BE71" s="361">
        <f t="shared" si="77"/>
        <v>1</v>
      </c>
      <c r="BF71" s="361">
        <f t="shared" si="78"/>
        <v>1</v>
      </c>
      <c r="BG71" s="361">
        <f t="shared" si="79"/>
        <v>1</v>
      </c>
      <c r="BH71" s="361">
        <f t="shared" si="80"/>
        <v>1</v>
      </c>
      <c r="BI71" s="361">
        <f t="shared" si="81"/>
        <v>1</v>
      </c>
      <c r="BJ71" s="361">
        <f t="shared" si="82"/>
        <v>1</v>
      </c>
      <c r="BK71" s="361">
        <f t="shared" si="83"/>
        <v>1</v>
      </c>
      <c r="BL71" s="361">
        <f t="shared" si="84"/>
        <v>1</v>
      </c>
      <c r="BM71" s="361">
        <f t="shared" si="85"/>
        <v>1</v>
      </c>
      <c r="BN71" s="361">
        <f t="shared" si="86"/>
        <v>1</v>
      </c>
      <c r="BO71" s="361">
        <f t="shared" si="87"/>
        <v>1</v>
      </c>
      <c r="BP71" s="361">
        <f t="shared" si="88"/>
        <v>1</v>
      </c>
      <c r="BQ71" s="361">
        <f t="shared" si="89"/>
        <v>1</v>
      </c>
      <c r="BR71" s="361">
        <f t="shared" si="90"/>
        <v>1</v>
      </c>
      <c r="BS71" s="361">
        <f t="shared" si="91"/>
        <v>1</v>
      </c>
      <c r="BT71" s="361">
        <f t="shared" si="92"/>
        <v>1</v>
      </c>
      <c r="BU71" s="361">
        <f t="shared" si="93"/>
        <v>1</v>
      </c>
      <c r="BV71" s="361">
        <f t="shared" si="94"/>
        <v>1</v>
      </c>
      <c r="BW71" s="361">
        <f t="shared" si="95"/>
        <v>1</v>
      </c>
      <c r="BX71" s="361">
        <f t="shared" si="96"/>
        <v>1</v>
      </c>
      <c r="BY71" s="361">
        <f t="shared" si="97"/>
        <v>1</v>
      </c>
      <c r="BZ71" s="361">
        <f t="shared" si="98"/>
        <v>1</v>
      </c>
      <c r="CA71" s="361">
        <f t="shared" si="99"/>
        <v>1</v>
      </c>
      <c r="CB71" s="361">
        <f t="shared" si="100"/>
        <v>1</v>
      </c>
      <c r="CC71" s="361">
        <f t="shared" si="101"/>
        <v>1</v>
      </c>
      <c r="CH71" s="341">
        <f t="shared" si="111"/>
        <v>1</v>
      </c>
      <c r="CI71" s="341">
        <f t="shared" si="111"/>
        <v>2</v>
      </c>
      <c r="CJ71" s="341">
        <f t="shared" si="111"/>
        <v>3</v>
      </c>
      <c r="CK71" s="341">
        <f t="shared" si="111"/>
        <v>4</v>
      </c>
      <c r="CL71" s="341">
        <f t="shared" si="111"/>
        <v>5</v>
      </c>
      <c r="CM71" s="341">
        <f t="shared" si="111"/>
        <v>6</v>
      </c>
      <c r="CN71" s="341">
        <f t="shared" si="111"/>
        <v>7</v>
      </c>
      <c r="CO71" s="341">
        <f t="shared" si="111"/>
        <v>8</v>
      </c>
      <c r="CP71" s="341">
        <f t="shared" si="111"/>
        <v>9</v>
      </c>
      <c r="CQ71" s="341">
        <f t="shared" si="111"/>
        <v>10</v>
      </c>
      <c r="CT71" s="353"/>
      <c r="CU71" s="353"/>
      <c r="CV71" s="353"/>
      <c r="CW71" s="353" t="b">
        <f t="shared" si="102"/>
        <v>1</v>
      </c>
      <c r="CX71" s="353" t="b">
        <f t="shared" si="103"/>
        <v>0</v>
      </c>
      <c r="CY71" s="353" t="b">
        <f t="shared" si="104"/>
        <v>1</v>
      </c>
      <c r="DC71" s="347">
        <f t="shared" si="60"/>
        <v>2</v>
      </c>
      <c r="DD71" s="353" t="b">
        <f t="shared" si="105"/>
        <v>1</v>
      </c>
      <c r="DE71" s="353" t="b">
        <f t="shared" si="106"/>
        <v>0</v>
      </c>
      <c r="DF71" s="353" t="b">
        <f t="shared" si="107"/>
        <v>1</v>
      </c>
      <c r="DG71" s="353"/>
      <c r="DH71" s="353"/>
      <c r="DI71" s="353"/>
      <c r="DJ71" s="353"/>
      <c r="DK71" s="353">
        <f t="shared" si="61"/>
        <v>2</v>
      </c>
      <c r="DM71" s="341">
        <f t="shared" si="108"/>
        <v>0</v>
      </c>
    </row>
    <row r="72" spans="2:117" x14ac:dyDescent="0.25">
      <c r="B72" s="373">
        <f t="shared" si="56"/>
        <v>42</v>
      </c>
      <c r="C72" s="373"/>
      <c r="D72" s="373"/>
      <c r="E72" s="373"/>
      <c r="F72" s="374" t="s">
        <v>156</v>
      </c>
      <c r="G72" s="375">
        <v>1</v>
      </c>
      <c r="H72" s="375">
        <v>1</v>
      </c>
      <c r="I72" s="375">
        <v>1</v>
      </c>
      <c r="J72" s="375">
        <v>1</v>
      </c>
      <c r="K72" s="375">
        <v>1</v>
      </c>
      <c r="L72" s="375">
        <v>1</v>
      </c>
      <c r="M72" s="375">
        <v>1</v>
      </c>
      <c r="N72" s="375">
        <v>1</v>
      </c>
      <c r="O72" s="375">
        <v>1</v>
      </c>
      <c r="P72" s="375">
        <v>1</v>
      </c>
      <c r="Q72" s="375">
        <v>1</v>
      </c>
      <c r="R72" s="375">
        <v>1</v>
      </c>
      <c r="S72" s="375">
        <v>0</v>
      </c>
      <c r="T72" s="375">
        <v>1</v>
      </c>
      <c r="U72" s="375">
        <v>1</v>
      </c>
      <c r="V72" s="375">
        <v>1</v>
      </c>
      <c r="W72" s="375">
        <v>1</v>
      </c>
      <c r="X72" s="375">
        <v>1</v>
      </c>
      <c r="Y72" s="375">
        <v>1</v>
      </c>
      <c r="Z72" s="376">
        <f t="shared" si="62"/>
        <v>1</v>
      </c>
      <c r="AA72" s="376">
        <v>1</v>
      </c>
      <c r="AB72" s="376"/>
      <c r="AC72" s="376"/>
      <c r="AD72" s="376"/>
      <c r="AE72" s="376"/>
      <c r="AF72" s="376">
        <f t="shared" si="63"/>
        <v>0</v>
      </c>
      <c r="AG72" s="376">
        <v>1</v>
      </c>
      <c r="AH72" s="376">
        <f t="shared" si="64"/>
        <v>1</v>
      </c>
      <c r="AI72" s="376"/>
      <c r="AJ72" s="376"/>
      <c r="AK72" s="373">
        <f t="shared" si="65"/>
        <v>1</v>
      </c>
      <c r="AL72" s="373"/>
      <c r="AM72" s="373"/>
      <c r="AN72" s="373"/>
      <c r="AO72" s="373"/>
      <c r="AP72" s="377">
        <f t="shared" si="109"/>
        <v>1</v>
      </c>
      <c r="AQ72" s="378"/>
      <c r="AR72" s="341">
        <f t="shared" si="66"/>
        <v>1</v>
      </c>
      <c r="AS72" s="341">
        <f t="shared" si="110"/>
        <v>0</v>
      </c>
      <c r="AT72" s="341">
        <f t="shared" si="110"/>
        <v>1</v>
      </c>
      <c r="AU72" s="361">
        <f t="shared" si="67"/>
        <v>1</v>
      </c>
      <c r="AV72" s="361">
        <f t="shared" si="68"/>
        <v>1</v>
      </c>
      <c r="AW72" s="361">
        <f t="shared" si="69"/>
        <v>1</v>
      </c>
      <c r="AX72" s="361">
        <f t="shared" si="70"/>
        <v>1</v>
      </c>
      <c r="AY72" s="361">
        <f t="shared" si="71"/>
        <v>1</v>
      </c>
      <c r="AZ72" s="361">
        <f t="shared" si="72"/>
        <v>1</v>
      </c>
      <c r="BA72" s="361">
        <f t="shared" si="73"/>
        <v>1</v>
      </c>
      <c r="BB72" s="361">
        <f t="shared" si="74"/>
        <v>1</v>
      </c>
      <c r="BC72" s="361">
        <f t="shared" si="75"/>
        <v>1</v>
      </c>
      <c r="BD72" s="361">
        <f t="shared" si="76"/>
        <v>1</v>
      </c>
      <c r="BE72" s="361">
        <f t="shared" si="77"/>
        <v>1</v>
      </c>
      <c r="BF72" s="361">
        <f t="shared" si="78"/>
        <v>1</v>
      </c>
      <c r="BG72" s="361">
        <f t="shared" si="79"/>
        <v>1</v>
      </c>
      <c r="BH72" s="361">
        <f t="shared" si="80"/>
        <v>1</v>
      </c>
      <c r="BI72" s="361">
        <f t="shared" si="81"/>
        <v>1</v>
      </c>
      <c r="BJ72" s="361">
        <f t="shared" si="82"/>
        <v>1</v>
      </c>
      <c r="BK72" s="361">
        <f t="shared" si="83"/>
        <v>1</v>
      </c>
      <c r="BL72" s="361">
        <f t="shared" si="84"/>
        <v>1</v>
      </c>
      <c r="BM72" s="361">
        <f t="shared" si="85"/>
        <v>1</v>
      </c>
      <c r="BN72" s="361">
        <f t="shared" si="86"/>
        <v>1</v>
      </c>
      <c r="BO72" s="361">
        <f t="shared" si="87"/>
        <v>1</v>
      </c>
      <c r="BP72" s="361">
        <f t="shared" si="88"/>
        <v>1</v>
      </c>
      <c r="BQ72" s="361">
        <f t="shared" si="89"/>
        <v>1</v>
      </c>
      <c r="BR72" s="361">
        <f t="shared" si="90"/>
        <v>1</v>
      </c>
      <c r="BS72" s="361">
        <f t="shared" si="91"/>
        <v>1</v>
      </c>
      <c r="BT72" s="361">
        <f t="shared" si="92"/>
        <v>1</v>
      </c>
      <c r="BU72" s="361">
        <f t="shared" si="93"/>
        <v>1</v>
      </c>
      <c r="BV72" s="361">
        <f t="shared" si="94"/>
        <v>1</v>
      </c>
      <c r="BW72" s="361">
        <f t="shared" si="95"/>
        <v>1</v>
      </c>
      <c r="BX72" s="361">
        <f t="shared" si="96"/>
        <v>1</v>
      </c>
      <c r="BY72" s="361">
        <f t="shared" si="97"/>
        <v>1</v>
      </c>
      <c r="BZ72" s="361">
        <f t="shared" si="98"/>
        <v>1</v>
      </c>
      <c r="CA72" s="361">
        <f t="shared" si="99"/>
        <v>1</v>
      </c>
      <c r="CB72" s="361">
        <f t="shared" si="100"/>
        <v>1</v>
      </c>
      <c r="CC72" s="361">
        <f t="shared" si="101"/>
        <v>1</v>
      </c>
      <c r="CH72" s="341">
        <f t="shared" si="111"/>
        <v>1</v>
      </c>
      <c r="CI72" s="341">
        <f t="shared" si="111"/>
        <v>2</v>
      </c>
      <c r="CJ72" s="341">
        <f t="shared" si="111"/>
        <v>3</v>
      </c>
      <c r="CK72" s="341">
        <f t="shared" si="111"/>
        <v>4</v>
      </c>
      <c r="CL72" s="341">
        <f t="shared" si="111"/>
        <v>5</v>
      </c>
      <c r="CM72" s="341">
        <f t="shared" si="111"/>
        <v>6</v>
      </c>
      <c r="CN72" s="341">
        <f t="shared" si="111"/>
        <v>7</v>
      </c>
      <c r="CO72" s="341">
        <f t="shared" si="111"/>
        <v>8</v>
      </c>
      <c r="CP72" s="341">
        <f t="shared" si="111"/>
        <v>9</v>
      </c>
      <c r="CQ72" s="341">
        <f t="shared" si="111"/>
        <v>10</v>
      </c>
      <c r="CT72" s="353"/>
      <c r="CU72" s="353"/>
      <c r="CV72" s="353"/>
      <c r="CW72" s="353" t="b">
        <f t="shared" si="102"/>
        <v>1</v>
      </c>
      <c r="CX72" s="353" t="b">
        <f t="shared" si="103"/>
        <v>0</v>
      </c>
      <c r="CY72" s="353" t="b">
        <f t="shared" si="104"/>
        <v>1</v>
      </c>
      <c r="DC72" s="347">
        <f t="shared" si="60"/>
        <v>2</v>
      </c>
      <c r="DD72" s="353" t="b">
        <f t="shared" si="105"/>
        <v>1</v>
      </c>
      <c r="DE72" s="353" t="b">
        <f t="shared" si="106"/>
        <v>0</v>
      </c>
      <c r="DF72" s="353" t="b">
        <f t="shared" si="107"/>
        <v>1</v>
      </c>
      <c r="DG72" s="353"/>
      <c r="DH72" s="353"/>
      <c r="DI72" s="353"/>
      <c r="DJ72" s="353"/>
      <c r="DK72" s="353">
        <f t="shared" si="61"/>
        <v>2</v>
      </c>
      <c r="DM72" s="341">
        <f t="shared" si="108"/>
        <v>0</v>
      </c>
    </row>
    <row r="73" spans="2:117" x14ac:dyDescent="0.25">
      <c r="B73" s="373">
        <f t="shared" si="56"/>
        <v>43</v>
      </c>
      <c r="C73" s="373"/>
      <c r="D73" s="373"/>
      <c r="E73" s="373"/>
      <c r="F73" s="374" t="s">
        <v>157</v>
      </c>
      <c r="G73" s="375">
        <v>1</v>
      </c>
      <c r="H73" s="375">
        <v>1</v>
      </c>
      <c r="I73" s="375">
        <v>1</v>
      </c>
      <c r="J73" s="375">
        <v>1</v>
      </c>
      <c r="K73" s="375">
        <v>1</v>
      </c>
      <c r="L73" s="375">
        <v>1</v>
      </c>
      <c r="M73" s="375">
        <v>1</v>
      </c>
      <c r="N73" s="375">
        <v>1</v>
      </c>
      <c r="O73" s="375">
        <v>1</v>
      </c>
      <c r="P73" s="375">
        <v>1</v>
      </c>
      <c r="Q73" s="375">
        <v>1</v>
      </c>
      <c r="R73" s="375">
        <v>1</v>
      </c>
      <c r="S73" s="375">
        <v>0</v>
      </c>
      <c r="T73" s="375">
        <v>1</v>
      </c>
      <c r="U73" s="375">
        <v>1</v>
      </c>
      <c r="V73" s="375">
        <v>1</v>
      </c>
      <c r="W73" s="375">
        <v>1</v>
      </c>
      <c r="X73" s="375">
        <v>1</v>
      </c>
      <c r="Y73" s="375">
        <v>1</v>
      </c>
      <c r="Z73" s="376">
        <f t="shared" si="62"/>
        <v>1</v>
      </c>
      <c r="AA73" s="376">
        <v>1</v>
      </c>
      <c r="AB73" s="376"/>
      <c r="AC73" s="376"/>
      <c r="AD73" s="376"/>
      <c r="AE73" s="376"/>
      <c r="AF73" s="376">
        <f t="shared" si="63"/>
        <v>0</v>
      </c>
      <c r="AG73" s="376">
        <v>1</v>
      </c>
      <c r="AH73" s="376">
        <f t="shared" si="64"/>
        <v>1</v>
      </c>
      <c r="AI73" s="376"/>
      <c r="AJ73" s="376"/>
      <c r="AK73" s="373">
        <f t="shared" si="65"/>
        <v>1</v>
      </c>
      <c r="AL73" s="373"/>
      <c r="AM73" s="373"/>
      <c r="AN73" s="373"/>
      <c r="AO73" s="373"/>
      <c r="AP73" s="377">
        <f t="shared" si="109"/>
        <v>1</v>
      </c>
      <c r="AQ73" s="378"/>
      <c r="AR73" s="341">
        <f t="shared" si="66"/>
        <v>1</v>
      </c>
      <c r="AS73" s="341">
        <f t="shared" si="110"/>
        <v>0</v>
      </c>
      <c r="AT73" s="341">
        <f t="shared" si="110"/>
        <v>1</v>
      </c>
      <c r="AU73" s="361">
        <f t="shared" si="67"/>
        <v>1</v>
      </c>
      <c r="AV73" s="361">
        <f t="shared" si="68"/>
        <v>1</v>
      </c>
      <c r="AW73" s="361">
        <f t="shared" si="69"/>
        <v>1</v>
      </c>
      <c r="AX73" s="361">
        <f t="shared" si="70"/>
        <v>1</v>
      </c>
      <c r="AY73" s="361">
        <f t="shared" si="71"/>
        <v>1</v>
      </c>
      <c r="AZ73" s="361">
        <f t="shared" si="72"/>
        <v>1</v>
      </c>
      <c r="BA73" s="361">
        <f t="shared" si="73"/>
        <v>1</v>
      </c>
      <c r="BB73" s="361">
        <f t="shared" si="74"/>
        <v>1</v>
      </c>
      <c r="BC73" s="361">
        <f t="shared" si="75"/>
        <v>1</v>
      </c>
      <c r="BD73" s="361">
        <f t="shared" si="76"/>
        <v>1</v>
      </c>
      <c r="BE73" s="361">
        <f t="shared" si="77"/>
        <v>1</v>
      </c>
      <c r="BF73" s="361">
        <f t="shared" si="78"/>
        <v>1</v>
      </c>
      <c r="BG73" s="361">
        <f t="shared" si="79"/>
        <v>1</v>
      </c>
      <c r="BH73" s="361">
        <f t="shared" si="80"/>
        <v>1</v>
      </c>
      <c r="BI73" s="361">
        <f t="shared" si="81"/>
        <v>1</v>
      </c>
      <c r="BJ73" s="361">
        <f t="shared" si="82"/>
        <v>1</v>
      </c>
      <c r="BK73" s="361">
        <f t="shared" si="83"/>
        <v>1</v>
      </c>
      <c r="BL73" s="361">
        <f t="shared" si="84"/>
        <v>1</v>
      </c>
      <c r="BM73" s="361">
        <f t="shared" si="85"/>
        <v>1</v>
      </c>
      <c r="BN73" s="361">
        <f t="shared" si="86"/>
        <v>1</v>
      </c>
      <c r="BO73" s="361">
        <f t="shared" si="87"/>
        <v>1</v>
      </c>
      <c r="BP73" s="361">
        <f t="shared" si="88"/>
        <v>1</v>
      </c>
      <c r="BQ73" s="361">
        <f t="shared" si="89"/>
        <v>1</v>
      </c>
      <c r="BR73" s="361">
        <f t="shared" si="90"/>
        <v>1</v>
      </c>
      <c r="BS73" s="361">
        <f t="shared" si="91"/>
        <v>1</v>
      </c>
      <c r="BT73" s="361">
        <f t="shared" si="92"/>
        <v>1</v>
      </c>
      <c r="BU73" s="361">
        <f t="shared" si="93"/>
        <v>1</v>
      </c>
      <c r="BV73" s="361">
        <f t="shared" si="94"/>
        <v>1</v>
      </c>
      <c r="BW73" s="361">
        <f t="shared" si="95"/>
        <v>1</v>
      </c>
      <c r="BX73" s="361">
        <f t="shared" si="96"/>
        <v>1</v>
      </c>
      <c r="BY73" s="361">
        <f t="shared" si="97"/>
        <v>1</v>
      </c>
      <c r="BZ73" s="361">
        <f t="shared" si="98"/>
        <v>1</v>
      </c>
      <c r="CA73" s="361">
        <f t="shared" si="99"/>
        <v>1</v>
      </c>
      <c r="CB73" s="361">
        <f t="shared" si="100"/>
        <v>1</v>
      </c>
      <c r="CC73" s="361">
        <f t="shared" si="101"/>
        <v>1</v>
      </c>
      <c r="CH73" s="341">
        <f t="shared" si="111"/>
        <v>1</v>
      </c>
      <c r="CI73" s="341">
        <f t="shared" si="111"/>
        <v>2</v>
      </c>
      <c r="CJ73" s="341">
        <f t="shared" si="111"/>
        <v>3</v>
      </c>
      <c r="CK73" s="341">
        <f t="shared" si="111"/>
        <v>4</v>
      </c>
      <c r="CL73" s="341">
        <f t="shared" si="111"/>
        <v>5</v>
      </c>
      <c r="CM73" s="341">
        <f t="shared" si="111"/>
        <v>6</v>
      </c>
      <c r="CN73" s="341">
        <f t="shared" si="111"/>
        <v>7</v>
      </c>
      <c r="CO73" s="341">
        <f t="shared" si="111"/>
        <v>8</v>
      </c>
      <c r="CP73" s="341">
        <f t="shared" si="111"/>
        <v>9</v>
      </c>
      <c r="CQ73" s="341">
        <f t="shared" si="111"/>
        <v>10</v>
      </c>
      <c r="CT73" s="353"/>
      <c r="CU73" s="353"/>
      <c r="CV73" s="353"/>
      <c r="CW73" s="353" t="b">
        <f t="shared" si="102"/>
        <v>1</v>
      </c>
      <c r="CX73" s="353" t="b">
        <f t="shared" si="103"/>
        <v>0</v>
      </c>
      <c r="CY73" s="353" t="b">
        <f t="shared" si="104"/>
        <v>1</v>
      </c>
      <c r="DC73" s="347">
        <f t="shared" si="60"/>
        <v>2</v>
      </c>
      <c r="DD73" s="353" t="b">
        <f t="shared" si="105"/>
        <v>1</v>
      </c>
      <c r="DE73" s="353" t="b">
        <f t="shared" si="106"/>
        <v>0</v>
      </c>
      <c r="DF73" s="353" t="b">
        <f t="shared" si="107"/>
        <v>1</v>
      </c>
      <c r="DG73" s="353"/>
      <c r="DH73" s="353"/>
      <c r="DI73" s="353"/>
      <c r="DJ73" s="353"/>
      <c r="DK73" s="353">
        <f t="shared" si="61"/>
        <v>2</v>
      </c>
      <c r="DM73" s="341">
        <f t="shared" si="108"/>
        <v>0</v>
      </c>
    </row>
    <row r="74" spans="2:117" x14ac:dyDescent="0.25">
      <c r="B74" s="373">
        <f t="shared" si="56"/>
        <v>44</v>
      </c>
      <c r="C74" s="373"/>
      <c r="D74" s="373"/>
      <c r="E74" s="373"/>
      <c r="F74" s="374" t="s">
        <v>158</v>
      </c>
      <c r="G74" s="375">
        <v>1</v>
      </c>
      <c r="H74" s="375">
        <v>1</v>
      </c>
      <c r="I74" s="375">
        <v>1</v>
      </c>
      <c r="J74" s="375">
        <v>1</v>
      </c>
      <c r="K74" s="375">
        <v>1</v>
      </c>
      <c r="L74" s="375">
        <v>1</v>
      </c>
      <c r="M74" s="375">
        <v>1</v>
      </c>
      <c r="N74" s="375">
        <v>1</v>
      </c>
      <c r="O74" s="375">
        <v>1</v>
      </c>
      <c r="P74" s="375">
        <v>1</v>
      </c>
      <c r="Q74" s="375">
        <v>1</v>
      </c>
      <c r="R74" s="375">
        <v>1</v>
      </c>
      <c r="S74" s="375">
        <v>0</v>
      </c>
      <c r="T74" s="375">
        <v>1</v>
      </c>
      <c r="U74" s="375">
        <v>1</v>
      </c>
      <c r="V74" s="375">
        <v>1</v>
      </c>
      <c r="W74" s="375">
        <v>1</v>
      </c>
      <c r="X74" s="375">
        <v>1</v>
      </c>
      <c r="Y74" s="375">
        <v>1</v>
      </c>
      <c r="Z74" s="376">
        <f t="shared" si="62"/>
        <v>1</v>
      </c>
      <c r="AA74" s="376">
        <v>1</v>
      </c>
      <c r="AB74" s="376"/>
      <c r="AC74" s="376"/>
      <c r="AD74" s="376"/>
      <c r="AE74" s="376"/>
      <c r="AF74" s="376">
        <f t="shared" si="63"/>
        <v>0</v>
      </c>
      <c r="AG74" s="376">
        <v>1</v>
      </c>
      <c r="AH74" s="376">
        <f t="shared" si="64"/>
        <v>1</v>
      </c>
      <c r="AI74" s="376"/>
      <c r="AJ74" s="376"/>
      <c r="AK74" s="373">
        <f t="shared" si="65"/>
        <v>1</v>
      </c>
      <c r="AL74" s="373"/>
      <c r="AM74" s="373"/>
      <c r="AN74" s="373"/>
      <c r="AO74" s="373"/>
      <c r="AP74" s="377">
        <f t="shared" si="109"/>
        <v>1</v>
      </c>
      <c r="AQ74" s="378"/>
      <c r="AR74" s="341">
        <f t="shared" si="66"/>
        <v>1</v>
      </c>
      <c r="AS74" s="341">
        <f t="shared" si="110"/>
        <v>0</v>
      </c>
      <c r="AT74" s="341">
        <f t="shared" si="110"/>
        <v>1</v>
      </c>
      <c r="AU74" s="361">
        <f t="shared" si="67"/>
        <v>1</v>
      </c>
      <c r="AV74" s="361">
        <f t="shared" si="68"/>
        <v>1</v>
      </c>
      <c r="AW74" s="361">
        <f t="shared" si="69"/>
        <v>1</v>
      </c>
      <c r="AX74" s="361">
        <f t="shared" si="70"/>
        <v>1</v>
      </c>
      <c r="AY74" s="361">
        <f t="shared" si="71"/>
        <v>1</v>
      </c>
      <c r="AZ74" s="361">
        <f t="shared" si="72"/>
        <v>1</v>
      </c>
      <c r="BA74" s="361">
        <f t="shared" si="73"/>
        <v>1</v>
      </c>
      <c r="BB74" s="361">
        <f t="shared" si="74"/>
        <v>1</v>
      </c>
      <c r="BC74" s="361">
        <f t="shared" si="75"/>
        <v>1</v>
      </c>
      <c r="BD74" s="361">
        <f t="shared" si="76"/>
        <v>1</v>
      </c>
      <c r="BE74" s="361">
        <f t="shared" si="77"/>
        <v>1</v>
      </c>
      <c r="BF74" s="361">
        <f t="shared" si="78"/>
        <v>1</v>
      </c>
      <c r="BG74" s="361">
        <f t="shared" si="79"/>
        <v>1</v>
      </c>
      <c r="BH74" s="361">
        <f t="shared" si="80"/>
        <v>1</v>
      </c>
      <c r="BI74" s="361">
        <f t="shared" si="81"/>
        <v>1</v>
      </c>
      <c r="BJ74" s="361">
        <f t="shared" si="82"/>
        <v>1</v>
      </c>
      <c r="BK74" s="361">
        <f t="shared" si="83"/>
        <v>1</v>
      </c>
      <c r="BL74" s="361">
        <f t="shared" si="84"/>
        <v>1</v>
      </c>
      <c r="BM74" s="361">
        <f t="shared" si="85"/>
        <v>1</v>
      </c>
      <c r="BN74" s="361">
        <f t="shared" si="86"/>
        <v>1</v>
      </c>
      <c r="BO74" s="361">
        <f t="shared" si="87"/>
        <v>1</v>
      </c>
      <c r="BP74" s="361">
        <f t="shared" si="88"/>
        <v>1</v>
      </c>
      <c r="BQ74" s="361">
        <f t="shared" si="89"/>
        <v>1</v>
      </c>
      <c r="BR74" s="361">
        <f t="shared" si="90"/>
        <v>1</v>
      </c>
      <c r="BS74" s="361">
        <f t="shared" si="91"/>
        <v>1</v>
      </c>
      <c r="BT74" s="361">
        <f t="shared" si="92"/>
        <v>1</v>
      </c>
      <c r="BU74" s="361">
        <f t="shared" si="93"/>
        <v>1</v>
      </c>
      <c r="BV74" s="361">
        <f t="shared" si="94"/>
        <v>1</v>
      </c>
      <c r="BW74" s="361">
        <f t="shared" si="95"/>
        <v>1</v>
      </c>
      <c r="BX74" s="361">
        <f t="shared" si="96"/>
        <v>1</v>
      </c>
      <c r="BY74" s="361">
        <f t="shared" si="97"/>
        <v>1</v>
      </c>
      <c r="BZ74" s="361">
        <f t="shared" si="98"/>
        <v>1</v>
      </c>
      <c r="CA74" s="361">
        <f t="shared" si="99"/>
        <v>1</v>
      </c>
      <c r="CB74" s="361">
        <f t="shared" si="100"/>
        <v>1</v>
      </c>
      <c r="CC74" s="361">
        <f t="shared" si="101"/>
        <v>1</v>
      </c>
      <c r="CH74" s="341">
        <f t="shared" si="111"/>
        <v>1</v>
      </c>
      <c r="CI74" s="341">
        <f t="shared" si="111"/>
        <v>2</v>
      </c>
      <c r="CJ74" s="341">
        <f t="shared" si="111"/>
        <v>3</v>
      </c>
      <c r="CK74" s="341">
        <f t="shared" si="111"/>
        <v>4</v>
      </c>
      <c r="CL74" s="341">
        <f t="shared" si="111"/>
        <v>5</v>
      </c>
      <c r="CM74" s="341">
        <f t="shared" si="111"/>
        <v>6</v>
      </c>
      <c r="CN74" s="341">
        <f t="shared" si="111"/>
        <v>7</v>
      </c>
      <c r="CO74" s="341">
        <f t="shared" si="111"/>
        <v>8</v>
      </c>
      <c r="CP74" s="341">
        <f t="shared" si="111"/>
        <v>9</v>
      </c>
      <c r="CQ74" s="341">
        <f t="shared" si="111"/>
        <v>10</v>
      </c>
      <c r="CT74" s="353"/>
      <c r="CU74" s="353"/>
      <c r="CV74" s="353"/>
      <c r="CW74" s="353" t="b">
        <f t="shared" si="102"/>
        <v>1</v>
      </c>
      <c r="CX74" s="353" t="b">
        <f t="shared" si="103"/>
        <v>0</v>
      </c>
      <c r="CY74" s="353" t="b">
        <f t="shared" si="104"/>
        <v>1</v>
      </c>
      <c r="DC74" s="347">
        <f t="shared" si="60"/>
        <v>2</v>
      </c>
      <c r="DD74" s="353" t="b">
        <f t="shared" si="105"/>
        <v>1</v>
      </c>
      <c r="DE74" s="353" t="b">
        <f t="shared" si="106"/>
        <v>0</v>
      </c>
      <c r="DF74" s="353" t="b">
        <f t="shared" si="107"/>
        <v>1</v>
      </c>
      <c r="DG74" s="353"/>
      <c r="DH74" s="353"/>
      <c r="DI74" s="353"/>
      <c r="DJ74" s="353"/>
      <c r="DK74" s="353">
        <f t="shared" si="61"/>
        <v>2</v>
      </c>
      <c r="DM74" s="341">
        <f t="shared" si="108"/>
        <v>0</v>
      </c>
    </row>
    <row r="75" spans="2:117" x14ac:dyDescent="0.25">
      <c r="B75" s="373">
        <f t="shared" si="56"/>
        <v>45</v>
      </c>
      <c r="C75" s="373"/>
      <c r="D75" s="373"/>
      <c r="E75" s="373"/>
      <c r="F75" s="374" t="s">
        <v>159</v>
      </c>
      <c r="G75" s="375">
        <v>1</v>
      </c>
      <c r="H75" s="375">
        <v>1</v>
      </c>
      <c r="I75" s="375">
        <v>1</v>
      </c>
      <c r="J75" s="375">
        <v>1</v>
      </c>
      <c r="K75" s="375">
        <v>1</v>
      </c>
      <c r="L75" s="375">
        <v>1</v>
      </c>
      <c r="M75" s="375">
        <v>1</v>
      </c>
      <c r="N75" s="375">
        <v>1</v>
      </c>
      <c r="O75" s="375">
        <v>1</v>
      </c>
      <c r="P75" s="375">
        <v>1</v>
      </c>
      <c r="Q75" s="375">
        <v>1</v>
      </c>
      <c r="R75" s="375">
        <v>1</v>
      </c>
      <c r="S75" s="375">
        <v>1</v>
      </c>
      <c r="T75" s="376">
        <v>0</v>
      </c>
      <c r="U75" s="376">
        <v>0</v>
      </c>
      <c r="V75" s="376">
        <v>0</v>
      </c>
      <c r="W75" s="376">
        <v>0</v>
      </c>
      <c r="X75" s="376">
        <v>0</v>
      </c>
      <c r="Y75" s="376">
        <v>0</v>
      </c>
      <c r="Z75" s="376">
        <f t="shared" si="62"/>
        <v>1</v>
      </c>
      <c r="AA75" s="376">
        <v>1</v>
      </c>
      <c r="AB75" s="376"/>
      <c r="AC75" s="376"/>
      <c r="AD75" s="376"/>
      <c r="AE75" s="376"/>
      <c r="AF75" s="376">
        <f t="shared" si="63"/>
        <v>0</v>
      </c>
      <c r="AG75" s="376">
        <v>1</v>
      </c>
      <c r="AH75" s="376">
        <f t="shared" si="64"/>
        <v>1</v>
      </c>
      <c r="AI75" s="376"/>
      <c r="AJ75" s="376"/>
      <c r="AK75" s="373">
        <f t="shared" si="65"/>
        <v>1</v>
      </c>
      <c r="AL75" s="373"/>
      <c r="AM75" s="373"/>
      <c r="AN75" s="373"/>
      <c r="AO75" s="373"/>
      <c r="AP75" s="377">
        <f t="shared" si="109"/>
        <v>1</v>
      </c>
      <c r="AQ75" s="378"/>
      <c r="AR75" s="341">
        <f t="shared" si="66"/>
        <v>1</v>
      </c>
      <c r="AS75" s="341">
        <f t="shared" si="110"/>
        <v>0</v>
      </c>
      <c r="AT75" s="341">
        <f t="shared" si="110"/>
        <v>1</v>
      </c>
      <c r="AU75" s="361">
        <f t="shared" si="67"/>
        <v>1</v>
      </c>
      <c r="AV75" s="361">
        <f t="shared" si="68"/>
        <v>1</v>
      </c>
      <c r="AW75" s="361">
        <f t="shared" si="69"/>
        <v>1</v>
      </c>
      <c r="AX75" s="361">
        <f t="shared" si="70"/>
        <v>1</v>
      </c>
      <c r="AY75" s="361">
        <f t="shared" si="71"/>
        <v>1</v>
      </c>
      <c r="AZ75" s="361">
        <f t="shared" si="72"/>
        <v>1</v>
      </c>
      <c r="BA75" s="361">
        <f t="shared" si="73"/>
        <v>1</v>
      </c>
      <c r="BB75" s="361">
        <f t="shared" si="74"/>
        <v>1</v>
      </c>
      <c r="BC75" s="361">
        <f t="shared" si="75"/>
        <v>1</v>
      </c>
      <c r="BD75" s="361">
        <f t="shared" si="76"/>
        <v>1</v>
      </c>
      <c r="BE75" s="361">
        <f t="shared" si="77"/>
        <v>1</v>
      </c>
      <c r="BF75" s="361">
        <f t="shared" si="78"/>
        <v>1</v>
      </c>
      <c r="BG75" s="361">
        <f t="shared" si="79"/>
        <v>1</v>
      </c>
      <c r="BH75" s="361">
        <f t="shared" si="80"/>
        <v>1</v>
      </c>
      <c r="BI75" s="361">
        <f t="shared" si="81"/>
        <v>1</v>
      </c>
      <c r="BJ75" s="361">
        <f t="shared" si="82"/>
        <v>1</v>
      </c>
      <c r="BK75" s="361">
        <f t="shared" si="83"/>
        <v>1</v>
      </c>
      <c r="BL75" s="361">
        <f t="shared" si="84"/>
        <v>1</v>
      </c>
      <c r="BM75" s="361">
        <f t="shared" si="85"/>
        <v>1</v>
      </c>
      <c r="BN75" s="361">
        <f t="shared" si="86"/>
        <v>1</v>
      </c>
      <c r="BO75" s="361">
        <f t="shared" si="87"/>
        <v>1</v>
      </c>
      <c r="BP75" s="361">
        <f t="shared" si="88"/>
        <v>1</v>
      </c>
      <c r="BQ75" s="361">
        <f t="shared" si="89"/>
        <v>1</v>
      </c>
      <c r="BR75" s="361">
        <f t="shared" si="90"/>
        <v>1</v>
      </c>
      <c r="BS75" s="361">
        <f t="shared" si="91"/>
        <v>1</v>
      </c>
      <c r="BT75" s="361">
        <f t="shared" si="92"/>
        <v>1</v>
      </c>
      <c r="BU75" s="361">
        <f t="shared" si="93"/>
        <v>1</v>
      </c>
      <c r="BV75" s="361">
        <f t="shared" si="94"/>
        <v>1</v>
      </c>
      <c r="BW75" s="361">
        <f t="shared" si="95"/>
        <v>1</v>
      </c>
      <c r="BX75" s="361">
        <f t="shared" si="96"/>
        <v>1</v>
      </c>
      <c r="BY75" s="361">
        <f t="shared" si="97"/>
        <v>1</v>
      </c>
      <c r="BZ75" s="361">
        <f t="shared" si="98"/>
        <v>1</v>
      </c>
      <c r="CA75" s="361">
        <f t="shared" si="99"/>
        <v>1</v>
      </c>
      <c r="CB75" s="361">
        <f t="shared" si="100"/>
        <v>1</v>
      </c>
      <c r="CC75" s="361">
        <f t="shared" si="101"/>
        <v>1</v>
      </c>
      <c r="CH75" s="341">
        <f t="shared" si="111"/>
        <v>1</v>
      </c>
      <c r="CI75" s="341">
        <f t="shared" si="111"/>
        <v>2</v>
      </c>
      <c r="CJ75" s="341">
        <f t="shared" si="111"/>
        <v>3</v>
      </c>
      <c r="CK75" s="341">
        <f t="shared" si="111"/>
        <v>4</v>
      </c>
      <c r="CL75" s="341">
        <f t="shared" si="111"/>
        <v>5</v>
      </c>
      <c r="CM75" s="341">
        <f t="shared" si="111"/>
        <v>6</v>
      </c>
      <c r="CN75" s="341">
        <f t="shared" si="111"/>
        <v>7</v>
      </c>
      <c r="CO75" s="341">
        <f t="shared" si="111"/>
        <v>8</v>
      </c>
      <c r="CP75" s="341">
        <f t="shared" si="111"/>
        <v>9</v>
      </c>
      <c r="CQ75" s="341">
        <f t="shared" si="111"/>
        <v>10</v>
      </c>
      <c r="CT75" s="353"/>
      <c r="CU75" s="353"/>
      <c r="CV75" s="353"/>
      <c r="CW75" s="353" t="b">
        <f t="shared" si="102"/>
        <v>0</v>
      </c>
      <c r="CX75" s="353" t="b">
        <f t="shared" si="103"/>
        <v>0</v>
      </c>
      <c r="CY75" s="353" t="b">
        <f t="shared" si="104"/>
        <v>1</v>
      </c>
      <c r="DC75" s="347">
        <f t="shared" si="60"/>
        <v>1</v>
      </c>
      <c r="DD75" s="353" t="b">
        <f t="shared" si="105"/>
        <v>0</v>
      </c>
      <c r="DE75" s="353" t="b">
        <f t="shared" si="106"/>
        <v>0</v>
      </c>
      <c r="DF75" s="353" t="b">
        <f t="shared" si="107"/>
        <v>1</v>
      </c>
      <c r="DG75" s="353"/>
      <c r="DH75" s="353"/>
      <c r="DI75" s="353"/>
      <c r="DJ75" s="353"/>
      <c r="DK75" s="353">
        <f t="shared" si="61"/>
        <v>1</v>
      </c>
      <c r="DM75" s="341">
        <f t="shared" si="108"/>
        <v>0</v>
      </c>
    </row>
    <row r="76" spans="2:117" x14ac:dyDescent="0.25">
      <c r="B76" s="373">
        <f t="shared" si="56"/>
        <v>46</v>
      </c>
      <c r="C76" s="373"/>
      <c r="D76" s="373"/>
      <c r="E76" s="373"/>
      <c r="F76" s="374" t="s">
        <v>160</v>
      </c>
      <c r="G76" s="375">
        <v>1</v>
      </c>
      <c r="H76" s="375">
        <v>1</v>
      </c>
      <c r="I76" s="375">
        <v>1</v>
      </c>
      <c r="J76" s="375">
        <v>1</v>
      </c>
      <c r="K76" s="375">
        <v>1</v>
      </c>
      <c r="L76" s="375">
        <v>1</v>
      </c>
      <c r="M76" s="375">
        <v>1</v>
      </c>
      <c r="N76" s="375">
        <v>1</v>
      </c>
      <c r="O76" s="375">
        <v>1</v>
      </c>
      <c r="P76" s="375">
        <v>1</v>
      </c>
      <c r="Q76" s="375">
        <v>1</v>
      </c>
      <c r="R76" s="375">
        <v>1</v>
      </c>
      <c r="S76" s="375">
        <v>0</v>
      </c>
      <c r="T76" s="375">
        <v>1</v>
      </c>
      <c r="U76" s="375">
        <v>1</v>
      </c>
      <c r="V76" s="375">
        <v>1</v>
      </c>
      <c r="W76" s="375">
        <v>1</v>
      </c>
      <c r="X76" s="375">
        <v>1</v>
      </c>
      <c r="Y76" s="375">
        <v>1</v>
      </c>
      <c r="Z76" s="376">
        <f t="shared" si="62"/>
        <v>1</v>
      </c>
      <c r="AA76" s="376">
        <v>1</v>
      </c>
      <c r="AB76" s="376"/>
      <c r="AC76" s="376"/>
      <c r="AD76" s="376"/>
      <c r="AE76" s="376"/>
      <c r="AF76" s="376">
        <f t="shared" si="63"/>
        <v>0</v>
      </c>
      <c r="AG76" s="376">
        <v>1</v>
      </c>
      <c r="AH76" s="376">
        <f t="shared" si="64"/>
        <v>1</v>
      </c>
      <c r="AI76" s="376"/>
      <c r="AJ76" s="376"/>
      <c r="AK76" s="373">
        <f t="shared" si="65"/>
        <v>1</v>
      </c>
      <c r="AL76" s="373"/>
      <c r="AM76" s="373"/>
      <c r="AN76" s="373"/>
      <c r="AO76" s="373"/>
      <c r="AP76" s="377">
        <f t="shared" si="109"/>
        <v>1</v>
      </c>
      <c r="AQ76" s="378"/>
      <c r="AR76" s="341">
        <f t="shared" si="66"/>
        <v>1</v>
      </c>
      <c r="AS76" s="341">
        <f t="shared" si="110"/>
        <v>0</v>
      </c>
      <c r="AT76" s="341">
        <f t="shared" si="110"/>
        <v>1</v>
      </c>
      <c r="AU76" s="361">
        <f t="shared" si="67"/>
        <v>1</v>
      </c>
      <c r="AV76" s="361">
        <f t="shared" si="68"/>
        <v>1</v>
      </c>
      <c r="AW76" s="361">
        <f t="shared" si="69"/>
        <v>1</v>
      </c>
      <c r="AX76" s="361">
        <f t="shared" si="70"/>
        <v>1</v>
      </c>
      <c r="AY76" s="361">
        <f t="shared" si="71"/>
        <v>1</v>
      </c>
      <c r="AZ76" s="361">
        <f t="shared" si="72"/>
        <v>1</v>
      </c>
      <c r="BA76" s="361">
        <f t="shared" si="73"/>
        <v>1</v>
      </c>
      <c r="BB76" s="361">
        <f t="shared" si="74"/>
        <v>1</v>
      </c>
      <c r="BC76" s="361">
        <f t="shared" si="75"/>
        <v>1</v>
      </c>
      <c r="BD76" s="361">
        <f t="shared" si="76"/>
        <v>1</v>
      </c>
      <c r="BE76" s="361">
        <f t="shared" si="77"/>
        <v>1</v>
      </c>
      <c r="BF76" s="361">
        <f t="shared" si="78"/>
        <v>1</v>
      </c>
      <c r="BG76" s="361">
        <f t="shared" si="79"/>
        <v>1</v>
      </c>
      <c r="BH76" s="361">
        <f t="shared" si="80"/>
        <v>1</v>
      </c>
      <c r="BI76" s="361">
        <f t="shared" si="81"/>
        <v>1</v>
      </c>
      <c r="BJ76" s="361">
        <f t="shared" si="82"/>
        <v>1</v>
      </c>
      <c r="BK76" s="361">
        <f t="shared" si="83"/>
        <v>1</v>
      </c>
      <c r="BL76" s="361">
        <f t="shared" si="84"/>
        <v>1</v>
      </c>
      <c r="BM76" s="361">
        <f t="shared" si="85"/>
        <v>1</v>
      </c>
      <c r="BN76" s="361">
        <f t="shared" si="86"/>
        <v>1</v>
      </c>
      <c r="BO76" s="361">
        <f t="shared" si="87"/>
        <v>1</v>
      </c>
      <c r="BP76" s="361">
        <f t="shared" si="88"/>
        <v>1</v>
      </c>
      <c r="BQ76" s="361">
        <f t="shared" si="89"/>
        <v>1</v>
      </c>
      <c r="BR76" s="361">
        <f t="shared" si="90"/>
        <v>1</v>
      </c>
      <c r="BS76" s="361">
        <f t="shared" si="91"/>
        <v>1</v>
      </c>
      <c r="BT76" s="361">
        <f t="shared" si="92"/>
        <v>1</v>
      </c>
      <c r="BU76" s="361">
        <f t="shared" si="93"/>
        <v>1</v>
      </c>
      <c r="BV76" s="361">
        <f t="shared" si="94"/>
        <v>1</v>
      </c>
      <c r="BW76" s="361">
        <f t="shared" si="95"/>
        <v>1</v>
      </c>
      <c r="BX76" s="361">
        <f t="shared" si="96"/>
        <v>1</v>
      </c>
      <c r="BY76" s="361">
        <f t="shared" si="97"/>
        <v>1</v>
      </c>
      <c r="BZ76" s="361">
        <f t="shared" si="98"/>
        <v>1</v>
      </c>
      <c r="CA76" s="361">
        <f t="shared" si="99"/>
        <v>1</v>
      </c>
      <c r="CB76" s="361">
        <f t="shared" si="100"/>
        <v>1</v>
      </c>
      <c r="CC76" s="361">
        <f t="shared" si="101"/>
        <v>1</v>
      </c>
      <c r="CH76" s="341">
        <f t="shared" si="111"/>
        <v>1</v>
      </c>
      <c r="CI76" s="341">
        <f t="shared" si="111"/>
        <v>2</v>
      </c>
      <c r="CJ76" s="341">
        <f t="shared" si="111"/>
        <v>3</v>
      </c>
      <c r="CK76" s="341">
        <f t="shared" si="111"/>
        <v>4</v>
      </c>
      <c r="CL76" s="341">
        <f t="shared" si="111"/>
        <v>5</v>
      </c>
      <c r="CM76" s="341">
        <f t="shared" si="111"/>
        <v>6</v>
      </c>
      <c r="CN76" s="341">
        <f t="shared" si="111"/>
        <v>7</v>
      </c>
      <c r="CO76" s="341">
        <f t="shared" si="111"/>
        <v>8</v>
      </c>
      <c r="CP76" s="341">
        <f t="shared" si="111"/>
        <v>9</v>
      </c>
      <c r="CQ76" s="341">
        <f t="shared" si="111"/>
        <v>10</v>
      </c>
      <c r="CT76" s="353"/>
      <c r="CU76" s="353"/>
      <c r="CV76" s="353"/>
      <c r="CW76" s="353" t="b">
        <f t="shared" si="102"/>
        <v>1</v>
      </c>
      <c r="CX76" s="353" t="b">
        <f t="shared" si="103"/>
        <v>0</v>
      </c>
      <c r="CY76" s="353" t="b">
        <f t="shared" si="104"/>
        <v>1</v>
      </c>
      <c r="DC76" s="347">
        <f t="shared" si="60"/>
        <v>2</v>
      </c>
      <c r="DD76" s="353" t="b">
        <f t="shared" si="105"/>
        <v>1</v>
      </c>
      <c r="DE76" s="353" t="b">
        <f t="shared" si="106"/>
        <v>0</v>
      </c>
      <c r="DF76" s="353" t="b">
        <f t="shared" si="107"/>
        <v>1</v>
      </c>
      <c r="DG76" s="353"/>
      <c r="DH76" s="353"/>
      <c r="DI76" s="353"/>
      <c r="DJ76" s="353"/>
      <c r="DK76" s="353">
        <f t="shared" si="61"/>
        <v>2</v>
      </c>
      <c r="DM76" s="341">
        <f t="shared" si="108"/>
        <v>0</v>
      </c>
    </row>
    <row r="77" spans="2:117" x14ac:dyDescent="0.25">
      <c r="B77" s="373">
        <f t="shared" si="56"/>
        <v>47</v>
      </c>
      <c r="C77" s="373"/>
      <c r="D77" s="373"/>
      <c r="E77" s="373"/>
      <c r="F77" s="374" t="s">
        <v>161</v>
      </c>
      <c r="G77" s="375">
        <v>1</v>
      </c>
      <c r="H77" s="375">
        <v>1</v>
      </c>
      <c r="I77" s="375">
        <v>1</v>
      </c>
      <c r="J77" s="375">
        <v>1</v>
      </c>
      <c r="K77" s="375">
        <v>1</v>
      </c>
      <c r="L77" s="375">
        <v>1</v>
      </c>
      <c r="M77" s="375">
        <v>1</v>
      </c>
      <c r="N77" s="375">
        <v>1</v>
      </c>
      <c r="O77" s="375">
        <v>1</v>
      </c>
      <c r="P77" s="375">
        <v>1</v>
      </c>
      <c r="Q77" s="375">
        <v>1</v>
      </c>
      <c r="R77" s="375">
        <v>1</v>
      </c>
      <c r="S77" s="375">
        <v>0</v>
      </c>
      <c r="T77" s="375">
        <v>1</v>
      </c>
      <c r="U77" s="375">
        <v>1</v>
      </c>
      <c r="V77" s="375">
        <v>1</v>
      </c>
      <c r="W77" s="375">
        <v>1</v>
      </c>
      <c r="X77" s="375">
        <v>1</v>
      </c>
      <c r="Y77" s="375">
        <v>1</v>
      </c>
      <c r="Z77" s="376">
        <f t="shared" si="62"/>
        <v>1</v>
      </c>
      <c r="AA77" s="376">
        <v>1</v>
      </c>
      <c r="AB77" s="376"/>
      <c r="AC77" s="376"/>
      <c r="AD77" s="376"/>
      <c r="AE77" s="376"/>
      <c r="AF77" s="376">
        <f t="shared" si="63"/>
        <v>0</v>
      </c>
      <c r="AG77" s="376">
        <v>1</v>
      </c>
      <c r="AH77" s="376">
        <f t="shared" si="64"/>
        <v>1</v>
      </c>
      <c r="AI77" s="376"/>
      <c r="AJ77" s="376"/>
      <c r="AK77" s="373">
        <f t="shared" si="65"/>
        <v>1</v>
      </c>
      <c r="AL77" s="373"/>
      <c r="AM77" s="373"/>
      <c r="AN77" s="373"/>
      <c r="AO77" s="373"/>
      <c r="AP77" s="377">
        <f t="shared" si="109"/>
        <v>1</v>
      </c>
      <c r="AQ77" s="378"/>
      <c r="AR77" s="341">
        <f t="shared" si="66"/>
        <v>1</v>
      </c>
      <c r="AS77" s="341">
        <f t="shared" si="110"/>
        <v>0</v>
      </c>
      <c r="AT77" s="341">
        <f t="shared" si="110"/>
        <v>1</v>
      </c>
      <c r="AU77" s="361">
        <f t="shared" si="67"/>
        <v>1</v>
      </c>
      <c r="AV77" s="361">
        <f t="shared" si="68"/>
        <v>1</v>
      </c>
      <c r="AW77" s="361">
        <f t="shared" si="69"/>
        <v>1</v>
      </c>
      <c r="AX77" s="361">
        <f t="shared" si="70"/>
        <v>1</v>
      </c>
      <c r="AY77" s="361">
        <f t="shared" si="71"/>
        <v>1</v>
      </c>
      <c r="AZ77" s="361">
        <f t="shared" si="72"/>
        <v>1</v>
      </c>
      <c r="BA77" s="361">
        <f t="shared" si="73"/>
        <v>1</v>
      </c>
      <c r="BB77" s="361">
        <f t="shared" si="74"/>
        <v>1</v>
      </c>
      <c r="BC77" s="361">
        <f t="shared" si="75"/>
        <v>1</v>
      </c>
      <c r="BD77" s="361">
        <f t="shared" si="76"/>
        <v>1</v>
      </c>
      <c r="BE77" s="361">
        <f t="shared" si="77"/>
        <v>1</v>
      </c>
      <c r="BF77" s="361">
        <f t="shared" si="78"/>
        <v>1</v>
      </c>
      <c r="BG77" s="361">
        <f t="shared" si="79"/>
        <v>1</v>
      </c>
      <c r="BH77" s="361">
        <f t="shared" si="80"/>
        <v>1</v>
      </c>
      <c r="BI77" s="361">
        <f t="shared" si="81"/>
        <v>1</v>
      </c>
      <c r="BJ77" s="361">
        <f t="shared" si="82"/>
        <v>1</v>
      </c>
      <c r="BK77" s="361">
        <f t="shared" si="83"/>
        <v>1</v>
      </c>
      <c r="BL77" s="361">
        <f t="shared" si="84"/>
        <v>1</v>
      </c>
      <c r="BM77" s="361">
        <f t="shared" si="85"/>
        <v>1</v>
      </c>
      <c r="BN77" s="361">
        <f t="shared" si="86"/>
        <v>1</v>
      </c>
      <c r="BO77" s="361">
        <f t="shared" si="87"/>
        <v>1</v>
      </c>
      <c r="BP77" s="361">
        <f t="shared" si="88"/>
        <v>1</v>
      </c>
      <c r="BQ77" s="361">
        <f t="shared" si="89"/>
        <v>1</v>
      </c>
      <c r="BR77" s="361">
        <f t="shared" si="90"/>
        <v>1</v>
      </c>
      <c r="BS77" s="361">
        <f t="shared" si="91"/>
        <v>1</v>
      </c>
      <c r="BT77" s="361">
        <f t="shared" si="92"/>
        <v>1</v>
      </c>
      <c r="BU77" s="361">
        <f t="shared" si="93"/>
        <v>1</v>
      </c>
      <c r="BV77" s="361">
        <f t="shared" si="94"/>
        <v>1</v>
      </c>
      <c r="BW77" s="361">
        <f t="shared" si="95"/>
        <v>1</v>
      </c>
      <c r="BX77" s="361">
        <f t="shared" si="96"/>
        <v>1</v>
      </c>
      <c r="BY77" s="361">
        <f t="shared" si="97"/>
        <v>1</v>
      </c>
      <c r="BZ77" s="361">
        <f t="shared" si="98"/>
        <v>1</v>
      </c>
      <c r="CA77" s="361">
        <f t="shared" si="99"/>
        <v>1</v>
      </c>
      <c r="CB77" s="361">
        <f t="shared" si="100"/>
        <v>1</v>
      </c>
      <c r="CC77" s="361">
        <f t="shared" si="101"/>
        <v>1</v>
      </c>
      <c r="CH77" s="341">
        <f t="shared" si="111"/>
        <v>1</v>
      </c>
      <c r="CI77" s="341">
        <f t="shared" si="111"/>
        <v>2</v>
      </c>
      <c r="CJ77" s="341">
        <f t="shared" si="111"/>
        <v>3</v>
      </c>
      <c r="CK77" s="341">
        <f t="shared" si="111"/>
        <v>4</v>
      </c>
      <c r="CL77" s="341">
        <f t="shared" si="111"/>
        <v>5</v>
      </c>
      <c r="CM77" s="341">
        <f t="shared" si="111"/>
        <v>6</v>
      </c>
      <c r="CN77" s="341">
        <f t="shared" si="111"/>
        <v>7</v>
      </c>
      <c r="CO77" s="341">
        <f t="shared" si="111"/>
        <v>8</v>
      </c>
      <c r="CP77" s="341">
        <f t="shared" si="111"/>
        <v>9</v>
      </c>
      <c r="CQ77" s="341">
        <f t="shared" si="111"/>
        <v>10</v>
      </c>
      <c r="CT77" s="353"/>
      <c r="CU77" s="353"/>
      <c r="CV77" s="353"/>
      <c r="CW77" s="353" t="b">
        <f t="shared" si="102"/>
        <v>1</v>
      </c>
      <c r="CX77" s="353" t="b">
        <f t="shared" si="103"/>
        <v>0</v>
      </c>
      <c r="CY77" s="353" t="b">
        <f t="shared" si="104"/>
        <v>1</v>
      </c>
      <c r="DC77" s="347">
        <f t="shared" si="60"/>
        <v>2</v>
      </c>
      <c r="DD77" s="353" t="b">
        <f t="shared" si="105"/>
        <v>1</v>
      </c>
      <c r="DE77" s="353" t="b">
        <f t="shared" si="106"/>
        <v>0</v>
      </c>
      <c r="DF77" s="353" t="b">
        <f t="shared" si="107"/>
        <v>1</v>
      </c>
      <c r="DG77" s="353"/>
      <c r="DH77" s="353"/>
      <c r="DI77" s="353"/>
      <c r="DJ77" s="353"/>
      <c r="DK77" s="353">
        <f t="shared" si="61"/>
        <v>2</v>
      </c>
      <c r="DM77" s="341">
        <f t="shared" si="108"/>
        <v>0</v>
      </c>
    </row>
    <row r="78" spans="2:117" x14ac:dyDescent="0.25">
      <c r="B78" s="373">
        <f t="shared" si="56"/>
        <v>48</v>
      </c>
      <c r="C78" s="373"/>
      <c r="D78" s="373"/>
      <c r="E78" s="373"/>
      <c r="F78" s="374" t="s">
        <v>162</v>
      </c>
      <c r="G78" s="375">
        <v>1</v>
      </c>
      <c r="H78" s="375">
        <v>1</v>
      </c>
      <c r="I78" s="375">
        <v>1</v>
      </c>
      <c r="J78" s="375">
        <v>1</v>
      </c>
      <c r="K78" s="375">
        <v>1</v>
      </c>
      <c r="L78" s="375">
        <v>1</v>
      </c>
      <c r="M78" s="375">
        <v>1</v>
      </c>
      <c r="N78" s="375">
        <v>1</v>
      </c>
      <c r="O78" s="375">
        <v>1</v>
      </c>
      <c r="P78" s="375">
        <v>1</v>
      </c>
      <c r="Q78" s="375">
        <v>1</v>
      </c>
      <c r="R78" s="375">
        <v>1</v>
      </c>
      <c r="S78" s="375">
        <v>0</v>
      </c>
      <c r="T78" s="375">
        <v>1</v>
      </c>
      <c r="U78" s="375">
        <v>1</v>
      </c>
      <c r="V78" s="375">
        <v>1</v>
      </c>
      <c r="W78" s="375">
        <v>1</v>
      </c>
      <c r="X78" s="375">
        <v>1</v>
      </c>
      <c r="Y78" s="375">
        <v>1</v>
      </c>
      <c r="Z78" s="376">
        <f t="shared" si="62"/>
        <v>1</v>
      </c>
      <c r="AA78" s="376">
        <v>1</v>
      </c>
      <c r="AB78" s="376"/>
      <c r="AC78" s="376"/>
      <c r="AD78" s="376"/>
      <c r="AE78" s="376"/>
      <c r="AF78" s="376">
        <f t="shared" si="63"/>
        <v>0</v>
      </c>
      <c r="AG78" s="376">
        <v>1</v>
      </c>
      <c r="AH78" s="376">
        <f t="shared" si="64"/>
        <v>1</v>
      </c>
      <c r="AI78" s="376"/>
      <c r="AJ78" s="376"/>
      <c r="AK78" s="373">
        <f t="shared" si="65"/>
        <v>1</v>
      </c>
      <c r="AL78" s="373"/>
      <c r="AM78" s="373"/>
      <c r="AN78" s="373"/>
      <c r="AO78" s="373"/>
      <c r="AP78" s="377">
        <f t="shared" si="109"/>
        <v>1</v>
      </c>
      <c r="AQ78" s="378"/>
      <c r="AR78" s="341">
        <f t="shared" si="66"/>
        <v>1</v>
      </c>
      <c r="AS78" s="341">
        <f t="shared" si="110"/>
        <v>0</v>
      </c>
      <c r="AT78" s="341">
        <f t="shared" si="110"/>
        <v>1</v>
      </c>
      <c r="AU78" s="361">
        <f t="shared" si="67"/>
        <v>1</v>
      </c>
      <c r="AV78" s="361">
        <f t="shared" si="68"/>
        <v>1</v>
      </c>
      <c r="AW78" s="361">
        <f t="shared" si="69"/>
        <v>1</v>
      </c>
      <c r="AX78" s="361">
        <f t="shared" si="70"/>
        <v>1</v>
      </c>
      <c r="AY78" s="361">
        <f t="shared" si="71"/>
        <v>1</v>
      </c>
      <c r="AZ78" s="361">
        <f t="shared" si="72"/>
        <v>1</v>
      </c>
      <c r="BA78" s="361">
        <f t="shared" si="73"/>
        <v>1</v>
      </c>
      <c r="BB78" s="361">
        <f t="shared" si="74"/>
        <v>1</v>
      </c>
      <c r="BC78" s="361">
        <f t="shared" si="75"/>
        <v>1</v>
      </c>
      <c r="BD78" s="361">
        <f t="shared" si="76"/>
        <v>1</v>
      </c>
      <c r="BE78" s="361">
        <f t="shared" si="77"/>
        <v>1</v>
      </c>
      <c r="BF78" s="361">
        <f t="shared" si="78"/>
        <v>1</v>
      </c>
      <c r="BG78" s="361">
        <f t="shared" si="79"/>
        <v>1</v>
      </c>
      <c r="BH78" s="361">
        <f t="shared" si="80"/>
        <v>1</v>
      </c>
      <c r="BI78" s="361">
        <f t="shared" si="81"/>
        <v>1</v>
      </c>
      <c r="BJ78" s="361">
        <f t="shared" si="82"/>
        <v>1</v>
      </c>
      <c r="BK78" s="361">
        <f t="shared" si="83"/>
        <v>1</v>
      </c>
      <c r="BL78" s="361">
        <f t="shared" si="84"/>
        <v>1</v>
      </c>
      <c r="BM78" s="361">
        <f t="shared" si="85"/>
        <v>1</v>
      </c>
      <c r="BN78" s="361">
        <f t="shared" si="86"/>
        <v>1</v>
      </c>
      <c r="BO78" s="361">
        <f t="shared" si="87"/>
        <v>1</v>
      </c>
      <c r="BP78" s="361">
        <f t="shared" si="88"/>
        <v>1</v>
      </c>
      <c r="BQ78" s="361">
        <f t="shared" si="89"/>
        <v>1</v>
      </c>
      <c r="BR78" s="361">
        <f t="shared" si="90"/>
        <v>1</v>
      </c>
      <c r="BS78" s="361">
        <f t="shared" si="91"/>
        <v>1</v>
      </c>
      <c r="BT78" s="361">
        <f t="shared" si="92"/>
        <v>1</v>
      </c>
      <c r="BU78" s="361">
        <f t="shared" si="93"/>
        <v>1</v>
      </c>
      <c r="BV78" s="361">
        <f t="shared" si="94"/>
        <v>1</v>
      </c>
      <c r="BW78" s="361">
        <f t="shared" si="95"/>
        <v>1</v>
      </c>
      <c r="BX78" s="361">
        <f t="shared" si="96"/>
        <v>1</v>
      </c>
      <c r="BY78" s="361">
        <f t="shared" si="97"/>
        <v>1</v>
      </c>
      <c r="BZ78" s="361">
        <f t="shared" si="98"/>
        <v>1</v>
      </c>
      <c r="CA78" s="361">
        <f t="shared" si="99"/>
        <v>1</v>
      </c>
      <c r="CB78" s="361">
        <f t="shared" si="100"/>
        <v>1</v>
      </c>
      <c r="CC78" s="361">
        <f t="shared" si="101"/>
        <v>1</v>
      </c>
      <c r="CH78" s="341">
        <f t="shared" si="111"/>
        <v>1</v>
      </c>
      <c r="CI78" s="341">
        <f t="shared" si="111"/>
        <v>2</v>
      </c>
      <c r="CJ78" s="341">
        <f t="shared" si="111"/>
        <v>3</v>
      </c>
      <c r="CK78" s="341">
        <f t="shared" si="111"/>
        <v>4</v>
      </c>
      <c r="CL78" s="341">
        <f t="shared" si="111"/>
        <v>5</v>
      </c>
      <c r="CM78" s="341">
        <f t="shared" si="111"/>
        <v>6</v>
      </c>
      <c r="CN78" s="341">
        <f t="shared" si="111"/>
        <v>7</v>
      </c>
      <c r="CO78" s="341">
        <f t="shared" si="111"/>
        <v>8</v>
      </c>
      <c r="CP78" s="341">
        <f t="shared" si="111"/>
        <v>9</v>
      </c>
      <c r="CQ78" s="341">
        <f t="shared" si="111"/>
        <v>10</v>
      </c>
      <c r="CT78" s="353"/>
      <c r="CU78" s="353"/>
      <c r="CV78" s="353"/>
      <c r="CW78" s="353" t="b">
        <f t="shared" si="102"/>
        <v>1</v>
      </c>
      <c r="CX78" s="353" t="b">
        <f t="shared" si="103"/>
        <v>0</v>
      </c>
      <c r="CY78" s="353" t="b">
        <f t="shared" si="104"/>
        <v>1</v>
      </c>
      <c r="DC78" s="347">
        <f t="shared" si="60"/>
        <v>2</v>
      </c>
      <c r="DD78" s="353" t="b">
        <f t="shared" si="105"/>
        <v>1</v>
      </c>
      <c r="DE78" s="353" t="b">
        <f t="shared" si="106"/>
        <v>0</v>
      </c>
      <c r="DF78" s="353" t="b">
        <f t="shared" si="107"/>
        <v>1</v>
      </c>
      <c r="DG78" s="353"/>
      <c r="DH78" s="353"/>
      <c r="DI78" s="353"/>
      <c r="DJ78" s="353"/>
      <c r="DK78" s="353">
        <f t="shared" si="61"/>
        <v>2</v>
      </c>
      <c r="DM78" s="341">
        <f t="shared" si="108"/>
        <v>0</v>
      </c>
    </row>
    <row r="79" spans="2:117" x14ac:dyDescent="0.25">
      <c r="B79" s="373">
        <f t="shared" si="56"/>
        <v>49</v>
      </c>
      <c r="C79" s="373"/>
      <c r="D79" s="373"/>
      <c r="E79" s="373"/>
      <c r="F79" s="374" t="s">
        <v>163</v>
      </c>
      <c r="G79" s="375">
        <v>1</v>
      </c>
      <c r="H79" s="375">
        <v>1</v>
      </c>
      <c r="I79" s="375">
        <v>1</v>
      </c>
      <c r="J79" s="375">
        <v>1</v>
      </c>
      <c r="K79" s="375">
        <v>1</v>
      </c>
      <c r="L79" s="375">
        <v>1</v>
      </c>
      <c r="M79" s="375">
        <v>1</v>
      </c>
      <c r="N79" s="375">
        <v>1</v>
      </c>
      <c r="O79" s="375">
        <v>1</v>
      </c>
      <c r="P79" s="375">
        <v>1</v>
      </c>
      <c r="Q79" s="375">
        <v>1</v>
      </c>
      <c r="R79" s="375">
        <v>1</v>
      </c>
      <c r="S79" s="375">
        <v>0</v>
      </c>
      <c r="T79" s="375">
        <v>1</v>
      </c>
      <c r="U79" s="375">
        <v>1</v>
      </c>
      <c r="V79" s="375">
        <v>1</v>
      </c>
      <c r="W79" s="375">
        <v>1</v>
      </c>
      <c r="X79" s="375">
        <v>1</v>
      </c>
      <c r="Y79" s="375">
        <v>1</v>
      </c>
      <c r="Z79" s="376">
        <f t="shared" si="62"/>
        <v>1</v>
      </c>
      <c r="AA79" s="376">
        <v>1</v>
      </c>
      <c r="AB79" s="376"/>
      <c r="AC79" s="376"/>
      <c r="AD79" s="376"/>
      <c r="AE79" s="376"/>
      <c r="AF79" s="376">
        <f t="shared" si="63"/>
        <v>0</v>
      </c>
      <c r="AG79" s="376">
        <v>1</v>
      </c>
      <c r="AH79" s="376">
        <f t="shared" si="64"/>
        <v>1</v>
      </c>
      <c r="AI79" s="376"/>
      <c r="AJ79" s="376"/>
      <c r="AK79" s="373">
        <f t="shared" si="65"/>
        <v>1</v>
      </c>
      <c r="AL79" s="373"/>
      <c r="AM79" s="373"/>
      <c r="AN79" s="373"/>
      <c r="AO79" s="373"/>
      <c r="AP79" s="377">
        <f t="shared" si="109"/>
        <v>1</v>
      </c>
      <c r="AQ79" s="378"/>
      <c r="AR79" s="341">
        <f t="shared" si="66"/>
        <v>1</v>
      </c>
      <c r="AS79" s="341">
        <f t="shared" si="110"/>
        <v>0</v>
      </c>
      <c r="AT79" s="341">
        <f t="shared" si="110"/>
        <v>1</v>
      </c>
      <c r="AU79" s="361">
        <f t="shared" si="67"/>
        <v>1</v>
      </c>
      <c r="AV79" s="361">
        <f t="shared" si="68"/>
        <v>1</v>
      </c>
      <c r="AW79" s="361">
        <f t="shared" si="69"/>
        <v>1</v>
      </c>
      <c r="AX79" s="361">
        <f t="shared" si="70"/>
        <v>1</v>
      </c>
      <c r="AY79" s="361">
        <f t="shared" si="71"/>
        <v>1</v>
      </c>
      <c r="AZ79" s="361">
        <f t="shared" si="72"/>
        <v>1</v>
      </c>
      <c r="BA79" s="361">
        <f t="shared" si="73"/>
        <v>1</v>
      </c>
      <c r="BB79" s="361">
        <f t="shared" si="74"/>
        <v>1</v>
      </c>
      <c r="BC79" s="361">
        <f t="shared" si="75"/>
        <v>1</v>
      </c>
      <c r="BD79" s="361">
        <f t="shared" si="76"/>
        <v>1</v>
      </c>
      <c r="BE79" s="361">
        <f t="shared" si="77"/>
        <v>1</v>
      </c>
      <c r="BF79" s="361">
        <f t="shared" si="78"/>
        <v>1</v>
      </c>
      <c r="BG79" s="361">
        <f t="shared" si="79"/>
        <v>1</v>
      </c>
      <c r="BH79" s="361">
        <f t="shared" si="80"/>
        <v>1</v>
      </c>
      <c r="BI79" s="361">
        <f t="shared" si="81"/>
        <v>1</v>
      </c>
      <c r="BJ79" s="361">
        <f t="shared" si="82"/>
        <v>1</v>
      </c>
      <c r="BK79" s="361">
        <f t="shared" si="83"/>
        <v>1</v>
      </c>
      <c r="BL79" s="361">
        <f t="shared" si="84"/>
        <v>1</v>
      </c>
      <c r="BM79" s="361">
        <f t="shared" si="85"/>
        <v>1</v>
      </c>
      <c r="BN79" s="361">
        <f t="shared" si="86"/>
        <v>1</v>
      </c>
      <c r="BO79" s="361">
        <f t="shared" si="87"/>
        <v>1</v>
      </c>
      <c r="BP79" s="361">
        <f t="shared" si="88"/>
        <v>1</v>
      </c>
      <c r="BQ79" s="361">
        <f t="shared" si="89"/>
        <v>1</v>
      </c>
      <c r="BR79" s="361">
        <f t="shared" si="90"/>
        <v>1</v>
      </c>
      <c r="BS79" s="361">
        <f t="shared" si="91"/>
        <v>1</v>
      </c>
      <c r="BT79" s="361">
        <f t="shared" si="92"/>
        <v>1</v>
      </c>
      <c r="BU79" s="361">
        <f t="shared" si="93"/>
        <v>1</v>
      </c>
      <c r="BV79" s="361">
        <f t="shared" si="94"/>
        <v>1</v>
      </c>
      <c r="BW79" s="361">
        <f t="shared" si="95"/>
        <v>1</v>
      </c>
      <c r="BX79" s="361">
        <f t="shared" si="96"/>
        <v>1</v>
      </c>
      <c r="BY79" s="361">
        <f t="shared" si="97"/>
        <v>1</v>
      </c>
      <c r="BZ79" s="361">
        <f t="shared" si="98"/>
        <v>1</v>
      </c>
      <c r="CA79" s="361">
        <f t="shared" si="99"/>
        <v>1</v>
      </c>
      <c r="CB79" s="361">
        <f t="shared" si="100"/>
        <v>1</v>
      </c>
      <c r="CC79" s="361">
        <f t="shared" si="101"/>
        <v>1</v>
      </c>
      <c r="CH79" s="341">
        <f t="shared" si="111"/>
        <v>1</v>
      </c>
      <c r="CI79" s="341">
        <f t="shared" si="111"/>
        <v>2</v>
      </c>
      <c r="CJ79" s="341">
        <f t="shared" si="111"/>
        <v>3</v>
      </c>
      <c r="CK79" s="341">
        <f t="shared" si="111"/>
        <v>4</v>
      </c>
      <c r="CL79" s="341">
        <f t="shared" si="111"/>
        <v>5</v>
      </c>
      <c r="CM79" s="341">
        <f t="shared" si="111"/>
        <v>6</v>
      </c>
      <c r="CN79" s="341">
        <f t="shared" si="111"/>
        <v>7</v>
      </c>
      <c r="CO79" s="341">
        <f t="shared" si="111"/>
        <v>8</v>
      </c>
      <c r="CP79" s="341">
        <f t="shared" si="111"/>
        <v>9</v>
      </c>
      <c r="CQ79" s="341">
        <f t="shared" si="111"/>
        <v>10</v>
      </c>
      <c r="CT79" s="353"/>
      <c r="CU79" s="353"/>
      <c r="CV79" s="353"/>
      <c r="CW79" s="353" t="b">
        <f t="shared" si="102"/>
        <v>1</v>
      </c>
      <c r="CX79" s="353" t="b">
        <f t="shared" si="103"/>
        <v>0</v>
      </c>
      <c r="CY79" s="353" t="b">
        <f t="shared" si="104"/>
        <v>1</v>
      </c>
      <c r="DC79" s="347">
        <f t="shared" si="60"/>
        <v>2</v>
      </c>
      <c r="DD79" s="353" t="b">
        <f t="shared" si="105"/>
        <v>1</v>
      </c>
      <c r="DE79" s="353" t="b">
        <f t="shared" si="106"/>
        <v>0</v>
      </c>
      <c r="DF79" s="353" t="b">
        <f t="shared" si="107"/>
        <v>1</v>
      </c>
      <c r="DG79" s="353"/>
      <c r="DH79" s="353"/>
      <c r="DI79" s="353"/>
      <c r="DJ79" s="353"/>
      <c r="DK79" s="353">
        <f t="shared" si="61"/>
        <v>2</v>
      </c>
      <c r="DM79" s="341">
        <f t="shared" si="108"/>
        <v>0</v>
      </c>
    </row>
    <row r="80" spans="2:117" x14ac:dyDescent="0.25">
      <c r="B80" s="373">
        <f t="shared" si="56"/>
        <v>50</v>
      </c>
      <c r="C80" s="373"/>
      <c r="D80" s="373"/>
      <c r="E80" s="373"/>
      <c r="F80" s="374" t="s">
        <v>164</v>
      </c>
      <c r="G80" s="375">
        <v>1</v>
      </c>
      <c r="H80" s="375">
        <v>1</v>
      </c>
      <c r="I80" s="375">
        <v>1</v>
      </c>
      <c r="J80" s="375">
        <v>1</v>
      </c>
      <c r="K80" s="375">
        <v>1</v>
      </c>
      <c r="L80" s="375">
        <v>1</v>
      </c>
      <c r="M80" s="375">
        <v>1</v>
      </c>
      <c r="N80" s="375">
        <v>1</v>
      </c>
      <c r="O80" s="375">
        <v>1</v>
      </c>
      <c r="P80" s="375">
        <v>1</v>
      </c>
      <c r="Q80" s="375">
        <v>1</v>
      </c>
      <c r="R80" s="375">
        <v>1</v>
      </c>
      <c r="S80" s="375">
        <v>0</v>
      </c>
      <c r="T80" s="375">
        <v>1</v>
      </c>
      <c r="U80" s="375">
        <v>1</v>
      </c>
      <c r="V80" s="375">
        <v>1</v>
      </c>
      <c r="W80" s="375">
        <v>1</v>
      </c>
      <c r="X80" s="375">
        <v>1</v>
      </c>
      <c r="Y80" s="375">
        <v>1</v>
      </c>
      <c r="Z80" s="376">
        <f t="shared" si="62"/>
        <v>1</v>
      </c>
      <c r="AA80" s="376">
        <v>1</v>
      </c>
      <c r="AB80" s="376"/>
      <c r="AC80" s="376"/>
      <c r="AD80" s="376"/>
      <c r="AE80" s="376"/>
      <c r="AF80" s="376">
        <f t="shared" si="63"/>
        <v>0</v>
      </c>
      <c r="AG80" s="376">
        <v>1</v>
      </c>
      <c r="AH80" s="376">
        <f t="shared" si="64"/>
        <v>1</v>
      </c>
      <c r="AI80" s="376"/>
      <c r="AJ80" s="376"/>
      <c r="AK80" s="373">
        <f t="shared" si="65"/>
        <v>1</v>
      </c>
      <c r="AL80" s="373"/>
      <c r="AM80" s="373"/>
      <c r="AN80" s="373"/>
      <c r="AO80" s="373"/>
      <c r="AP80" s="377">
        <f t="shared" si="109"/>
        <v>1</v>
      </c>
      <c r="AQ80" s="378"/>
      <c r="AR80" s="341">
        <f t="shared" si="66"/>
        <v>1</v>
      </c>
      <c r="AS80" s="341">
        <f t="shared" si="110"/>
        <v>0</v>
      </c>
      <c r="AT80" s="341">
        <f t="shared" si="110"/>
        <v>1</v>
      </c>
      <c r="AU80" s="361">
        <f t="shared" si="67"/>
        <v>1</v>
      </c>
      <c r="AV80" s="361">
        <f t="shared" si="68"/>
        <v>1</v>
      </c>
      <c r="AW80" s="361">
        <f t="shared" si="69"/>
        <v>1</v>
      </c>
      <c r="AX80" s="361">
        <f t="shared" si="70"/>
        <v>1</v>
      </c>
      <c r="AY80" s="361">
        <f t="shared" si="71"/>
        <v>1</v>
      </c>
      <c r="AZ80" s="361">
        <f t="shared" si="72"/>
        <v>1</v>
      </c>
      <c r="BA80" s="361">
        <f t="shared" si="73"/>
        <v>1</v>
      </c>
      <c r="BB80" s="361">
        <f t="shared" si="74"/>
        <v>1</v>
      </c>
      <c r="BC80" s="361">
        <f t="shared" si="75"/>
        <v>1</v>
      </c>
      <c r="BD80" s="361">
        <f t="shared" si="76"/>
        <v>1</v>
      </c>
      <c r="BE80" s="361">
        <f t="shared" si="77"/>
        <v>1</v>
      </c>
      <c r="BF80" s="361">
        <f t="shared" si="78"/>
        <v>1</v>
      </c>
      <c r="BG80" s="361">
        <f t="shared" si="79"/>
        <v>1</v>
      </c>
      <c r="BH80" s="361">
        <f t="shared" si="80"/>
        <v>1</v>
      </c>
      <c r="BI80" s="361">
        <f t="shared" si="81"/>
        <v>1</v>
      </c>
      <c r="BJ80" s="361">
        <f t="shared" si="82"/>
        <v>1</v>
      </c>
      <c r="BK80" s="361">
        <f t="shared" si="83"/>
        <v>1</v>
      </c>
      <c r="BL80" s="361">
        <f t="shared" si="84"/>
        <v>1</v>
      </c>
      <c r="BM80" s="361">
        <f t="shared" si="85"/>
        <v>1</v>
      </c>
      <c r="BN80" s="361">
        <f t="shared" si="86"/>
        <v>1</v>
      </c>
      <c r="BO80" s="361">
        <f t="shared" si="87"/>
        <v>1</v>
      </c>
      <c r="BP80" s="361">
        <f t="shared" si="88"/>
        <v>1</v>
      </c>
      <c r="BQ80" s="361">
        <f t="shared" si="89"/>
        <v>1</v>
      </c>
      <c r="BR80" s="361">
        <f t="shared" si="90"/>
        <v>1</v>
      </c>
      <c r="BS80" s="361">
        <f t="shared" si="91"/>
        <v>1</v>
      </c>
      <c r="BT80" s="361">
        <f t="shared" si="92"/>
        <v>1</v>
      </c>
      <c r="BU80" s="361">
        <f t="shared" si="93"/>
        <v>1</v>
      </c>
      <c r="BV80" s="361">
        <f t="shared" si="94"/>
        <v>1</v>
      </c>
      <c r="BW80" s="361">
        <f t="shared" si="95"/>
        <v>1</v>
      </c>
      <c r="BX80" s="361">
        <f t="shared" si="96"/>
        <v>1</v>
      </c>
      <c r="BY80" s="361">
        <f t="shared" si="97"/>
        <v>1</v>
      </c>
      <c r="BZ80" s="361">
        <f t="shared" si="98"/>
        <v>1</v>
      </c>
      <c r="CA80" s="361">
        <f t="shared" si="99"/>
        <v>1</v>
      </c>
      <c r="CB80" s="361">
        <f t="shared" si="100"/>
        <v>1</v>
      </c>
      <c r="CC80" s="361">
        <f t="shared" si="101"/>
        <v>1</v>
      </c>
      <c r="CH80" s="341">
        <f t="shared" si="111"/>
        <v>1</v>
      </c>
      <c r="CI80" s="341">
        <f t="shared" si="111"/>
        <v>2</v>
      </c>
      <c r="CJ80" s="341">
        <f t="shared" si="111"/>
        <v>3</v>
      </c>
      <c r="CK80" s="341">
        <f t="shared" si="111"/>
        <v>4</v>
      </c>
      <c r="CL80" s="341">
        <f t="shared" si="111"/>
        <v>5</v>
      </c>
      <c r="CM80" s="341">
        <f t="shared" si="111"/>
        <v>6</v>
      </c>
      <c r="CN80" s="341">
        <f t="shared" si="111"/>
        <v>7</v>
      </c>
      <c r="CO80" s="341">
        <f t="shared" si="111"/>
        <v>8</v>
      </c>
      <c r="CP80" s="341">
        <f t="shared" si="111"/>
        <v>9</v>
      </c>
      <c r="CQ80" s="341">
        <f t="shared" si="111"/>
        <v>10</v>
      </c>
      <c r="CT80" s="353"/>
      <c r="CU80" s="353"/>
      <c r="CV80" s="353"/>
      <c r="CW80" s="353" t="b">
        <f t="shared" si="102"/>
        <v>1</v>
      </c>
      <c r="CX80" s="353" t="b">
        <f t="shared" si="103"/>
        <v>0</v>
      </c>
      <c r="CY80" s="353" t="b">
        <f t="shared" si="104"/>
        <v>1</v>
      </c>
      <c r="DC80" s="347">
        <f t="shared" si="60"/>
        <v>2</v>
      </c>
      <c r="DD80" s="353" t="b">
        <f t="shared" si="105"/>
        <v>1</v>
      </c>
      <c r="DE80" s="353" t="b">
        <f t="shared" si="106"/>
        <v>0</v>
      </c>
      <c r="DF80" s="353" t="b">
        <f t="shared" si="107"/>
        <v>1</v>
      </c>
      <c r="DG80" s="353"/>
      <c r="DH80" s="353"/>
      <c r="DI80" s="353"/>
      <c r="DJ80" s="353"/>
      <c r="DK80" s="353">
        <f t="shared" si="61"/>
        <v>2</v>
      </c>
      <c r="DM80" s="341">
        <f t="shared" si="108"/>
        <v>0</v>
      </c>
    </row>
    <row r="81" spans="2:117" x14ac:dyDescent="0.25">
      <c r="B81" s="373">
        <f t="shared" si="56"/>
        <v>51</v>
      </c>
      <c r="C81" s="373"/>
      <c r="D81" s="373"/>
      <c r="E81" s="373"/>
      <c r="F81" s="374" t="s">
        <v>165</v>
      </c>
      <c r="G81" s="375">
        <v>1</v>
      </c>
      <c r="H81" s="375">
        <v>1</v>
      </c>
      <c r="I81" s="375">
        <v>1</v>
      </c>
      <c r="J81" s="375">
        <v>1</v>
      </c>
      <c r="K81" s="375">
        <v>1</v>
      </c>
      <c r="L81" s="375">
        <v>1</v>
      </c>
      <c r="M81" s="375">
        <v>1</v>
      </c>
      <c r="N81" s="375">
        <v>1</v>
      </c>
      <c r="O81" s="375">
        <v>1</v>
      </c>
      <c r="P81" s="375">
        <v>1</v>
      </c>
      <c r="Q81" s="375">
        <v>1</v>
      </c>
      <c r="R81" s="375">
        <v>1</v>
      </c>
      <c r="S81" s="375">
        <v>0</v>
      </c>
      <c r="T81" s="375">
        <v>1</v>
      </c>
      <c r="U81" s="375">
        <v>1</v>
      </c>
      <c r="V81" s="375">
        <v>1</v>
      </c>
      <c r="W81" s="375">
        <v>1</v>
      </c>
      <c r="X81" s="375">
        <v>1</v>
      </c>
      <c r="Y81" s="375">
        <v>1</v>
      </c>
      <c r="Z81" s="376">
        <f t="shared" si="62"/>
        <v>1</v>
      </c>
      <c r="AA81" s="376">
        <v>1</v>
      </c>
      <c r="AB81" s="376"/>
      <c r="AC81" s="376"/>
      <c r="AD81" s="376"/>
      <c r="AE81" s="376"/>
      <c r="AF81" s="376">
        <f t="shared" si="63"/>
        <v>0</v>
      </c>
      <c r="AG81" s="376">
        <v>1</v>
      </c>
      <c r="AH81" s="376">
        <f t="shared" si="64"/>
        <v>1</v>
      </c>
      <c r="AI81" s="376"/>
      <c r="AJ81" s="376"/>
      <c r="AK81" s="373">
        <f t="shared" si="65"/>
        <v>1</v>
      </c>
      <c r="AL81" s="373"/>
      <c r="AM81" s="373"/>
      <c r="AN81" s="373"/>
      <c r="AO81" s="373"/>
      <c r="AP81" s="377">
        <f t="shared" si="109"/>
        <v>1</v>
      </c>
      <c r="AQ81" s="378"/>
      <c r="AR81" s="341">
        <f t="shared" si="66"/>
        <v>1</v>
      </c>
      <c r="AS81" s="341">
        <f t="shared" si="110"/>
        <v>0</v>
      </c>
      <c r="AT81" s="341">
        <f t="shared" si="110"/>
        <v>1</v>
      </c>
      <c r="AU81" s="361">
        <f t="shared" si="67"/>
        <v>1</v>
      </c>
      <c r="AV81" s="361">
        <f t="shared" si="68"/>
        <v>1</v>
      </c>
      <c r="AW81" s="361">
        <f t="shared" si="69"/>
        <v>1</v>
      </c>
      <c r="AX81" s="361">
        <f t="shared" si="70"/>
        <v>1</v>
      </c>
      <c r="AY81" s="361">
        <f t="shared" si="71"/>
        <v>1</v>
      </c>
      <c r="AZ81" s="361">
        <f t="shared" si="72"/>
        <v>1</v>
      </c>
      <c r="BA81" s="361">
        <f t="shared" si="73"/>
        <v>1</v>
      </c>
      <c r="BB81" s="361">
        <f t="shared" si="74"/>
        <v>1</v>
      </c>
      <c r="BC81" s="361">
        <f t="shared" si="75"/>
        <v>1</v>
      </c>
      <c r="BD81" s="361">
        <f t="shared" si="76"/>
        <v>1</v>
      </c>
      <c r="BE81" s="361">
        <f t="shared" si="77"/>
        <v>1</v>
      </c>
      <c r="BF81" s="361">
        <f t="shared" si="78"/>
        <v>1</v>
      </c>
      <c r="BG81" s="361">
        <f t="shared" si="79"/>
        <v>1</v>
      </c>
      <c r="BH81" s="361">
        <f t="shared" si="80"/>
        <v>1</v>
      </c>
      <c r="BI81" s="361">
        <f t="shared" si="81"/>
        <v>1</v>
      </c>
      <c r="BJ81" s="361">
        <f t="shared" si="82"/>
        <v>1</v>
      </c>
      <c r="BK81" s="361">
        <f t="shared" si="83"/>
        <v>1</v>
      </c>
      <c r="BL81" s="361">
        <f t="shared" si="84"/>
        <v>1</v>
      </c>
      <c r="BM81" s="361">
        <f t="shared" si="85"/>
        <v>1</v>
      </c>
      <c r="BN81" s="361">
        <f t="shared" si="86"/>
        <v>1</v>
      </c>
      <c r="BO81" s="361">
        <f t="shared" si="87"/>
        <v>1</v>
      </c>
      <c r="BP81" s="361">
        <f t="shared" si="88"/>
        <v>1</v>
      </c>
      <c r="BQ81" s="361">
        <f t="shared" si="89"/>
        <v>1</v>
      </c>
      <c r="BR81" s="361">
        <f t="shared" si="90"/>
        <v>1</v>
      </c>
      <c r="BS81" s="361">
        <f t="shared" si="91"/>
        <v>1</v>
      </c>
      <c r="BT81" s="361">
        <f t="shared" si="92"/>
        <v>1</v>
      </c>
      <c r="BU81" s="361">
        <f t="shared" si="93"/>
        <v>1</v>
      </c>
      <c r="BV81" s="361">
        <f t="shared" si="94"/>
        <v>1</v>
      </c>
      <c r="BW81" s="361">
        <f t="shared" si="95"/>
        <v>1</v>
      </c>
      <c r="BX81" s="361">
        <f t="shared" si="96"/>
        <v>1</v>
      </c>
      <c r="BY81" s="361">
        <f t="shared" si="97"/>
        <v>1</v>
      </c>
      <c r="BZ81" s="361">
        <f t="shared" si="98"/>
        <v>1</v>
      </c>
      <c r="CA81" s="361">
        <f t="shared" si="99"/>
        <v>1</v>
      </c>
      <c r="CB81" s="361">
        <f t="shared" si="100"/>
        <v>1</v>
      </c>
      <c r="CC81" s="361">
        <f t="shared" si="101"/>
        <v>1</v>
      </c>
      <c r="CH81" s="341">
        <f t="shared" si="111"/>
        <v>1</v>
      </c>
      <c r="CI81" s="341">
        <f t="shared" si="111"/>
        <v>2</v>
      </c>
      <c r="CJ81" s="341">
        <f t="shared" si="111"/>
        <v>3</v>
      </c>
      <c r="CK81" s="341">
        <f t="shared" si="111"/>
        <v>4</v>
      </c>
      <c r="CL81" s="341">
        <f t="shared" si="111"/>
        <v>5</v>
      </c>
      <c r="CM81" s="341">
        <f t="shared" si="111"/>
        <v>6</v>
      </c>
      <c r="CN81" s="341">
        <f t="shared" si="111"/>
        <v>7</v>
      </c>
      <c r="CO81" s="341">
        <f t="shared" si="111"/>
        <v>8</v>
      </c>
      <c r="CP81" s="341">
        <f t="shared" si="111"/>
        <v>9</v>
      </c>
      <c r="CQ81" s="341">
        <f t="shared" si="111"/>
        <v>10</v>
      </c>
      <c r="CT81" s="353"/>
      <c r="CU81" s="353"/>
      <c r="CV81" s="353"/>
      <c r="CW81" s="353" t="b">
        <f t="shared" si="102"/>
        <v>1</v>
      </c>
      <c r="CX81" s="353" t="b">
        <f t="shared" si="103"/>
        <v>0</v>
      </c>
      <c r="CY81" s="353" t="b">
        <f t="shared" si="104"/>
        <v>1</v>
      </c>
      <c r="DC81" s="347">
        <f t="shared" si="60"/>
        <v>2</v>
      </c>
      <c r="DD81" s="353" t="b">
        <f t="shared" si="105"/>
        <v>1</v>
      </c>
      <c r="DE81" s="353" t="b">
        <f t="shared" si="106"/>
        <v>0</v>
      </c>
      <c r="DF81" s="353" t="b">
        <f t="shared" si="107"/>
        <v>1</v>
      </c>
      <c r="DG81" s="353"/>
      <c r="DH81" s="353"/>
      <c r="DI81" s="353"/>
      <c r="DJ81" s="353"/>
      <c r="DK81" s="353">
        <f t="shared" si="61"/>
        <v>2</v>
      </c>
      <c r="DM81" s="341">
        <f t="shared" si="108"/>
        <v>0</v>
      </c>
    </row>
    <row r="82" spans="2:117" x14ac:dyDescent="0.25">
      <c r="B82" s="373">
        <f t="shared" si="56"/>
        <v>52</v>
      </c>
      <c r="C82" s="373"/>
      <c r="D82" s="373"/>
      <c r="E82" s="373"/>
      <c r="F82" s="374" t="s">
        <v>166</v>
      </c>
      <c r="G82" s="375">
        <v>1</v>
      </c>
      <c r="H82" s="375">
        <v>1</v>
      </c>
      <c r="I82" s="375">
        <v>1</v>
      </c>
      <c r="J82" s="375">
        <v>1</v>
      </c>
      <c r="K82" s="375">
        <v>1</v>
      </c>
      <c r="L82" s="375">
        <v>1</v>
      </c>
      <c r="M82" s="375">
        <v>1</v>
      </c>
      <c r="N82" s="375">
        <v>1</v>
      </c>
      <c r="O82" s="375">
        <v>1</v>
      </c>
      <c r="P82" s="375">
        <v>1</v>
      </c>
      <c r="Q82" s="375">
        <v>1</v>
      </c>
      <c r="R82" s="375">
        <v>1</v>
      </c>
      <c r="S82" s="375">
        <v>0</v>
      </c>
      <c r="T82" s="375">
        <v>1</v>
      </c>
      <c r="U82" s="375">
        <v>1</v>
      </c>
      <c r="V82" s="375">
        <v>1</v>
      </c>
      <c r="W82" s="375">
        <v>1</v>
      </c>
      <c r="X82" s="375">
        <v>1</v>
      </c>
      <c r="Y82" s="375">
        <v>1</v>
      </c>
      <c r="Z82" s="376">
        <f t="shared" si="62"/>
        <v>1</v>
      </c>
      <c r="AA82" s="376">
        <v>1</v>
      </c>
      <c r="AB82" s="376"/>
      <c r="AC82" s="376"/>
      <c r="AD82" s="376"/>
      <c r="AE82" s="376"/>
      <c r="AF82" s="376">
        <f t="shared" si="63"/>
        <v>0</v>
      </c>
      <c r="AG82" s="376">
        <v>1</v>
      </c>
      <c r="AH82" s="376">
        <f t="shared" si="64"/>
        <v>1</v>
      </c>
      <c r="AI82" s="376"/>
      <c r="AJ82" s="376"/>
      <c r="AK82" s="373">
        <f t="shared" si="65"/>
        <v>1</v>
      </c>
      <c r="AL82" s="373"/>
      <c r="AM82" s="373"/>
      <c r="AN82" s="373"/>
      <c r="AO82" s="373"/>
      <c r="AP82" s="377">
        <f t="shared" si="109"/>
        <v>1</v>
      </c>
      <c r="AQ82" s="378"/>
      <c r="AR82" s="341">
        <f t="shared" si="66"/>
        <v>1</v>
      </c>
      <c r="AS82" s="341">
        <f t="shared" si="110"/>
        <v>0</v>
      </c>
      <c r="AT82" s="341">
        <f t="shared" si="110"/>
        <v>1</v>
      </c>
      <c r="AU82" s="361">
        <f t="shared" si="67"/>
        <v>1</v>
      </c>
      <c r="AV82" s="361">
        <f t="shared" si="68"/>
        <v>1</v>
      </c>
      <c r="AW82" s="361">
        <f t="shared" si="69"/>
        <v>1</v>
      </c>
      <c r="AX82" s="361">
        <f t="shared" si="70"/>
        <v>1</v>
      </c>
      <c r="AY82" s="361">
        <f t="shared" si="71"/>
        <v>1</v>
      </c>
      <c r="AZ82" s="361">
        <f t="shared" si="72"/>
        <v>1</v>
      </c>
      <c r="BA82" s="361">
        <f t="shared" si="73"/>
        <v>1</v>
      </c>
      <c r="BB82" s="361">
        <f t="shared" si="74"/>
        <v>1</v>
      </c>
      <c r="BC82" s="361">
        <f t="shared" si="75"/>
        <v>1</v>
      </c>
      <c r="BD82" s="361">
        <f t="shared" si="76"/>
        <v>1</v>
      </c>
      <c r="BE82" s="361">
        <f t="shared" si="77"/>
        <v>1</v>
      </c>
      <c r="BF82" s="361">
        <f t="shared" si="78"/>
        <v>1</v>
      </c>
      <c r="BG82" s="361">
        <f t="shared" si="79"/>
        <v>1</v>
      </c>
      <c r="BH82" s="361">
        <f t="shared" si="80"/>
        <v>1</v>
      </c>
      <c r="BI82" s="361">
        <f t="shared" si="81"/>
        <v>1</v>
      </c>
      <c r="BJ82" s="361">
        <f t="shared" si="82"/>
        <v>1</v>
      </c>
      <c r="BK82" s="361">
        <f t="shared" si="83"/>
        <v>1</v>
      </c>
      <c r="BL82" s="361">
        <f t="shared" si="84"/>
        <v>1</v>
      </c>
      <c r="BM82" s="361">
        <f t="shared" si="85"/>
        <v>1</v>
      </c>
      <c r="BN82" s="361">
        <f t="shared" si="86"/>
        <v>1</v>
      </c>
      <c r="BO82" s="361">
        <f t="shared" si="87"/>
        <v>1</v>
      </c>
      <c r="BP82" s="361">
        <f t="shared" si="88"/>
        <v>1</v>
      </c>
      <c r="BQ82" s="361">
        <f t="shared" si="89"/>
        <v>1</v>
      </c>
      <c r="BR82" s="361">
        <f t="shared" si="90"/>
        <v>1</v>
      </c>
      <c r="BS82" s="361">
        <f t="shared" si="91"/>
        <v>1</v>
      </c>
      <c r="BT82" s="361">
        <f t="shared" si="92"/>
        <v>1</v>
      </c>
      <c r="BU82" s="361">
        <f t="shared" si="93"/>
        <v>1</v>
      </c>
      <c r="BV82" s="361">
        <f t="shared" si="94"/>
        <v>1</v>
      </c>
      <c r="BW82" s="361">
        <f t="shared" si="95"/>
        <v>1</v>
      </c>
      <c r="BX82" s="361">
        <f t="shared" si="96"/>
        <v>1</v>
      </c>
      <c r="BY82" s="361">
        <f t="shared" si="97"/>
        <v>1</v>
      </c>
      <c r="BZ82" s="361">
        <f t="shared" si="98"/>
        <v>1</v>
      </c>
      <c r="CA82" s="361">
        <f t="shared" si="99"/>
        <v>1</v>
      </c>
      <c r="CB82" s="361">
        <f t="shared" si="100"/>
        <v>1</v>
      </c>
      <c r="CC82" s="361">
        <f t="shared" si="101"/>
        <v>1</v>
      </c>
      <c r="CH82" s="341">
        <f t="shared" si="111"/>
        <v>1</v>
      </c>
      <c r="CI82" s="341">
        <f t="shared" si="111"/>
        <v>2</v>
      </c>
      <c r="CJ82" s="341">
        <f t="shared" si="111"/>
        <v>3</v>
      </c>
      <c r="CK82" s="341">
        <f t="shared" si="111"/>
        <v>4</v>
      </c>
      <c r="CL82" s="341">
        <f t="shared" si="111"/>
        <v>5</v>
      </c>
      <c r="CM82" s="341">
        <f t="shared" si="111"/>
        <v>6</v>
      </c>
      <c r="CN82" s="341">
        <f t="shared" si="111"/>
        <v>7</v>
      </c>
      <c r="CO82" s="341">
        <f t="shared" si="111"/>
        <v>8</v>
      </c>
      <c r="CP82" s="341">
        <f t="shared" si="111"/>
        <v>9</v>
      </c>
      <c r="CQ82" s="341">
        <f t="shared" si="111"/>
        <v>10</v>
      </c>
      <c r="CT82" s="353"/>
      <c r="CU82" s="353"/>
      <c r="CV82" s="353"/>
      <c r="CW82" s="353" t="b">
        <f t="shared" si="102"/>
        <v>1</v>
      </c>
      <c r="CX82" s="353" t="b">
        <f t="shared" si="103"/>
        <v>0</v>
      </c>
      <c r="CY82" s="353" t="b">
        <f t="shared" si="104"/>
        <v>1</v>
      </c>
      <c r="DC82" s="347">
        <f t="shared" si="60"/>
        <v>2</v>
      </c>
      <c r="DD82" s="353" t="b">
        <f t="shared" si="105"/>
        <v>1</v>
      </c>
      <c r="DE82" s="353" t="b">
        <f t="shared" si="106"/>
        <v>0</v>
      </c>
      <c r="DF82" s="353" t="b">
        <f t="shared" si="107"/>
        <v>1</v>
      </c>
      <c r="DG82" s="353"/>
      <c r="DH82" s="353"/>
      <c r="DI82" s="353"/>
      <c r="DJ82" s="353"/>
      <c r="DK82" s="353">
        <f t="shared" si="61"/>
        <v>2</v>
      </c>
      <c r="DM82" s="341">
        <f t="shared" si="108"/>
        <v>0</v>
      </c>
    </row>
    <row r="83" spans="2:117" x14ac:dyDescent="0.25">
      <c r="B83" s="373">
        <f t="shared" si="56"/>
        <v>53</v>
      </c>
      <c r="C83" s="373"/>
      <c r="D83" s="373"/>
      <c r="E83" s="373"/>
      <c r="F83" s="374" t="s">
        <v>167</v>
      </c>
      <c r="G83" s="375">
        <v>1</v>
      </c>
      <c r="H83" s="375">
        <v>1</v>
      </c>
      <c r="I83" s="375">
        <v>1</v>
      </c>
      <c r="J83" s="375">
        <v>1</v>
      </c>
      <c r="K83" s="375">
        <v>1</v>
      </c>
      <c r="L83" s="375">
        <v>1</v>
      </c>
      <c r="M83" s="375">
        <v>1</v>
      </c>
      <c r="N83" s="375">
        <v>1</v>
      </c>
      <c r="O83" s="375">
        <v>1</v>
      </c>
      <c r="P83" s="375">
        <v>1</v>
      </c>
      <c r="Q83" s="375">
        <v>1</v>
      </c>
      <c r="R83" s="375">
        <v>1</v>
      </c>
      <c r="S83" s="375">
        <v>0</v>
      </c>
      <c r="T83" s="375">
        <v>1</v>
      </c>
      <c r="U83" s="375">
        <v>1</v>
      </c>
      <c r="V83" s="375">
        <v>1</v>
      </c>
      <c r="W83" s="375">
        <v>1</v>
      </c>
      <c r="X83" s="375">
        <v>1</v>
      </c>
      <c r="Y83" s="375">
        <v>1</v>
      </c>
      <c r="Z83" s="376">
        <f t="shared" si="62"/>
        <v>1</v>
      </c>
      <c r="AA83" s="376">
        <v>1</v>
      </c>
      <c r="AB83" s="376"/>
      <c r="AC83" s="376"/>
      <c r="AD83" s="376"/>
      <c r="AE83" s="376"/>
      <c r="AF83" s="376">
        <f t="shared" si="63"/>
        <v>0</v>
      </c>
      <c r="AG83" s="376">
        <v>1</v>
      </c>
      <c r="AH83" s="376">
        <f t="shared" si="64"/>
        <v>1</v>
      </c>
      <c r="AI83" s="376"/>
      <c r="AJ83" s="376"/>
      <c r="AK83" s="373">
        <f t="shared" si="65"/>
        <v>1</v>
      </c>
      <c r="AL83" s="373"/>
      <c r="AM83" s="373"/>
      <c r="AN83" s="373"/>
      <c r="AO83" s="373"/>
      <c r="AP83" s="377">
        <f t="shared" si="109"/>
        <v>1</v>
      </c>
      <c r="AQ83" s="378"/>
      <c r="AR83" s="341">
        <f t="shared" si="66"/>
        <v>1</v>
      </c>
      <c r="AS83" s="341">
        <f t="shared" si="110"/>
        <v>0</v>
      </c>
      <c r="AT83" s="341">
        <f t="shared" si="110"/>
        <v>1</v>
      </c>
      <c r="AU83" s="361">
        <f t="shared" si="67"/>
        <v>1</v>
      </c>
      <c r="AV83" s="361">
        <f t="shared" si="68"/>
        <v>1</v>
      </c>
      <c r="AW83" s="361">
        <f t="shared" si="69"/>
        <v>1</v>
      </c>
      <c r="AX83" s="361">
        <f t="shared" si="70"/>
        <v>1</v>
      </c>
      <c r="AY83" s="361">
        <f t="shared" si="71"/>
        <v>1</v>
      </c>
      <c r="AZ83" s="361">
        <f t="shared" si="72"/>
        <v>1</v>
      </c>
      <c r="BA83" s="361">
        <f t="shared" si="73"/>
        <v>1</v>
      </c>
      <c r="BB83" s="361">
        <f t="shared" si="74"/>
        <v>1</v>
      </c>
      <c r="BC83" s="361">
        <f t="shared" si="75"/>
        <v>1</v>
      </c>
      <c r="BD83" s="361">
        <f t="shared" si="76"/>
        <v>1</v>
      </c>
      <c r="BE83" s="361">
        <f t="shared" si="77"/>
        <v>1</v>
      </c>
      <c r="BF83" s="361">
        <f t="shared" si="78"/>
        <v>1</v>
      </c>
      <c r="BG83" s="361">
        <f t="shared" si="79"/>
        <v>1</v>
      </c>
      <c r="BH83" s="361">
        <f t="shared" si="80"/>
        <v>1</v>
      </c>
      <c r="BI83" s="361">
        <f t="shared" si="81"/>
        <v>1</v>
      </c>
      <c r="BJ83" s="361">
        <f t="shared" si="82"/>
        <v>1</v>
      </c>
      <c r="BK83" s="361">
        <f t="shared" si="83"/>
        <v>1</v>
      </c>
      <c r="BL83" s="361">
        <f t="shared" si="84"/>
        <v>1</v>
      </c>
      <c r="BM83" s="361">
        <f t="shared" si="85"/>
        <v>1</v>
      </c>
      <c r="BN83" s="361">
        <f t="shared" si="86"/>
        <v>1</v>
      </c>
      <c r="BO83" s="361">
        <f t="shared" si="87"/>
        <v>1</v>
      </c>
      <c r="BP83" s="361">
        <f t="shared" si="88"/>
        <v>1</v>
      </c>
      <c r="BQ83" s="361">
        <f t="shared" si="89"/>
        <v>1</v>
      </c>
      <c r="BR83" s="361">
        <f t="shared" si="90"/>
        <v>1</v>
      </c>
      <c r="BS83" s="361">
        <f t="shared" si="91"/>
        <v>1</v>
      </c>
      <c r="BT83" s="361">
        <f t="shared" si="92"/>
        <v>1</v>
      </c>
      <c r="BU83" s="361">
        <f t="shared" si="93"/>
        <v>1</v>
      </c>
      <c r="BV83" s="361">
        <f t="shared" si="94"/>
        <v>1</v>
      </c>
      <c r="BW83" s="361">
        <f t="shared" si="95"/>
        <v>1</v>
      </c>
      <c r="BX83" s="361">
        <f t="shared" si="96"/>
        <v>1</v>
      </c>
      <c r="BY83" s="361">
        <f t="shared" si="97"/>
        <v>1</v>
      </c>
      <c r="BZ83" s="361">
        <f t="shared" si="98"/>
        <v>1</v>
      </c>
      <c r="CA83" s="361">
        <f t="shared" si="99"/>
        <v>1</v>
      </c>
      <c r="CB83" s="361">
        <f t="shared" si="100"/>
        <v>1</v>
      </c>
      <c r="CC83" s="361">
        <f t="shared" si="101"/>
        <v>1</v>
      </c>
      <c r="CH83" s="341">
        <f t="shared" si="111"/>
        <v>1</v>
      </c>
      <c r="CI83" s="341">
        <f t="shared" si="111"/>
        <v>2</v>
      </c>
      <c r="CJ83" s="341">
        <f t="shared" si="111"/>
        <v>3</v>
      </c>
      <c r="CK83" s="341">
        <f t="shared" si="111"/>
        <v>4</v>
      </c>
      <c r="CL83" s="341">
        <f t="shared" si="111"/>
        <v>5</v>
      </c>
      <c r="CM83" s="341">
        <f t="shared" si="111"/>
        <v>6</v>
      </c>
      <c r="CN83" s="341">
        <f t="shared" si="111"/>
        <v>7</v>
      </c>
      <c r="CO83" s="341">
        <f t="shared" si="111"/>
        <v>8</v>
      </c>
      <c r="CP83" s="341">
        <f t="shared" si="111"/>
        <v>9</v>
      </c>
      <c r="CQ83" s="341">
        <f t="shared" si="111"/>
        <v>10</v>
      </c>
      <c r="CT83" s="353"/>
      <c r="CU83" s="353"/>
      <c r="CV83" s="353"/>
      <c r="CW83" s="353" t="b">
        <f t="shared" si="102"/>
        <v>1</v>
      </c>
      <c r="CX83" s="353" t="b">
        <f t="shared" si="103"/>
        <v>0</v>
      </c>
      <c r="CY83" s="353" t="b">
        <f t="shared" si="104"/>
        <v>1</v>
      </c>
      <c r="DC83" s="347">
        <f t="shared" si="60"/>
        <v>2</v>
      </c>
      <c r="DD83" s="353" t="b">
        <f t="shared" si="105"/>
        <v>1</v>
      </c>
      <c r="DE83" s="353" t="b">
        <f t="shared" si="106"/>
        <v>0</v>
      </c>
      <c r="DF83" s="353" t="b">
        <f t="shared" si="107"/>
        <v>1</v>
      </c>
      <c r="DG83" s="353"/>
      <c r="DH83" s="353"/>
      <c r="DI83" s="353"/>
      <c r="DJ83" s="353"/>
      <c r="DK83" s="353">
        <f t="shared" si="61"/>
        <v>2</v>
      </c>
      <c r="DM83" s="341">
        <f t="shared" si="108"/>
        <v>0</v>
      </c>
    </row>
    <row r="84" spans="2:117" x14ac:dyDescent="0.25">
      <c r="B84" s="373">
        <f t="shared" si="56"/>
        <v>54</v>
      </c>
      <c r="C84" s="373"/>
      <c r="D84" s="373"/>
      <c r="E84" s="373"/>
      <c r="F84" s="374" t="s">
        <v>168</v>
      </c>
      <c r="G84" s="375">
        <v>1</v>
      </c>
      <c r="H84" s="375">
        <v>1</v>
      </c>
      <c r="I84" s="375">
        <v>1</v>
      </c>
      <c r="J84" s="375">
        <v>1</v>
      </c>
      <c r="K84" s="375">
        <v>1</v>
      </c>
      <c r="L84" s="375">
        <v>1</v>
      </c>
      <c r="M84" s="375">
        <v>1</v>
      </c>
      <c r="N84" s="375">
        <v>1</v>
      </c>
      <c r="O84" s="375">
        <v>1</v>
      </c>
      <c r="P84" s="375">
        <v>1</v>
      </c>
      <c r="Q84" s="375">
        <v>1</v>
      </c>
      <c r="R84" s="375">
        <v>1</v>
      </c>
      <c r="S84" s="375">
        <v>0</v>
      </c>
      <c r="T84" s="375">
        <v>1</v>
      </c>
      <c r="U84" s="375">
        <v>1</v>
      </c>
      <c r="V84" s="375">
        <v>1</v>
      </c>
      <c r="W84" s="375">
        <v>1</v>
      </c>
      <c r="X84" s="375">
        <v>1</v>
      </c>
      <c r="Y84" s="375">
        <v>1</v>
      </c>
      <c r="Z84" s="376">
        <f t="shared" si="62"/>
        <v>1</v>
      </c>
      <c r="AA84" s="376">
        <v>1</v>
      </c>
      <c r="AB84" s="376"/>
      <c r="AC84" s="376"/>
      <c r="AD84" s="376"/>
      <c r="AE84" s="376"/>
      <c r="AF84" s="376">
        <f t="shared" si="63"/>
        <v>0</v>
      </c>
      <c r="AG84" s="376">
        <v>1</v>
      </c>
      <c r="AH84" s="376">
        <f t="shared" si="64"/>
        <v>1</v>
      </c>
      <c r="AI84" s="376"/>
      <c r="AJ84" s="376"/>
      <c r="AK84" s="373">
        <f t="shared" si="65"/>
        <v>1</v>
      </c>
      <c r="AL84" s="373"/>
      <c r="AM84" s="373"/>
      <c r="AN84" s="373"/>
      <c r="AO84" s="373"/>
      <c r="AP84" s="377">
        <f t="shared" si="109"/>
        <v>1</v>
      </c>
      <c r="AQ84" s="378"/>
      <c r="AR84" s="341">
        <f t="shared" si="66"/>
        <v>1</v>
      </c>
      <c r="AS84" s="341">
        <f t="shared" si="110"/>
        <v>0</v>
      </c>
      <c r="AT84" s="341">
        <f t="shared" si="110"/>
        <v>1</v>
      </c>
      <c r="AU84" s="361">
        <f t="shared" si="67"/>
        <v>1</v>
      </c>
      <c r="AV84" s="361">
        <f t="shared" si="68"/>
        <v>1</v>
      </c>
      <c r="AW84" s="361">
        <f t="shared" si="69"/>
        <v>1</v>
      </c>
      <c r="AX84" s="361">
        <f t="shared" si="70"/>
        <v>1</v>
      </c>
      <c r="AY84" s="361">
        <f t="shared" si="71"/>
        <v>1</v>
      </c>
      <c r="AZ84" s="361">
        <f t="shared" si="72"/>
        <v>1</v>
      </c>
      <c r="BA84" s="361">
        <f t="shared" si="73"/>
        <v>1</v>
      </c>
      <c r="BB84" s="361">
        <f t="shared" si="74"/>
        <v>1</v>
      </c>
      <c r="BC84" s="361">
        <f t="shared" si="75"/>
        <v>1</v>
      </c>
      <c r="BD84" s="361">
        <f t="shared" si="76"/>
        <v>1</v>
      </c>
      <c r="BE84" s="361">
        <f t="shared" si="77"/>
        <v>1</v>
      </c>
      <c r="BF84" s="361">
        <f t="shared" si="78"/>
        <v>1</v>
      </c>
      <c r="BG84" s="361">
        <f t="shared" si="79"/>
        <v>1</v>
      </c>
      <c r="BH84" s="361">
        <f t="shared" si="80"/>
        <v>1</v>
      </c>
      <c r="BI84" s="361">
        <f t="shared" si="81"/>
        <v>1</v>
      </c>
      <c r="BJ84" s="361">
        <f t="shared" si="82"/>
        <v>1</v>
      </c>
      <c r="BK84" s="361">
        <f t="shared" si="83"/>
        <v>1</v>
      </c>
      <c r="BL84" s="361">
        <f t="shared" si="84"/>
        <v>1</v>
      </c>
      <c r="BM84" s="361">
        <f t="shared" si="85"/>
        <v>1</v>
      </c>
      <c r="BN84" s="361">
        <f t="shared" si="86"/>
        <v>1</v>
      </c>
      <c r="BO84" s="361">
        <f t="shared" si="87"/>
        <v>1</v>
      </c>
      <c r="BP84" s="361">
        <f t="shared" si="88"/>
        <v>1</v>
      </c>
      <c r="BQ84" s="361">
        <f t="shared" si="89"/>
        <v>1</v>
      </c>
      <c r="BR84" s="361">
        <f t="shared" si="90"/>
        <v>1</v>
      </c>
      <c r="BS84" s="361">
        <f t="shared" si="91"/>
        <v>1</v>
      </c>
      <c r="BT84" s="361">
        <f t="shared" si="92"/>
        <v>1</v>
      </c>
      <c r="BU84" s="361">
        <f t="shared" si="93"/>
        <v>1</v>
      </c>
      <c r="BV84" s="361">
        <f t="shared" si="94"/>
        <v>1</v>
      </c>
      <c r="BW84" s="361">
        <f t="shared" si="95"/>
        <v>1</v>
      </c>
      <c r="BX84" s="361">
        <f t="shared" si="96"/>
        <v>1</v>
      </c>
      <c r="BY84" s="361">
        <f t="shared" si="97"/>
        <v>1</v>
      </c>
      <c r="BZ84" s="361">
        <f t="shared" si="98"/>
        <v>1</v>
      </c>
      <c r="CA84" s="361">
        <f t="shared" si="99"/>
        <v>1</v>
      </c>
      <c r="CB84" s="361">
        <f t="shared" si="100"/>
        <v>1</v>
      </c>
      <c r="CC84" s="361">
        <f t="shared" si="101"/>
        <v>1</v>
      </c>
      <c r="CH84" s="341">
        <f t="shared" si="111"/>
        <v>1</v>
      </c>
      <c r="CI84" s="341">
        <f t="shared" si="111"/>
        <v>2</v>
      </c>
      <c r="CJ84" s="341">
        <f t="shared" si="111"/>
        <v>3</v>
      </c>
      <c r="CK84" s="341">
        <f t="shared" si="111"/>
        <v>4</v>
      </c>
      <c r="CL84" s="341">
        <f t="shared" si="111"/>
        <v>5</v>
      </c>
      <c r="CM84" s="341">
        <f t="shared" si="111"/>
        <v>6</v>
      </c>
      <c r="CN84" s="341">
        <f t="shared" si="111"/>
        <v>7</v>
      </c>
      <c r="CO84" s="341">
        <f t="shared" si="111"/>
        <v>8</v>
      </c>
      <c r="CP84" s="341">
        <f t="shared" si="111"/>
        <v>9</v>
      </c>
      <c r="CQ84" s="341">
        <f t="shared" si="111"/>
        <v>10</v>
      </c>
      <c r="CT84" s="353"/>
      <c r="CU84" s="353"/>
      <c r="CV84" s="353"/>
      <c r="CW84" s="353" t="b">
        <f t="shared" si="102"/>
        <v>1</v>
      </c>
      <c r="CX84" s="353" t="b">
        <f t="shared" si="103"/>
        <v>0</v>
      </c>
      <c r="CY84" s="353" t="b">
        <f t="shared" si="104"/>
        <v>1</v>
      </c>
      <c r="DC84" s="347">
        <f t="shared" si="60"/>
        <v>2</v>
      </c>
      <c r="DD84" s="353" t="b">
        <f t="shared" si="105"/>
        <v>1</v>
      </c>
      <c r="DE84" s="353" t="b">
        <f t="shared" si="106"/>
        <v>0</v>
      </c>
      <c r="DF84" s="353" t="b">
        <f t="shared" si="107"/>
        <v>1</v>
      </c>
      <c r="DG84" s="353"/>
      <c r="DH84" s="353"/>
      <c r="DI84" s="353"/>
      <c r="DJ84" s="353"/>
      <c r="DK84" s="353">
        <f t="shared" si="61"/>
        <v>2</v>
      </c>
      <c r="DM84" s="341">
        <f t="shared" si="108"/>
        <v>0</v>
      </c>
    </row>
    <row r="85" spans="2:117" x14ac:dyDescent="0.25">
      <c r="B85" s="373">
        <f t="shared" si="56"/>
        <v>55</v>
      </c>
      <c r="C85" s="373"/>
      <c r="D85" s="373"/>
      <c r="E85" s="373"/>
      <c r="F85" s="374" t="s">
        <v>169</v>
      </c>
      <c r="G85" s="375">
        <v>1</v>
      </c>
      <c r="H85" s="375">
        <v>1</v>
      </c>
      <c r="I85" s="375">
        <v>1</v>
      </c>
      <c r="J85" s="375">
        <v>1</v>
      </c>
      <c r="K85" s="375">
        <v>1</v>
      </c>
      <c r="L85" s="375">
        <v>1</v>
      </c>
      <c r="M85" s="375">
        <v>1</v>
      </c>
      <c r="N85" s="375">
        <v>1</v>
      </c>
      <c r="O85" s="375">
        <v>1</v>
      </c>
      <c r="P85" s="375">
        <v>1</v>
      </c>
      <c r="Q85" s="375">
        <v>1</v>
      </c>
      <c r="R85" s="375">
        <v>1</v>
      </c>
      <c r="S85" s="375">
        <v>0</v>
      </c>
      <c r="T85" s="375">
        <v>1</v>
      </c>
      <c r="U85" s="375">
        <v>1</v>
      </c>
      <c r="V85" s="375">
        <v>1</v>
      </c>
      <c r="W85" s="375">
        <v>1</v>
      </c>
      <c r="X85" s="375">
        <v>1</v>
      </c>
      <c r="Y85" s="375">
        <v>1</v>
      </c>
      <c r="Z85" s="376">
        <f t="shared" si="62"/>
        <v>1</v>
      </c>
      <c r="AA85" s="376">
        <v>1</v>
      </c>
      <c r="AB85" s="376"/>
      <c r="AC85" s="376"/>
      <c r="AD85" s="376"/>
      <c r="AE85" s="376"/>
      <c r="AF85" s="376">
        <f t="shared" si="63"/>
        <v>0</v>
      </c>
      <c r="AG85" s="376">
        <v>1</v>
      </c>
      <c r="AH85" s="376">
        <f t="shared" si="64"/>
        <v>1</v>
      </c>
      <c r="AI85" s="376"/>
      <c r="AJ85" s="376"/>
      <c r="AK85" s="373">
        <f t="shared" si="65"/>
        <v>1</v>
      </c>
      <c r="AL85" s="373"/>
      <c r="AM85" s="373"/>
      <c r="AN85" s="373"/>
      <c r="AO85" s="373"/>
      <c r="AP85" s="377">
        <f t="shared" si="109"/>
        <v>1</v>
      </c>
      <c r="AQ85" s="378"/>
      <c r="AR85" s="341">
        <f t="shared" si="66"/>
        <v>1</v>
      </c>
      <c r="AS85" s="341">
        <f t="shared" si="110"/>
        <v>0</v>
      </c>
      <c r="AT85" s="341">
        <f t="shared" si="110"/>
        <v>1</v>
      </c>
      <c r="AU85" s="361">
        <f t="shared" si="67"/>
        <v>1</v>
      </c>
      <c r="AV85" s="361">
        <f t="shared" si="68"/>
        <v>1</v>
      </c>
      <c r="AW85" s="361">
        <f t="shared" si="69"/>
        <v>1</v>
      </c>
      <c r="AX85" s="361">
        <f t="shared" si="70"/>
        <v>1</v>
      </c>
      <c r="AY85" s="361">
        <f t="shared" si="71"/>
        <v>1</v>
      </c>
      <c r="AZ85" s="361">
        <f t="shared" si="72"/>
        <v>1</v>
      </c>
      <c r="BA85" s="361">
        <f t="shared" si="73"/>
        <v>1</v>
      </c>
      <c r="BB85" s="361">
        <f t="shared" si="74"/>
        <v>1</v>
      </c>
      <c r="BC85" s="361">
        <f t="shared" si="75"/>
        <v>1</v>
      </c>
      <c r="BD85" s="361">
        <f t="shared" si="76"/>
        <v>1</v>
      </c>
      <c r="BE85" s="361">
        <f t="shared" si="77"/>
        <v>1</v>
      </c>
      <c r="BF85" s="361">
        <f t="shared" si="78"/>
        <v>1</v>
      </c>
      <c r="BG85" s="361">
        <f t="shared" si="79"/>
        <v>1</v>
      </c>
      <c r="BH85" s="361">
        <f t="shared" si="80"/>
        <v>1</v>
      </c>
      <c r="BI85" s="361">
        <f t="shared" si="81"/>
        <v>1</v>
      </c>
      <c r="BJ85" s="361">
        <f t="shared" si="82"/>
        <v>1</v>
      </c>
      <c r="BK85" s="361">
        <f t="shared" si="83"/>
        <v>1</v>
      </c>
      <c r="BL85" s="361">
        <f t="shared" si="84"/>
        <v>1</v>
      </c>
      <c r="BM85" s="361">
        <f t="shared" si="85"/>
        <v>1</v>
      </c>
      <c r="BN85" s="361">
        <f t="shared" si="86"/>
        <v>1</v>
      </c>
      <c r="BO85" s="361">
        <f t="shared" si="87"/>
        <v>1</v>
      </c>
      <c r="BP85" s="361">
        <f t="shared" si="88"/>
        <v>1</v>
      </c>
      <c r="BQ85" s="361">
        <f t="shared" si="89"/>
        <v>1</v>
      </c>
      <c r="BR85" s="361">
        <f t="shared" si="90"/>
        <v>1</v>
      </c>
      <c r="BS85" s="361">
        <f t="shared" si="91"/>
        <v>1</v>
      </c>
      <c r="BT85" s="361">
        <f t="shared" si="92"/>
        <v>1</v>
      </c>
      <c r="BU85" s="361">
        <f t="shared" si="93"/>
        <v>1</v>
      </c>
      <c r="BV85" s="361">
        <f t="shared" si="94"/>
        <v>1</v>
      </c>
      <c r="BW85" s="361">
        <f t="shared" si="95"/>
        <v>1</v>
      </c>
      <c r="BX85" s="361">
        <f t="shared" si="96"/>
        <v>1</v>
      </c>
      <c r="BY85" s="361">
        <f t="shared" si="97"/>
        <v>1</v>
      </c>
      <c r="BZ85" s="361">
        <f t="shared" si="98"/>
        <v>1</v>
      </c>
      <c r="CA85" s="361">
        <f t="shared" si="99"/>
        <v>1</v>
      </c>
      <c r="CB85" s="361">
        <f t="shared" si="100"/>
        <v>1</v>
      </c>
      <c r="CC85" s="361">
        <f t="shared" si="101"/>
        <v>1</v>
      </c>
      <c r="CH85" s="341">
        <f t="shared" si="111"/>
        <v>1</v>
      </c>
      <c r="CI85" s="341">
        <f t="shared" si="111"/>
        <v>2</v>
      </c>
      <c r="CJ85" s="341">
        <f t="shared" si="111"/>
        <v>3</v>
      </c>
      <c r="CK85" s="341">
        <f t="shared" si="111"/>
        <v>4</v>
      </c>
      <c r="CL85" s="341">
        <f t="shared" si="111"/>
        <v>5</v>
      </c>
      <c r="CM85" s="341">
        <f t="shared" si="111"/>
        <v>6</v>
      </c>
      <c r="CN85" s="341">
        <f t="shared" si="111"/>
        <v>7</v>
      </c>
      <c r="CO85" s="341">
        <f t="shared" si="111"/>
        <v>8</v>
      </c>
      <c r="CP85" s="341">
        <f t="shared" si="111"/>
        <v>9</v>
      </c>
      <c r="CQ85" s="341">
        <f t="shared" si="111"/>
        <v>10</v>
      </c>
      <c r="CT85" s="353"/>
      <c r="CU85" s="353"/>
      <c r="CV85" s="353"/>
      <c r="CW85" s="353" t="b">
        <f t="shared" si="102"/>
        <v>1</v>
      </c>
      <c r="CX85" s="353" t="b">
        <f t="shared" si="103"/>
        <v>0</v>
      </c>
      <c r="CY85" s="353" t="b">
        <f t="shared" si="104"/>
        <v>1</v>
      </c>
      <c r="DC85" s="347">
        <f t="shared" si="60"/>
        <v>2</v>
      </c>
      <c r="DD85" s="353" t="b">
        <f t="shared" si="105"/>
        <v>1</v>
      </c>
      <c r="DE85" s="353" t="b">
        <f t="shared" si="106"/>
        <v>0</v>
      </c>
      <c r="DF85" s="353" t="b">
        <f t="shared" si="107"/>
        <v>1</v>
      </c>
      <c r="DG85" s="353"/>
      <c r="DH85" s="353"/>
      <c r="DI85" s="353"/>
      <c r="DJ85" s="353"/>
      <c r="DK85" s="353">
        <f t="shared" si="61"/>
        <v>2</v>
      </c>
      <c r="DM85" s="341">
        <f t="shared" si="108"/>
        <v>0</v>
      </c>
    </row>
    <row r="86" spans="2:117" x14ac:dyDescent="0.25">
      <c r="B86" s="373">
        <f t="shared" si="56"/>
        <v>56</v>
      </c>
      <c r="C86" s="373"/>
      <c r="D86" s="373"/>
      <c r="E86" s="373"/>
      <c r="F86" s="374" t="s">
        <v>170</v>
      </c>
      <c r="G86" s="375">
        <v>1</v>
      </c>
      <c r="H86" s="375">
        <v>1</v>
      </c>
      <c r="I86" s="375">
        <v>1</v>
      </c>
      <c r="J86" s="375">
        <v>1</v>
      </c>
      <c r="K86" s="375">
        <v>1</v>
      </c>
      <c r="L86" s="375">
        <v>1</v>
      </c>
      <c r="M86" s="375">
        <v>1</v>
      </c>
      <c r="N86" s="375">
        <v>1</v>
      </c>
      <c r="O86" s="375">
        <v>1</v>
      </c>
      <c r="P86" s="375">
        <v>1</v>
      </c>
      <c r="Q86" s="375">
        <v>1</v>
      </c>
      <c r="R86" s="375">
        <v>1</v>
      </c>
      <c r="S86" s="375">
        <v>0</v>
      </c>
      <c r="T86" s="375">
        <v>1</v>
      </c>
      <c r="U86" s="375">
        <v>1</v>
      </c>
      <c r="V86" s="375">
        <v>1</v>
      </c>
      <c r="W86" s="375">
        <v>1</v>
      </c>
      <c r="X86" s="375">
        <v>1</v>
      </c>
      <c r="Y86" s="375">
        <v>1</v>
      </c>
      <c r="Z86" s="376">
        <f t="shared" si="62"/>
        <v>1</v>
      </c>
      <c r="AA86" s="376">
        <v>1</v>
      </c>
      <c r="AB86" s="376"/>
      <c r="AC86" s="376"/>
      <c r="AD86" s="376"/>
      <c r="AE86" s="376"/>
      <c r="AF86" s="376">
        <f t="shared" si="63"/>
        <v>0</v>
      </c>
      <c r="AG86" s="376">
        <v>1</v>
      </c>
      <c r="AH86" s="376">
        <f t="shared" si="64"/>
        <v>1</v>
      </c>
      <c r="AI86" s="376"/>
      <c r="AJ86" s="376"/>
      <c r="AK86" s="373">
        <f t="shared" si="65"/>
        <v>1</v>
      </c>
      <c r="AL86" s="373"/>
      <c r="AM86" s="373"/>
      <c r="AN86" s="373"/>
      <c r="AO86" s="373"/>
      <c r="AP86" s="377">
        <f t="shared" si="109"/>
        <v>1</v>
      </c>
      <c r="AQ86" s="378"/>
      <c r="AR86" s="341">
        <f t="shared" si="66"/>
        <v>1</v>
      </c>
      <c r="AS86" s="341">
        <f t="shared" si="110"/>
        <v>0</v>
      </c>
      <c r="AT86" s="341">
        <f t="shared" si="110"/>
        <v>1</v>
      </c>
      <c r="AU86" s="361">
        <f t="shared" si="67"/>
        <v>1</v>
      </c>
      <c r="AV86" s="361">
        <f t="shared" si="68"/>
        <v>1</v>
      </c>
      <c r="AW86" s="361">
        <f t="shared" si="69"/>
        <v>1</v>
      </c>
      <c r="AX86" s="361">
        <f t="shared" si="70"/>
        <v>1</v>
      </c>
      <c r="AY86" s="361">
        <f t="shared" si="71"/>
        <v>1</v>
      </c>
      <c r="AZ86" s="361">
        <f t="shared" si="72"/>
        <v>1</v>
      </c>
      <c r="BA86" s="361">
        <f t="shared" si="73"/>
        <v>1</v>
      </c>
      <c r="BB86" s="361">
        <f t="shared" si="74"/>
        <v>1</v>
      </c>
      <c r="BC86" s="361">
        <f t="shared" si="75"/>
        <v>1</v>
      </c>
      <c r="BD86" s="361">
        <f t="shared" si="76"/>
        <v>1</v>
      </c>
      <c r="BE86" s="361">
        <f t="shared" si="77"/>
        <v>1</v>
      </c>
      <c r="BF86" s="361">
        <f t="shared" si="78"/>
        <v>1</v>
      </c>
      <c r="BG86" s="361">
        <f t="shared" si="79"/>
        <v>1</v>
      </c>
      <c r="BH86" s="361">
        <f t="shared" si="80"/>
        <v>1</v>
      </c>
      <c r="BI86" s="361">
        <f t="shared" si="81"/>
        <v>1</v>
      </c>
      <c r="BJ86" s="361">
        <f t="shared" si="82"/>
        <v>1</v>
      </c>
      <c r="BK86" s="361">
        <f t="shared" si="83"/>
        <v>1</v>
      </c>
      <c r="BL86" s="361">
        <f t="shared" si="84"/>
        <v>1</v>
      </c>
      <c r="BM86" s="361">
        <f t="shared" si="85"/>
        <v>1</v>
      </c>
      <c r="BN86" s="361">
        <f t="shared" si="86"/>
        <v>1</v>
      </c>
      <c r="BO86" s="361">
        <f t="shared" si="87"/>
        <v>1</v>
      </c>
      <c r="BP86" s="361">
        <f t="shared" si="88"/>
        <v>1</v>
      </c>
      <c r="BQ86" s="361">
        <f t="shared" si="89"/>
        <v>1</v>
      </c>
      <c r="BR86" s="361">
        <f t="shared" si="90"/>
        <v>1</v>
      </c>
      <c r="BS86" s="361">
        <f t="shared" si="91"/>
        <v>1</v>
      </c>
      <c r="BT86" s="361">
        <f t="shared" si="92"/>
        <v>1</v>
      </c>
      <c r="BU86" s="361">
        <f t="shared" si="93"/>
        <v>1</v>
      </c>
      <c r="BV86" s="361">
        <f t="shared" si="94"/>
        <v>1</v>
      </c>
      <c r="BW86" s="361">
        <f t="shared" si="95"/>
        <v>1</v>
      </c>
      <c r="BX86" s="361">
        <f t="shared" si="96"/>
        <v>1</v>
      </c>
      <c r="BY86" s="361">
        <f t="shared" si="97"/>
        <v>1</v>
      </c>
      <c r="BZ86" s="361">
        <f t="shared" si="98"/>
        <v>1</v>
      </c>
      <c r="CA86" s="361">
        <f t="shared" si="99"/>
        <v>1</v>
      </c>
      <c r="CB86" s="361">
        <f t="shared" si="100"/>
        <v>1</v>
      </c>
      <c r="CC86" s="361">
        <f t="shared" si="101"/>
        <v>1</v>
      </c>
      <c r="CH86" s="341">
        <f t="shared" si="111"/>
        <v>1</v>
      </c>
      <c r="CI86" s="341">
        <f t="shared" si="111"/>
        <v>2</v>
      </c>
      <c r="CJ86" s="341">
        <f t="shared" si="111"/>
        <v>3</v>
      </c>
      <c r="CK86" s="341">
        <f t="shared" si="111"/>
        <v>4</v>
      </c>
      <c r="CL86" s="341">
        <f t="shared" si="111"/>
        <v>5</v>
      </c>
      <c r="CM86" s="341">
        <f t="shared" si="111"/>
        <v>6</v>
      </c>
      <c r="CN86" s="341">
        <f t="shared" si="111"/>
        <v>7</v>
      </c>
      <c r="CO86" s="341">
        <f t="shared" si="111"/>
        <v>8</v>
      </c>
      <c r="CP86" s="341">
        <f t="shared" si="111"/>
        <v>9</v>
      </c>
      <c r="CQ86" s="341">
        <f t="shared" si="111"/>
        <v>10</v>
      </c>
      <c r="CT86" s="353"/>
      <c r="CU86" s="353"/>
      <c r="CV86" s="353"/>
      <c r="CW86" s="353" t="b">
        <f t="shared" si="102"/>
        <v>1</v>
      </c>
      <c r="CX86" s="353" t="b">
        <f t="shared" si="103"/>
        <v>0</v>
      </c>
      <c r="CY86" s="353" t="b">
        <f t="shared" si="104"/>
        <v>1</v>
      </c>
      <c r="DC86" s="347">
        <f t="shared" si="60"/>
        <v>2</v>
      </c>
      <c r="DD86" s="353" t="b">
        <f t="shared" si="105"/>
        <v>1</v>
      </c>
      <c r="DE86" s="353" t="b">
        <f t="shared" si="106"/>
        <v>0</v>
      </c>
      <c r="DF86" s="353" t="b">
        <f t="shared" si="107"/>
        <v>1</v>
      </c>
      <c r="DG86" s="353"/>
      <c r="DH86" s="353"/>
      <c r="DI86" s="353"/>
      <c r="DJ86" s="353"/>
      <c r="DK86" s="353">
        <f t="shared" si="61"/>
        <v>2</v>
      </c>
      <c r="DM86" s="341">
        <f t="shared" si="108"/>
        <v>0</v>
      </c>
    </row>
    <row r="87" spans="2:117" x14ac:dyDescent="0.25">
      <c r="B87" s="373">
        <f t="shared" si="56"/>
        <v>57</v>
      </c>
      <c r="C87" s="373"/>
      <c r="D87" s="373"/>
      <c r="E87" s="373"/>
      <c r="F87" s="374" t="s">
        <v>171</v>
      </c>
      <c r="G87" s="375">
        <v>1</v>
      </c>
      <c r="H87" s="375">
        <v>1</v>
      </c>
      <c r="I87" s="375">
        <v>1</v>
      </c>
      <c r="J87" s="375">
        <v>1</v>
      </c>
      <c r="K87" s="375">
        <v>1</v>
      </c>
      <c r="L87" s="375">
        <v>1</v>
      </c>
      <c r="M87" s="375">
        <v>1</v>
      </c>
      <c r="N87" s="375">
        <v>1</v>
      </c>
      <c r="O87" s="375">
        <v>1</v>
      </c>
      <c r="P87" s="375">
        <v>1</v>
      </c>
      <c r="Q87" s="375">
        <v>1</v>
      </c>
      <c r="R87" s="375">
        <v>1</v>
      </c>
      <c r="S87" s="375">
        <v>0</v>
      </c>
      <c r="T87" s="375">
        <v>1</v>
      </c>
      <c r="U87" s="375">
        <v>1</v>
      </c>
      <c r="V87" s="375">
        <v>1</v>
      </c>
      <c r="W87" s="375">
        <v>1</v>
      </c>
      <c r="X87" s="375">
        <v>1</v>
      </c>
      <c r="Y87" s="375">
        <v>1</v>
      </c>
      <c r="Z87" s="376">
        <f t="shared" si="62"/>
        <v>1</v>
      </c>
      <c r="AA87" s="376">
        <v>1</v>
      </c>
      <c r="AB87" s="376"/>
      <c r="AC87" s="376"/>
      <c r="AD87" s="376"/>
      <c r="AE87" s="376"/>
      <c r="AF87" s="376">
        <f t="shared" si="63"/>
        <v>0</v>
      </c>
      <c r="AG87" s="376">
        <v>1</v>
      </c>
      <c r="AH87" s="376">
        <f t="shared" si="64"/>
        <v>1</v>
      </c>
      <c r="AI87" s="376"/>
      <c r="AJ87" s="376"/>
      <c r="AK87" s="373">
        <f t="shared" si="65"/>
        <v>1</v>
      </c>
      <c r="AL87" s="373"/>
      <c r="AM87" s="373"/>
      <c r="AN87" s="373"/>
      <c r="AO87" s="373"/>
      <c r="AP87" s="377">
        <f t="shared" si="109"/>
        <v>1</v>
      </c>
      <c r="AQ87" s="378"/>
      <c r="AR87" s="341">
        <f t="shared" si="66"/>
        <v>1</v>
      </c>
      <c r="AS87" s="341">
        <f t="shared" si="110"/>
        <v>0</v>
      </c>
      <c r="AT87" s="341">
        <f t="shared" si="110"/>
        <v>1</v>
      </c>
      <c r="AU87" s="361">
        <f t="shared" si="67"/>
        <v>1</v>
      </c>
      <c r="AV87" s="361">
        <f t="shared" si="68"/>
        <v>1</v>
      </c>
      <c r="AW87" s="361">
        <f t="shared" si="69"/>
        <v>1</v>
      </c>
      <c r="AX87" s="361">
        <f t="shared" si="70"/>
        <v>1</v>
      </c>
      <c r="AY87" s="361">
        <f t="shared" si="71"/>
        <v>1</v>
      </c>
      <c r="AZ87" s="361">
        <f t="shared" si="72"/>
        <v>1</v>
      </c>
      <c r="BA87" s="361">
        <f t="shared" si="73"/>
        <v>1</v>
      </c>
      <c r="BB87" s="361">
        <f t="shared" si="74"/>
        <v>1</v>
      </c>
      <c r="BC87" s="361">
        <f t="shared" si="75"/>
        <v>1</v>
      </c>
      <c r="BD87" s="361">
        <f t="shared" si="76"/>
        <v>1</v>
      </c>
      <c r="BE87" s="361">
        <f t="shared" si="77"/>
        <v>1</v>
      </c>
      <c r="BF87" s="361">
        <f t="shared" si="78"/>
        <v>1</v>
      </c>
      <c r="BG87" s="361">
        <f t="shared" si="79"/>
        <v>1</v>
      </c>
      <c r="BH87" s="361">
        <f t="shared" si="80"/>
        <v>1</v>
      </c>
      <c r="BI87" s="361">
        <f t="shared" si="81"/>
        <v>1</v>
      </c>
      <c r="BJ87" s="361">
        <f t="shared" si="82"/>
        <v>1</v>
      </c>
      <c r="BK87" s="361">
        <f t="shared" si="83"/>
        <v>1</v>
      </c>
      <c r="BL87" s="361">
        <f t="shared" si="84"/>
        <v>1</v>
      </c>
      <c r="BM87" s="361">
        <f t="shared" si="85"/>
        <v>1</v>
      </c>
      <c r="BN87" s="361">
        <f t="shared" si="86"/>
        <v>1</v>
      </c>
      <c r="BO87" s="361">
        <f t="shared" si="87"/>
        <v>1</v>
      </c>
      <c r="BP87" s="361">
        <f t="shared" si="88"/>
        <v>1</v>
      </c>
      <c r="BQ87" s="361">
        <f t="shared" si="89"/>
        <v>1</v>
      </c>
      <c r="BR87" s="361">
        <f t="shared" si="90"/>
        <v>1</v>
      </c>
      <c r="BS87" s="361">
        <f t="shared" si="91"/>
        <v>1</v>
      </c>
      <c r="BT87" s="361">
        <f t="shared" si="92"/>
        <v>1</v>
      </c>
      <c r="BU87" s="361">
        <f t="shared" si="93"/>
        <v>1</v>
      </c>
      <c r="BV87" s="361">
        <f t="shared" si="94"/>
        <v>1</v>
      </c>
      <c r="BW87" s="361">
        <f t="shared" si="95"/>
        <v>1</v>
      </c>
      <c r="BX87" s="361">
        <f t="shared" si="96"/>
        <v>1</v>
      </c>
      <c r="BY87" s="361">
        <f t="shared" si="97"/>
        <v>1</v>
      </c>
      <c r="BZ87" s="361">
        <f t="shared" si="98"/>
        <v>1</v>
      </c>
      <c r="CA87" s="361">
        <f t="shared" si="99"/>
        <v>1</v>
      </c>
      <c r="CB87" s="361">
        <f t="shared" si="100"/>
        <v>1</v>
      </c>
      <c r="CC87" s="361">
        <f t="shared" si="101"/>
        <v>1</v>
      </c>
      <c r="CH87" s="341">
        <f t="shared" si="111"/>
        <v>1</v>
      </c>
      <c r="CI87" s="341">
        <f t="shared" si="111"/>
        <v>2</v>
      </c>
      <c r="CJ87" s="341">
        <f t="shared" si="111"/>
        <v>3</v>
      </c>
      <c r="CK87" s="341">
        <f t="shared" si="111"/>
        <v>4</v>
      </c>
      <c r="CL87" s="341">
        <f t="shared" si="111"/>
        <v>5</v>
      </c>
      <c r="CM87" s="341">
        <f t="shared" si="111"/>
        <v>6</v>
      </c>
      <c r="CN87" s="341">
        <f t="shared" si="111"/>
        <v>7</v>
      </c>
      <c r="CO87" s="341">
        <f t="shared" si="111"/>
        <v>8</v>
      </c>
      <c r="CP87" s="341">
        <f t="shared" si="111"/>
        <v>9</v>
      </c>
      <c r="CQ87" s="341">
        <f t="shared" si="111"/>
        <v>10</v>
      </c>
      <c r="CT87" s="353"/>
      <c r="CU87" s="353"/>
      <c r="CV87" s="353"/>
      <c r="CW87" s="353" t="b">
        <f t="shared" si="102"/>
        <v>1</v>
      </c>
      <c r="CX87" s="353" t="b">
        <f t="shared" si="103"/>
        <v>0</v>
      </c>
      <c r="CY87" s="353" t="b">
        <f t="shared" si="104"/>
        <v>1</v>
      </c>
      <c r="DC87" s="347">
        <f t="shared" si="60"/>
        <v>2</v>
      </c>
      <c r="DD87" s="353" t="b">
        <f t="shared" si="105"/>
        <v>1</v>
      </c>
      <c r="DE87" s="353" t="b">
        <f t="shared" si="106"/>
        <v>0</v>
      </c>
      <c r="DF87" s="353" t="b">
        <f t="shared" si="107"/>
        <v>1</v>
      </c>
      <c r="DG87" s="353"/>
      <c r="DH87" s="353"/>
      <c r="DI87" s="353"/>
      <c r="DJ87" s="353"/>
      <c r="DK87" s="353">
        <f t="shared" si="61"/>
        <v>2</v>
      </c>
      <c r="DM87" s="341">
        <f t="shared" si="108"/>
        <v>0</v>
      </c>
    </row>
    <row r="88" spans="2:117" x14ac:dyDescent="0.25">
      <c r="B88" s="373">
        <f t="shared" si="56"/>
        <v>58</v>
      </c>
      <c r="C88" s="373"/>
      <c r="D88" s="373"/>
      <c r="E88" s="373"/>
      <c r="F88" s="374" t="s">
        <v>172</v>
      </c>
      <c r="G88" s="375">
        <v>1</v>
      </c>
      <c r="H88" s="375">
        <v>1</v>
      </c>
      <c r="I88" s="375">
        <v>1</v>
      </c>
      <c r="J88" s="375">
        <v>1</v>
      </c>
      <c r="K88" s="375">
        <v>1</v>
      </c>
      <c r="L88" s="375">
        <v>1</v>
      </c>
      <c r="M88" s="375">
        <v>1</v>
      </c>
      <c r="N88" s="375">
        <v>1</v>
      </c>
      <c r="O88" s="375">
        <v>1</v>
      </c>
      <c r="P88" s="375">
        <v>1</v>
      </c>
      <c r="Q88" s="375">
        <v>1</v>
      </c>
      <c r="R88" s="375">
        <v>1</v>
      </c>
      <c r="S88" s="375">
        <v>0</v>
      </c>
      <c r="T88" s="375">
        <v>1</v>
      </c>
      <c r="U88" s="375">
        <v>1</v>
      </c>
      <c r="V88" s="375">
        <v>1</v>
      </c>
      <c r="W88" s="375">
        <v>1</v>
      </c>
      <c r="X88" s="375">
        <v>1</v>
      </c>
      <c r="Y88" s="375">
        <v>1</v>
      </c>
      <c r="Z88" s="376">
        <f t="shared" si="62"/>
        <v>1</v>
      </c>
      <c r="AA88" s="376">
        <v>1</v>
      </c>
      <c r="AB88" s="376"/>
      <c r="AC88" s="376"/>
      <c r="AD88" s="376"/>
      <c r="AE88" s="376"/>
      <c r="AF88" s="376">
        <f t="shared" si="63"/>
        <v>0</v>
      </c>
      <c r="AG88" s="376">
        <v>1</v>
      </c>
      <c r="AH88" s="376">
        <f t="shared" si="64"/>
        <v>1</v>
      </c>
      <c r="AI88" s="376"/>
      <c r="AJ88" s="376"/>
      <c r="AK88" s="373">
        <f t="shared" si="65"/>
        <v>1</v>
      </c>
      <c r="AL88" s="373"/>
      <c r="AM88" s="373"/>
      <c r="AN88" s="373"/>
      <c r="AO88" s="373"/>
      <c r="AP88" s="377">
        <f t="shared" si="109"/>
        <v>1</v>
      </c>
      <c r="AQ88" s="378"/>
      <c r="AR88" s="341">
        <f t="shared" si="66"/>
        <v>1</v>
      </c>
      <c r="AS88" s="341">
        <f t="shared" si="110"/>
        <v>0</v>
      </c>
      <c r="AT88" s="341">
        <f t="shared" si="110"/>
        <v>1</v>
      </c>
      <c r="AU88" s="361">
        <f t="shared" si="67"/>
        <v>1</v>
      </c>
      <c r="AV88" s="361">
        <f t="shared" si="68"/>
        <v>1</v>
      </c>
      <c r="AW88" s="361">
        <f t="shared" si="69"/>
        <v>1</v>
      </c>
      <c r="AX88" s="361">
        <f t="shared" si="70"/>
        <v>1</v>
      </c>
      <c r="AY88" s="361">
        <f t="shared" si="71"/>
        <v>1</v>
      </c>
      <c r="AZ88" s="361">
        <f t="shared" si="72"/>
        <v>1</v>
      </c>
      <c r="BA88" s="361">
        <f t="shared" si="73"/>
        <v>1</v>
      </c>
      <c r="BB88" s="361">
        <f t="shared" si="74"/>
        <v>1</v>
      </c>
      <c r="BC88" s="361">
        <f t="shared" si="75"/>
        <v>1</v>
      </c>
      <c r="BD88" s="361">
        <f t="shared" si="76"/>
        <v>1</v>
      </c>
      <c r="BE88" s="361">
        <f t="shared" si="77"/>
        <v>1</v>
      </c>
      <c r="BF88" s="361">
        <f t="shared" si="78"/>
        <v>1</v>
      </c>
      <c r="BG88" s="361">
        <f t="shared" si="79"/>
        <v>1</v>
      </c>
      <c r="BH88" s="361">
        <f t="shared" si="80"/>
        <v>1</v>
      </c>
      <c r="BI88" s="361">
        <f t="shared" si="81"/>
        <v>1</v>
      </c>
      <c r="BJ88" s="361">
        <f t="shared" si="82"/>
        <v>1</v>
      </c>
      <c r="BK88" s="361">
        <f t="shared" si="83"/>
        <v>1</v>
      </c>
      <c r="BL88" s="361">
        <f t="shared" si="84"/>
        <v>1</v>
      </c>
      <c r="BM88" s="361">
        <f t="shared" si="85"/>
        <v>1</v>
      </c>
      <c r="BN88" s="361">
        <f t="shared" si="86"/>
        <v>1</v>
      </c>
      <c r="BO88" s="361">
        <f t="shared" si="87"/>
        <v>1</v>
      </c>
      <c r="BP88" s="361">
        <f t="shared" si="88"/>
        <v>1</v>
      </c>
      <c r="BQ88" s="361">
        <f t="shared" si="89"/>
        <v>1</v>
      </c>
      <c r="BR88" s="361">
        <f t="shared" si="90"/>
        <v>1</v>
      </c>
      <c r="BS88" s="361">
        <f t="shared" si="91"/>
        <v>1</v>
      </c>
      <c r="BT88" s="361">
        <f t="shared" si="92"/>
        <v>1</v>
      </c>
      <c r="BU88" s="361">
        <f t="shared" si="93"/>
        <v>1</v>
      </c>
      <c r="BV88" s="361">
        <f t="shared" si="94"/>
        <v>1</v>
      </c>
      <c r="BW88" s="361">
        <f t="shared" si="95"/>
        <v>1</v>
      </c>
      <c r="BX88" s="361">
        <f t="shared" si="96"/>
        <v>1</v>
      </c>
      <c r="BY88" s="361">
        <f t="shared" si="97"/>
        <v>1</v>
      </c>
      <c r="BZ88" s="361">
        <f t="shared" si="98"/>
        <v>1</v>
      </c>
      <c r="CA88" s="361">
        <f t="shared" si="99"/>
        <v>1</v>
      </c>
      <c r="CB88" s="361">
        <f t="shared" si="100"/>
        <v>1</v>
      </c>
      <c r="CC88" s="361">
        <f t="shared" si="101"/>
        <v>1</v>
      </c>
      <c r="CH88" s="341">
        <f t="shared" si="111"/>
        <v>1</v>
      </c>
      <c r="CI88" s="341">
        <f t="shared" si="111"/>
        <v>2</v>
      </c>
      <c r="CJ88" s="341">
        <f t="shared" si="111"/>
        <v>3</v>
      </c>
      <c r="CK88" s="341">
        <f t="shared" si="111"/>
        <v>4</v>
      </c>
      <c r="CL88" s="341">
        <f t="shared" si="111"/>
        <v>5</v>
      </c>
      <c r="CM88" s="341">
        <f t="shared" si="111"/>
        <v>6</v>
      </c>
      <c r="CN88" s="341">
        <f t="shared" si="111"/>
        <v>7</v>
      </c>
      <c r="CO88" s="341">
        <f t="shared" si="111"/>
        <v>8</v>
      </c>
      <c r="CP88" s="341">
        <f t="shared" si="111"/>
        <v>9</v>
      </c>
      <c r="CQ88" s="341">
        <f t="shared" si="111"/>
        <v>10</v>
      </c>
      <c r="CT88" s="353"/>
      <c r="CU88" s="353"/>
      <c r="CV88" s="353"/>
      <c r="CW88" s="353" t="b">
        <f t="shared" si="102"/>
        <v>1</v>
      </c>
      <c r="CX88" s="353" t="b">
        <f t="shared" si="103"/>
        <v>0</v>
      </c>
      <c r="CY88" s="353" t="b">
        <f t="shared" si="104"/>
        <v>1</v>
      </c>
      <c r="DC88" s="347">
        <f t="shared" si="60"/>
        <v>2</v>
      </c>
      <c r="DD88" s="353" t="b">
        <f t="shared" si="105"/>
        <v>1</v>
      </c>
      <c r="DE88" s="353" t="b">
        <f t="shared" si="106"/>
        <v>0</v>
      </c>
      <c r="DF88" s="353" t="b">
        <f t="shared" si="107"/>
        <v>1</v>
      </c>
      <c r="DG88" s="353"/>
      <c r="DH88" s="353"/>
      <c r="DI88" s="353"/>
      <c r="DJ88" s="353"/>
      <c r="DK88" s="353">
        <f t="shared" si="61"/>
        <v>2</v>
      </c>
      <c r="DM88" s="341">
        <f t="shared" si="108"/>
        <v>0</v>
      </c>
    </row>
    <row r="89" spans="2:117" x14ac:dyDescent="0.25">
      <c r="B89" s="373">
        <f t="shared" si="56"/>
        <v>59</v>
      </c>
      <c r="C89" s="373"/>
      <c r="D89" s="373"/>
      <c r="E89" s="373"/>
      <c r="F89" s="374" t="s">
        <v>173</v>
      </c>
      <c r="G89" s="375">
        <v>1</v>
      </c>
      <c r="H89" s="375">
        <v>1</v>
      </c>
      <c r="I89" s="375">
        <v>1</v>
      </c>
      <c r="J89" s="375">
        <v>1</v>
      </c>
      <c r="K89" s="375">
        <v>1</v>
      </c>
      <c r="L89" s="375">
        <v>1</v>
      </c>
      <c r="M89" s="375">
        <v>1</v>
      </c>
      <c r="N89" s="375">
        <v>1</v>
      </c>
      <c r="O89" s="375">
        <v>1</v>
      </c>
      <c r="P89" s="375">
        <v>1</v>
      </c>
      <c r="Q89" s="375">
        <v>1</v>
      </c>
      <c r="R89" s="375">
        <v>1</v>
      </c>
      <c r="S89" s="375">
        <v>0</v>
      </c>
      <c r="T89" s="375">
        <v>1</v>
      </c>
      <c r="U89" s="375">
        <v>1</v>
      </c>
      <c r="V89" s="375">
        <v>1</v>
      </c>
      <c r="W89" s="375">
        <v>1</v>
      </c>
      <c r="X89" s="375">
        <v>1</v>
      </c>
      <c r="Y89" s="375">
        <v>1</v>
      </c>
      <c r="Z89" s="376">
        <f t="shared" si="62"/>
        <v>1</v>
      </c>
      <c r="AA89" s="376">
        <v>1</v>
      </c>
      <c r="AB89" s="376"/>
      <c r="AC89" s="376"/>
      <c r="AD89" s="376"/>
      <c r="AE89" s="376"/>
      <c r="AF89" s="376">
        <f t="shared" si="63"/>
        <v>0</v>
      </c>
      <c r="AG89" s="376">
        <v>1</v>
      </c>
      <c r="AH89" s="376">
        <f t="shared" si="64"/>
        <v>1</v>
      </c>
      <c r="AI89" s="376"/>
      <c r="AJ89" s="376"/>
      <c r="AK89" s="373">
        <f t="shared" si="65"/>
        <v>1</v>
      </c>
      <c r="AL89" s="373"/>
      <c r="AM89" s="373"/>
      <c r="AN89" s="373"/>
      <c r="AO89" s="373"/>
      <c r="AP89" s="377">
        <f t="shared" si="109"/>
        <v>1</v>
      </c>
      <c r="AQ89" s="378"/>
      <c r="AR89" s="341">
        <f t="shared" si="66"/>
        <v>1</v>
      </c>
      <c r="AS89" s="341">
        <f t="shared" si="110"/>
        <v>0</v>
      </c>
      <c r="AT89" s="341">
        <f t="shared" si="110"/>
        <v>1</v>
      </c>
      <c r="AU89" s="361">
        <f t="shared" si="67"/>
        <v>1</v>
      </c>
      <c r="AV89" s="361">
        <f t="shared" si="68"/>
        <v>1</v>
      </c>
      <c r="AW89" s="361">
        <f t="shared" si="69"/>
        <v>1</v>
      </c>
      <c r="AX89" s="361">
        <f t="shared" si="70"/>
        <v>1</v>
      </c>
      <c r="AY89" s="361">
        <f t="shared" si="71"/>
        <v>1</v>
      </c>
      <c r="AZ89" s="361">
        <f t="shared" si="72"/>
        <v>1</v>
      </c>
      <c r="BA89" s="361">
        <f t="shared" si="73"/>
        <v>1</v>
      </c>
      <c r="BB89" s="361">
        <f t="shared" si="74"/>
        <v>1</v>
      </c>
      <c r="BC89" s="361">
        <f t="shared" si="75"/>
        <v>1</v>
      </c>
      <c r="BD89" s="361">
        <f t="shared" si="76"/>
        <v>1</v>
      </c>
      <c r="BE89" s="361">
        <f t="shared" si="77"/>
        <v>1</v>
      </c>
      <c r="BF89" s="361">
        <f t="shared" si="78"/>
        <v>1</v>
      </c>
      <c r="BG89" s="361">
        <f t="shared" si="79"/>
        <v>1</v>
      </c>
      <c r="BH89" s="361">
        <f t="shared" si="80"/>
        <v>1</v>
      </c>
      <c r="BI89" s="361">
        <f t="shared" si="81"/>
        <v>1</v>
      </c>
      <c r="BJ89" s="361">
        <f t="shared" si="82"/>
        <v>1</v>
      </c>
      <c r="BK89" s="361">
        <f t="shared" si="83"/>
        <v>1</v>
      </c>
      <c r="BL89" s="361">
        <f t="shared" si="84"/>
        <v>1</v>
      </c>
      <c r="BM89" s="361">
        <f t="shared" si="85"/>
        <v>1</v>
      </c>
      <c r="BN89" s="361">
        <f t="shared" si="86"/>
        <v>1</v>
      </c>
      <c r="BO89" s="361">
        <f t="shared" si="87"/>
        <v>1</v>
      </c>
      <c r="BP89" s="361">
        <f t="shared" si="88"/>
        <v>1</v>
      </c>
      <c r="BQ89" s="361">
        <f t="shared" si="89"/>
        <v>1</v>
      </c>
      <c r="BR89" s="361">
        <f t="shared" si="90"/>
        <v>1</v>
      </c>
      <c r="BS89" s="361">
        <f t="shared" si="91"/>
        <v>1</v>
      </c>
      <c r="BT89" s="361">
        <f t="shared" si="92"/>
        <v>1</v>
      </c>
      <c r="BU89" s="361">
        <f t="shared" si="93"/>
        <v>1</v>
      </c>
      <c r="BV89" s="361">
        <f t="shared" si="94"/>
        <v>1</v>
      </c>
      <c r="BW89" s="361">
        <f t="shared" si="95"/>
        <v>1</v>
      </c>
      <c r="BX89" s="361">
        <f t="shared" si="96"/>
        <v>1</v>
      </c>
      <c r="BY89" s="361">
        <f t="shared" si="97"/>
        <v>1</v>
      </c>
      <c r="BZ89" s="361">
        <f t="shared" si="98"/>
        <v>1</v>
      </c>
      <c r="CA89" s="361">
        <f t="shared" si="99"/>
        <v>1</v>
      </c>
      <c r="CB89" s="361">
        <f t="shared" si="100"/>
        <v>1</v>
      </c>
      <c r="CC89" s="361">
        <f t="shared" si="101"/>
        <v>1</v>
      </c>
      <c r="CH89" s="341">
        <f t="shared" si="111"/>
        <v>1</v>
      </c>
      <c r="CI89" s="341">
        <f t="shared" si="111"/>
        <v>2</v>
      </c>
      <c r="CJ89" s="341">
        <f t="shared" si="111"/>
        <v>3</v>
      </c>
      <c r="CK89" s="341">
        <f t="shared" si="111"/>
        <v>4</v>
      </c>
      <c r="CL89" s="341">
        <f t="shared" si="111"/>
        <v>5</v>
      </c>
      <c r="CM89" s="341">
        <f t="shared" ref="CM89:CQ132" si="112">IF($F89="","",CM$30)</f>
        <v>6</v>
      </c>
      <c r="CN89" s="341">
        <f t="shared" si="112"/>
        <v>7</v>
      </c>
      <c r="CO89" s="341">
        <f t="shared" si="112"/>
        <v>8</v>
      </c>
      <c r="CP89" s="341">
        <f t="shared" si="112"/>
        <v>9</v>
      </c>
      <c r="CQ89" s="341">
        <f t="shared" si="112"/>
        <v>10</v>
      </c>
      <c r="CT89" s="353"/>
      <c r="CU89" s="353"/>
      <c r="CV89" s="353"/>
      <c r="CW89" s="353" t="b">
        <f t="shared" si="102"/>
        <v>1</v>
      </c>
      <c r="CX89" s="353" t="b">
        <f t="shared" si="103"/>
        <v>0</v>
      </c>
      <c r="CY89" s="353" t="b">
        <f t="shared" si="104"/>
        <v>1</v>
      </c>
      <c r="DC89" s="347">
        <f t="shared" si="60"/>
        <v>2</v>
      </c>
      <c r="DD89" s="353" t="b">
        <f t="shared" si="105"/>
        <v>1</v>
      </c>
      <c r="DE89" s="353" t="b">
        <f t="shared" si="106"/>
        <v>0</v>
      </c>
      <c r="DF89" s="353" t="b">
        <f t="shared" si="107"/>
        <v>1</v>
      </c>
      <c r="DG89" s="353"/>
      <c r="DH89" s="353"/>
      <c r="DI89" s="353"/>
      <c r="DJ89" s="353"/>
      <c r="DK89" s="353">
        <f t="shared" si="61"/>
        <v>2</v>
      </c>
      <c r="DM89" s="341">
        <f t="shared" si="108"/>
        <v>0</v>
      </c>
    </row>
    <row r="90" spans="2:117" x14ac:dyDescent="0.25">
      <c r="B90" s="373">
        <f t="shared" ref="B90:B130" si="113">IF(F90="","",ROW()-30)</f>
        <v>60</v>
      </c>
      <c r="C90" s="373"/>
      <c r="D90" s="373"/>
      <c r="E90" s="373"/>
      <c r="F90" s="374" t="s">
        <v>174</v>
      </c>
      <c r="G90" s="375">
        <v>1</v>
      </c>
      <c r="H90" s="375">
        <v>1</v>
      </c>
      <c r="I90" s="375">
        <v>1</v>
      </c>
      <c r="J90" s="375">
        <v>1</v>
      </c>
      <c r="K90" s="375">
        <v>1</v>
      </c>
      <c r="L90" s="375">
        <v>1</v>
      </c>
      <c r="M90" s="375">
        <v>1</v>
      </c>
      <c r="N90" s="375">
        <v>1</v>
      </c>
      <c r="O90" s="375">
        <v>1</v>
      </c>
      <c r="P90" s="375">
        <v>1</v>
      </c>
      <c r="Q90" s="375">
        <v>1</v>
      </c>
      <c r="R90" s="375">
        <v>1</v>
      </c>
      <c r="S90" s="375">
        <v>1</v>
      </c>
      <c r="T90" s="376">
        <v>0</v>
      </c>
      <c r="U90" s="376">
        <v>0</v>
      </c>
      <c r="V90" s="376">
        <v>0</v>
      </c>
      <c r="W90" s="376">
        <v>0</v>
      </c>
      <c r="X90" s="376">
        <v>0</v>
      </c>
      <c r="Y90" s="376">
        <v>0</v>
      </c>
      <c r="Z90" s="376">
        <f t="shared" si="62"/>
        <v>1</v>
      </c>
      <c r="AA90" s="376">
        <v>1</v>
      </c>
      <c r="AB90" s="376"/>
      <c r="AC90" s="376"/>
      <c r="AD90" s="376"/>
      <c r="AE90" s="376"/>
      <c r="AF90" s="376">
        <f t="shared" si="63"/>
        <v>0</v>
      </c>
      <c r="AG90" s="376">
        <v>1</v>
      </c>
      <c r="AH90" s="376">
        <f t="shared" si="64"/>
        <v>1</v>
      </c>
      <c r="AI90" s="376"/>
      <c r="AJ90" s="376"/>
      <c r="AK90" s="373">
        <f t="shared" si="65"/>
        <v>1</v>
      </c>
      <c r="AL90" s="373"/>
      <c r="AM90" s="373"/>
      <c r="AN90" s="373"/>
      <c r="AO90" s="373"/>
      <c r="AP90" s="377">
        <f t="shared" si="109"/>
        <v>1</v>
      </c>
      <c r="AQ90" s="378"/>
      <c r="AR90" s="341">
        <f t="shared" si="66"/>
        <v>1</v>
      </c>
      <c r="AS90" s="341">
        <f t="shared" si="110"/>
        <v>0</v>
      </c>
      <c r="AT90" s="341">
        <f t="shared" si="110"/>
        <v>1</v>
      </c>
      <c r="AU90" s="361">
        <f t="shared" si="67"/>
        <v>1</v>
      </c>
      <c r="AV90" s="361">
        <f t="shared" si="68"/>
        <v>1</v>
      </c>
      <c r="AW90" s="361">
        <f t="shared" si="69"/>
        <v>1</v>
      </c>
      <c r="AX90" s="361">
        <f t="shared" si="70"/>
        <v>1</v>
      </c>
      <c r="AY90" s="361">
        <f t="shared" si="71"/>
        <v>1</v>
      </c>
      <c r="AZ90" s="361">
        <f t="shared" si="72"/>
        <v>1</v>
      </c>
      <c r="BA90" s="361">
        <f t="shared" si="73"/>
        <v>1</v>
      </c>
      <c r="BB90" s="361">
        <f t="shared" si="74"/>
        <v>1</v>
      </c>
      <c r="BC90" s="361">
        <f t="shared" si="75"/>
        <v>1</v>
      </c>
      <c r="BD90" s="361">
        <f t="shared" si="76"/>
        <v>1</v>
      </c>
      <c r="BE90" s="361">
        <f t="shared" si="77"/>
        <v>1</v>
      </c>
      <c r="BF90" s="361">
        <f t="shared" si="78"/>
        <v>1</v>
      </c>
      <c r="BG90" s="361">
        <f t="shared" si="79"/>
        <v>1</v>
      </c>
      <c r="BH90" s="361">
        <f t="shared" si="80"/>
        <v>1</v>
      </c>
      <c r="BI90" s="361">
        <f t="shared" si="81"/>
        <v>1</v>
      </c>
      <c r="BJ90" s="361">
        <f t="shared" si="82"/>
        <v>1</v>
      </c>
      <c r="BK90" s="361">
        <f t="shared" si="83"/>
        <v>1</v>
      </c>
      <c r="BL90" s="361">
        <f t="shared" si="84"/>
        <v>1</v>
      </c>
      <c r="BM90" s="361">
        <f t="shared" si="85"/>
        <v>1</v>
      </c>
      <c r="BN90" s="361">
        <f t="shared" si="86"/>
        <v>1</v>
      </c>
      <c r="BO90" s="361">
        <f t="shared" si="87"/>
        <v>1</v>
      </c>
      <c r="BP90" s="361">
        <f t="shared" si="88"/>
        <v>1</v>
      </c>
      <c r="BQ90" s="361">
        <f t="shared" si="89"/>
        <v>1</v>
      </c>
      <c r="BR90" s="361">
        <f t="shared" si="90"/>
        <v>1</v>
      </c>
      <c r="BS90" s="361">
        <f t="shared" si="91"/>
        <v>1</v>
      </c>
      <c r="BT90" s="361">
        <f t="shared" si="92"/>
        <v>1</v>
      </c>
      <c r="BU90" s="361">
        <f t="shared" si="93"/>
        <v>1</v>
      </c>
      <c r="BV90" s="361">
        <f t="shared" si="94"/>
        <v>1</v>
      </c>
      <c r="BW90" s="361">
        <f t="shared" si="95"/>
        <v>1</v>
      </c>
      <c r="BX90" s="361">
        <f t="shared" si="96"/>
        <v>1</v>
      </c>
      <c r="BY90" s="361">
        <f t="shared" si="97"/>
        <v>1</v>
      </c>
      <c r="BZ90" s="361">
        <f t="shared" si="98"/>
        <v>1</v>
      </c>
      <c r="CA90" s="361">
        <f t="shared" si="99"/>
        <v>1</v>
      </c>
      <c r="CB90" s="361">
        <f t="shared" si="100"/>
        <v>1</v>
      </c>
      <c r="CC90" s="361">
        <f t="shared" si="101"/>
        <v>1</v>
      </c>
      <c r="CH90" s="341">
        <f t="shared" ref="CH90:CL132" si="114">IF($F90="","",CH$30)</f>
        <v>1</v>
      </c>
      <c r="CI90" s="341">
        <f t="shared" si="114"/>
        <v>2</v>
      </c>
      <c r="CJ90" s="341">
        <f t="shared" si="114"/>
        <v>3</v>
      </c>
      <c r="CK90" s="341">
        <f t="shared" si="114"/>
        <v>4</v>
      </c>
      <c r="CL90" s="341">
        <f t="shared" si="114"/>
        <v>5</v>
      </c>
      <c r="CM90" s="341">
        <f t="shared" si="112"/>
        <v>6</v>
      </c>
      <c r="CN90" s="341">
        <f t="shared" si="112"/>
        <v>7</v>
      </c>
      <c r="CO90" s="341">
        <f t="shared" si="112"/>
        <v>8</v>
      </c>
      <c r="CP90" s="341">
        <f t="shared" si="112"/>
        <v>9</v>
      </c>
      <c r="CQ90" s="341">
        <f t="shared" si="112"/>
        <v>10</v>
      </c>
      <c r="CT90" s="353"/>
      <c r="CU90" s="353"/>
      <c r="CV90" s="353"/>
      <c r="CW90" s="353" t="b">
        <f t="shared" si="102"/>
        <v>0</v>
      </c>
      <c r="CX90" s="353" t="b">
        <f t="shared" si="103"/>
        <v>0</v>
      </c>
      <c r="CY90" s="353" t="b">
        <f t="shared" si="104"/>
        <v>1</v>
      </c>
      <c r="DC90" s="347">
        <f t="shared" ref="DC90:DC126" si="115">COUNTIF(CW90:DA90,TRUE)</f>
        <v>1</v>
      </c>
      <c r="DD90" s="353" t="b">
        <f t="shared" si="105"/>
        <v>0</v>
      </c>
      <c r="DE90" s="353" t="b">
        <f t="shared" si="106"/>
        <v>0</v>
      </c>
      <c r="DF90" s="353" t="b">
        <f t="shared" si="107"/>
        <v>1</v>
      </c>
      <c r="DG90" s="353"/>
      <c r="DH90" s="353"/>
      <c r="DI90" s="353"/>
      <c r="DJ90" s="353"/>
      <c r="DK90" s="353">
        <f t="shared" ref="DK90:DK126" si="116">COUNTIF(DD90:DJ90,TRUE)</f>
        <v>1</v>
      </c>
      <c r="DM90" s="341">
        <f t="shared" si="108"/>
        <v>0</v>
      </c>
    </row>
    <row r="91" spans="2:117" x14ac:dyDescent="0.25">
      <c r="B91" s="373">
        <f t="shared" si="113"/>
        <v>61</v>
      </c>
      <c r="C91" s="373"/>
      <c r="D91" s="373"/>
      <c r="E91" s="373"/>
      <c r="F91" s="374" t="s">
        <v>175</v>
      </c>
      <c r="G91" s="375">
        <v>1</v>
      </c>
      <c r="H91" s="375">
        <v>1</v>
      </c>
      <c r="I91" s="375">
        <v>1</v>
      </c>
      <c r="J91" s="375">
        <v>1</v>
      </c>
      <c r="K91" s="375">
        <v>1</v>
      </c>
      <c r="L91" s="375">
        <v>1</v>
      </c>
      <c r="M91" s="375">
        <v>1</v>
      </c>
      <c r="N91" s="375">
        <v>1</v>
      </c>
      <c r="O91" s="375">
        <v>1</v>
      </c>
      <c r="P91" s="375">
        <v>1</v>
      </c>
      <c r="Q91" s="375">
        <v>1</v>
      </c>
      <c r="R91" s="375">
        <v>1</v>
      </c>
      <c r="S91" s="375">
        <v>0</v>
      </c>
      <c r="T91" s="375">
        <v>1</v>
      </c>
      <c r="U91" s="375">
        <v>1</v>
      </c>
      <c r="V91" s="375">
        <v>1</v>
      </c>
      <c r="W91" s="375">
        <v>1</v>
      </c>
      <c r="X91" s="375">
        <v>1</v>
      </c>
      <c r="Y91" s="375">
        <v>1</v>
      </c>
      <c r="Z91" s="376">
        <f t="shared" si="62"/>
        <v>1</v>
      </c>
      <c r="AA91" s="376">
        <v>1</v>
      </c>
      <c r="AB91" s="376"/>
      <c r="AC91" s="376"/>
      <c r="AD91" s="376"/>
      <c r="AE91" s="376"/>
      <c r="AF91" s="376">
        <f t="shared" si="63"/>
        <v>0</v>
      </c>
      <c r="AG91" s="376">
        <v>1</v>
      </c>
      <c r="AH91" s="376">
        <f t="shared" si="64"/>
        <v>1</v>
      </c>
      <c r="AI91" s="376"/>
      <c r="AJ91" s="376"/>
      <c r="AK91" s="373">
        <f t="shared" si="65"/>
        <v>1</v>
      </c>
      <c r="AL91" s="373"/>
      <c r="AM91" s="373"/>
      <c r="AN91" s="373"/>
      <c r="AO91" s="373"/>
      <c r="AP91" s="377">
        <f t="shared" si="109"/>
        <v>1</v>
      </c>
      <c r="AQ91" s="378"/>
      <c r="AR91" s="341">
        <f t="shared" si="66"/>
        <v>1</v>
      </c>
      <c r="AS91" s="341">
        <f t="shared" si="110"/>
        <v>0</v>
      </c>
      <c r="AT91" s="341">
        <f t="shared" si="110"/>
        <v>1</v>
      </c>
      <c r="AU91" s="361">
        <f t="shared" si="67"/>
        <v>1</v>
      </c>
      <c r="AV91" s="361">
        <f t="shared" si="68"/>
        <v>1</v>
      </c>
      <c r="AW91" s="361">
        <f t="shared" si="69"/>
        <v>1</v>
      </c>
      <c r="AX91" s="361">
        <f t="shared" si="70"/>
        <v>1</v>
      </c>
      <c r="AY91" s="361">
        <f t="shared" si="71"/>
        <v>1</v>
      </c>
      <c r="AZ91" s="361">
        <f t="shared" si="72"/>
        <v>1</v>
      </c>
      <c r="BA91" s="361">
        <f t="shared" si="73"/>
        <v>1</v>
      </c>
      <c r="BB91" s="361">
        <f t="shared" si="74"/>
        <v>1</v>
      </c>
      <c r="BC91" s="361">
        <f t="shared" si="75"/>
        <v>1</v>
      </c>
      <c r="BD91" s="361">
        <f t="shared" si="76"/>
        <v>1</v>
      </c>
      <c r="BE91" s="361">
        <f t="shared" si="77"/>
        <v>1</v>
      </c>
      <c r="BF91" s="361">
        <f t="shared" si="78"/>
        <v>1</v>
      </c>
      <c r="BG91" s="361">
        <f t="shared" si="79"/>
        <v>1</v>
      </c>
      <c r="BH91" s="361">
        <f t="shared" si="80"/>
        <v>1</v>
      </c>
      <c r="BI91" s="361">
        <f t="shared" si="81"/>
        <v>1</v>
      </c>
      <c r="BJ91" s="361">
        <f t="shared" si="82"/>
        <v>1</v>
      </c>
      <c r="BK91" s="361">
        <f t="shared" si="83"/>
        <v>1</v>
      </c>
      <c r="BL91" s="361">
        <f t="shared" si="84"/>
        <v>1</v>
      </c>
      <c r="BM91" s="361">
        <f t="shared" si="85"/>
        <v>1</v>
      </c>
      <c r="BN91" s="361">
        <f t="shared" si="86"/>
        <v>1</v>
      </c>
      <c r="BO91" s="361">
        <f t="shared" si="87"/>
        <v>1</v>
      </c>
      <c r="BP91" s="361">
        <f t="shared" si="88"/>
        <v>1</v>
      </c>
      <c r="BQ91" s="361">
        <f t="shared" si="89"/>
        <v>1</v>
      </c>
      <c r="BR91" s="361">
        <f t="shared" si="90"/>
        <v>1</v>
      </c>
      <c r="BS91" s="361">
        <f t="shared" si="91"/>
        <v>1</v>
      </c>
      <c r="BT91" s="361">
        <f t="shared" si="92"/>
        <v>1</v>
      </c>
      <c r="BU91" s="361">
        <f t="shared" si="93"/>
        <v>1</v>
      </c>
      <c r="BV91" s="361">
        <f t="shared" si="94"/>
        <v>1</v>
      </c>
      <c r="BW91" s="361">
        <f t="shared" si="95"/>
        <v>1</v>
      </c>
      <c r="BX91" s="361">
        <f t="shared" si="96"/>
        <v>1</v>
      </c>
      <c r="BY91" s="361">
        <f t="shared" si="97"/>
        <v>1</v>
      </c>
      <c r="BZ91" s="361">
        <f t="shared" si="98"/>
        <v>1</v>
      </c>
      <c r="CA91" s="361">
        <f t="shared" si="99"/>
        <v>1</v>
      </c>
      <c r="CB91" s="361">
        <f t="shared" si="100"/>
        <v>1</v>
      </c>
      <c r="CC91" s="361">
        <f t="shared" si="101"/>
        <v>1</v>
      </c>
      <c r="CH91" s="341">
        <f t="shared" si="114"/>
        <v>1</v>
      </c>
      <c r="CI91" s="341">
        <f t="shared" si="114"/>
        <v>2</v>
      </c>
      <c r="CJ91" s="341">
        <f t="shared" si="114"/>
        <v>3</v>
      </c>
      <c r="CK91" s="341">
        <f t="shared" si="114"/>
        <v>4</v>
      </c>
      <c r="CL91" s="341">
        <f t="shared" si="114"/>
        <v>5</v>
      </c>
      <c r="CM91" s="341">
        <f t="shared" si="112"/>
        <v>6</v>
      </c>
      <c r="CN91" s="341">
        <f t="shared" si="112"/>
        <v>7</v>
      </c>
      <c r="CO91" s="341">
        <f t="shared" si="112"/>
        <v>8</v>
      </c>
      <c r="CP91" s="341">
        <f t="shared" si="112"/>
        <v>9</v>
      </c>
      <c r="CQ91" s="341">
        <f t="shared" si="112"/>
        <v>10</v>
      </c>
      <c r="CT91" s="353"/>
      <c r="CU91" s="353"/>
      <c r="CV91" s="353"/>
      <c r="CW91" s="353" t="b">
        <f t="shared" si="102"/>
        <v>1</v>
      </c>
      <c r="CX91" s="353" t="b">
        <f t="shared" si="103"/>
        <v>0</v>
      </c>
      <c r="CY91" s="353" t="b">
        <f t="shared" si="104"/>
        <v>1</v>
      </c>
      <c r="DC91" s="347">
        <f t="shared" si="115"/>
        <v>2</v>
      </c>
      <c r="DD91" s="353" t="b">
        <f t="shared" si="105"/>
        <v>1</v>
      </c>
      <c r="DE91" s="353" t="b">
        <f t="shared" si="106"/>
        <v>0</v>
      </c>
      <c r="DF91" s="353" t="b">
        <f t="shared" si="107"/>
        <v>1</v>
      </c>
      <c r="DG91" s="353"/>
      <c r="DH91" s="353"/>
      <c r="DI91" s="353"/>
      <c r="DJ91" s="353"/>
      <c r="DK91" s="353">
        <f t="shared" si="116"/>
        <v>2</v>
      </c>
      <c r="DM91" s="341">
        <f t="shared" si="108"/>
        <v>0</v>
      </c>
    </row>
    <row r="92" spans="2:117" x14ac:dyDescent="0.25">
      <c r="B92" s="373">
        <f t="shared" si="113"/>
        <v>62</v>
      </c>
      <c r="C92" s="373"/>
      <c r="D92" s="373"/>
      <c r="E92" s="373"/>
      <c r="F92" s="374" t="s">
        <v>525</v>
      </c>
      <c r="G92" s="375">
        <v>1</v>
      </c>
      <c r="H92" s="375">
        <v>1</v>
      </c>
      <c r="I92" s="375">
        <v>1</v>
      </c>
      <c r="J92" s="375">
        <v>1</v>
      </c>
      <c r="K92" s="375">
        <v>1</v>
      </c>
      <c r="L92" s="375">
        <v>1</v>
      </c>
      <c r="M92" s="375">
        <v>1</v>
      </c>
      <c r="N92" s="375">
        <v>1</v>
      </c>
      <c r="O92" s="375">
        <v>1</v>
      </c>
      <c r="P92" s="375">
        <v>1</v>
      </c>
      <c r="Q92" s="375">
        <v>1</v>
      </c>
      <c r="R92" s="375">
        <v>1</v>
      </c>
      <c r="S92" s="375">
        <v>0</v>
      </c>
      <c r="T92" s="375">
        <v>1</v>
      </c>
      <c r="U92" s="375">
        <v>1</v>
      </c>
      <c r="V92" s="375">
        <v>1</v>
      </c>
      <c r="W92" s="375">
        <v>1</v>
      </c>
      <c r="X92" s="375">
        <v>1</v>
      </c>
      <c r="Y92" s="375">
        <v>1</v>
      </c>
      <c r="Z92" s="376">
        <f t="shared" si="62"/>
        <v>1</v>
      </c>
      <c r="AA92" s="376">
        <v>1</v>
      </c>
      <c r="AB92" s="376" t="s">
        <v>418</v>
      </c>
      <c r="AC92" s="376">
        <v>1</v>
      </c>
      <c r="AD92" s="376">
        <v>1</v>
      </c>
      <c r="AE92" s="376">
        <v>1</v>
      </c>
      <c r="AF92" s="376">
        <f t="shared" si="63"/>
        <v>0</v>
      </c>
      <c r="AG92" s="376">
        <v>1</v>
      </c>
      <c r="AH92" s="376">
        <f t="shared" si="64"/>
        <v>1</v>
      </c>
      <c r="AI92" s="376"/>
      <c r="AJ92" s="376"/>
      <c r="AK92" s="373">
        <f t="shared" si="65"/>
        <v>1</v>
      </c>
      <c r="AL92" s="373"/>
      <c r="AM92" s="373"/>
      <c r="AN92" s="373"/>
      <c r="AO92" s="373"/>
      <c r="AP92" s="377">
        <f t="shared" si="109"/>
        <v>1</v>
      </c>
      <c r="AQ92" s="378"/>
      <c r="AR92" s="341">
        <f t="shared" si="66"/>
        <v>1</v>
      </c>
      <c r="AS92" s="341">
        <f t="shared" si="110"/>
        <v>0</v>
      </c>
      <c r="AT92" s="341">
        <f t="shared" si="110"/>
        <v>1</v>
      </c>
      <c r="AU92" s="361">
        <f t="shared" si="67"/>
        <v>1</v>
      </c>
      <c r="AV92" s="361">
        <f t="shared" si="68"/>
        <v>1</v>
      </c>
      <c r="AW92" s="361">
        <f t="shared" si="69"/>
        <v>1</v>
      </c>
      <c r="AX92" s="361">
        <f t="shared" si="70"/>
        <v>1</v>
      </c>
      <c r="AY92" s="361">
        <f t="shared" si="71"/>
        <v>1</v>
      </c>
      <c r="AZ92" s="361">
        <f t="shared" si="72"/>
        <v>1</v>
      </c>
      <c r="BA92" s="361">
        <f t="shared" si="73"/>
        <v>1</v>
      </c>
      <c r="BB92" s="361">
        <f t="shared" si="74"/>
        <v>1</v>
      </c>
      <c r="BC92" s="361">
        <f t="shared" si="75"/>
        <v>1</v>
      </c>
      <c r="BD92" s="361">
        <f t="shared" si="76"/>
        <v>1</v>
      </c>
      <c r="BE92" s="361">
        <f t="shared" si="77"/>
        <v>1</v>
      </c>
      <c r="BF92" s="361">
        <f t="shared" si="78"/>
        <v>1</v>
      </c>
      <c r="BG92" s="361">
        <f t="shared" si="79"/>
        <v>1</v>
      </c>
      <c r="BH92" s="361">
        <f t="shared" si="80"/>
        <v>1</v>
      </c>
      <c r="BI92" s="361">
        <f t="shared" si="81"/>
        <v>1</v>
      </c>
      <c r="BJ92" s="361">
        <f t="shared" si="82"/>
        <v>1</v>
      </c>
      <c r="BK92" s="361">
        <f t="shared" si="83"/>
        <v>1</v>
      </c>
      <c r="BL92" s="361">
        <f t="shared" si="84"/>
        <v>1</v>
      </c>
      <c r="BM92" s="361">
        <f t="shared" si="85"/>
        <v>1</v>
      </c>
      <c r="BN92" s="361">
        <f t="shared" si="86"/>
        <v>1</v>
      </c>
      <c r="BO92" s="361">
        <f t="shared" si="87"/>
        <v>1</v>
      </c>
      <c r="BP92" s="361">
        <f t="shared" si="88"/>
        <v>1</v>
      </c>
      <c r="BQ92" s="361">
        <f t="shared" si="89"/>
        <v>1</v>
      </c>
      <c r="BR92" s="361">
        <f t="shared" si="90"/>
        <v>1</v>
      </c>
      <c r="BS92" s="361">
        <f t="shared" si="91"/>
        <v>1</v>
      </c>
      <c r="BT92" s="361">
        <f t="shared" si="92"/>
        <v>1</v>
      </c>
      <c r="BU92" s="361">
        <f t="shared" si="93"/>
        <v>1</v>
      </c>
      <c r="BV92" s="361">
        <f t="shared" si="94"/>
        <v>1</v>
      </c>
      <c r="BW92" s="361">
        <f t="shared" si="95"/>
        <v>1</v>
      </c>
      <c r="BX92" s="361">
        <f t="shared" si="96"/>
        <v>1</v>
      </c>
      <c r="BY92" s="361">
        <f t="shared" si="97"/>
        <v>1</v>
      </c>
      <c r="BZ92" s="361">
        <f t="shared" si="98"/>
        <v>1</v>
      </c>
      <c r="CA92" s="361">
        <f t="shared" si="99"/>
        <v>1</v>
      </c>
      <c r="CB92" s="361">
        <f t="shared" si="100"/>
        <v>1</v>
      </c>
      <c r="CC92" s="361">
        <f t="shared" si="101"/>
        <v>1</v>
      </c>
      <c r="CH92" s="341">
        <f t="shared" si="114"/>
        <v>1</v>
      </c>
      <c r="CI92" s="341">
        <f t="shared" si="114"/>
        <v>2</v>
      </c>
      <c r="CJ92" s="341">
        <f t="shared" si="114"/>
        <v>3</v>
      </c>
      <c r="CK92" s="341">
        <f t="shared" si="114"/>
        <v>4</v>
      </c>
      <c r="CL92" s="341">
        <f t="shared" si="114"/>
        <v>5</v>
      </c>
      <c r="CM92" s="341">
        <f t="shared" si="112"/>
        <v>6</v>
      </c>
      <c r="CN92" s="341">
        <f t="shared" si="112"/>
        <v>7</v>
      </c>
      <c r="CO92" s="341">
        <f t="shared" si="112"/>
        <v>8</v>
      </c>
      <c r="CP92" s="341">
        <f t="shared" si="112"/>
        <v>9</v>
      </c>
      <c r="CQ92" s="341">
        <f t="shared" si="112"/>
        <v>10</v>
      </c>
      <c r="CT92" s="353"/>
      <c r="CU92" s="353"/>
      <c r="CV92" s="353"/>
      <c r="CW92" s="353" t="b">
        <f t="shared" si="102"/>
        <v>1</v>
      </c>
      <c r="CX92" s="353" t="b">
        <f t="shared" si="103"/>
        <v>0</v>
      </c>
      <c r="CY92" s="353" t="b">
        <f t="shared" si="104"/>
        <v>1</v>
      </c>
      <c r="DC92" s="347">
        <f t="shared" si="115"/>
        <v>2</v>
      </c>
      <c r="DD92" s="353" t="b">
        <f t="shared" si="105"/>
        <v>1</v>
      </c>
      <c r="DE92" s="353" t="b">
        <f t="shared" si="106"/>
        <v>0</v>
      </c>
      <c r="DF92" s="353" t="b">
        <f t="shared" si="107"/>
        <v>1</v>
      </c>
      <c r="DG92" s="353"/>
      <c r="DH92" s="353"/>
      <c r="DI92" s="353"/>
      <c r="DJ92" s="353"/>
      <c r="DK92" s="353">
        <f t="shared" si="116"/>
        <v>2</v>
      </c>
      <c r="DM92" s="341">
        <f t="shared" si="108"/>
        <v>0</v>
      </c>
    </row>
    <row r="93" spans="2:117" x14ac:dyDescent="0.25">
      <c r="B93" s="373">
        <f t="shared" si="113"/>
        <v>63</v>
      </c>
      <c r="C93" s="373"/>
      <c r="D93" s="373"/>
      <c r="E93" s="373"/>
      <c r="F93" s="374" t="s">
        <v>176</v>
      </c>
      <c r="G93" s="375">
        <v>1</v>
      </c>
      <c r="H93" s="375">
        <v>1</v>
      </c>
      <c r="I93" s="375">
        <v>1</v>
      </c>
      <c r="J93" s="375">
        <v>1</v>
      </c>
      <c r="K93" s="375">
        <v>1</v>
      </c>
      <c r="L93" s="375">
        <v>1</v>
      </c>
      <c r="M93" s="375">
        <v>1</v>
      </c>
      <c r="N93" s="375">
        <v>1</v>
      </c>
      <c r="O93" s="375">
        <v>1</v>
      </c>
      <c r="P93" s="375">
        <v>1</v>
      </c>
      <c r="Q93" s="375">
        <v>1</v>
      </c>
      <c r="R93" s="375">
        <v>1</v>
      </c>
      <c r="S93" s="375">
        <v>0</v>
      </c>
      <c r="T93" s="375">
        <v>1</v>
      </c>
      <c r="U93" s="375">
        <v>1</v>
      </c>
      <c r="V93" s="375">
        <v>1</v>
      </c>
      <c r="W93" s="375">
        <v>1</v>
      </c>
      <c r="X93" s="375">
        <v>1</v>
      </c>
      <c r="Y93" s="375">
        <v>1</v>
      </c>
      <c r="Z93" s="376">
        <f t="shared" si="62"/>
        <v>1</v>
      </c>
      <c r="AA93" s="376">
        <v>1</v>
      </c>
      <c r="AB93" s="376"/>
      <c r="AC93" s="376"/>
      <c r="AD93" s="376"/>
      <c r="AE93" s="376"/>
      <c r="AF93" s="376">
        <f t="shared" si="63"/>
        <v>0</v>
      </c>
      <c r="AG93" s="376">
        <v>1</v>
      </c>
      <c r="AH93" s="376">
        <f t="shared" si="64"/>
        <v>1</v>
      </c>
      <c r="AI93" s="376"/>
      <c r="AJ93" s="376"/>
      <c r="AK93" s="373">
        <f t="shared" si="65"/>
        <v>1</v>
      </c>
      <c r="AL93" s="373"/>
      <c r="AM93" s="373"/>
      <c r="AN93" s="373"/>
      <c r="AO93" s="373"/>
      <c r="AP93" s="377">
        <f t="shared" si="109"/>
        <v>1</v>
      </c>
      <c r="AQ93" s="378"/>
      <c r="AR93" s="341">
        <f t="shared" si="66"/>
        <v>1</v>
      </c>
      <c r="AS93" s="341">
        <f t="shared" si="110"/>
        <v>0</v>
      </c>
      <c r="AT93" s="341">
        <f t="shared" si="110"/>
        <v>1</v>
      </c>
      <c r="AU93" s="361">
        <f t="shared" si="67"/>
        <v>1</v>
      </c>
      <c r="AV93" s="361">
        <f t="shared" si="68"/>
        <v>1</v>
      </c>
      <c r="AW93" s="361">
        <f t="shared" si="69"/>
        <v>1</v>
      </c>
      <c r="AX93" s="361">
        <f t="shared" si="70"/>
        <v>1</v>
      </c>
      <c r="AY93" s="361">
        <f t="shared" si="71"/>
        <v>1</v>
      </c>
      <c r="AZ93" s="361">
        <f t="shared" si="72"/>
        <v>1</v>
      </c>
      <c r="BA93" s="361">
        <f t="shared" si="73"/>
        <v>1</v>
      </c>
      <c r="BB93" s="361">
        <f t="shared" si="74"/>
        <v>1</v>
      </c>
      <c r="BC93" s="361">
        <f t="shared" si="75"/>
        <v>1</v>
      </c>
      <c r="BD93" s="361">
        <f t="shared" si="76"/>
        <v>1</v>
      </c>
      <c r="BE93" s="361">
        <f t="shared" si="77"/>
        <v>1</v>
      </c>
      <c r="BF93" s="361">
        <f t="shared" si="78"/>
        <v>1</v>
      </c>
      <c r="BG93" s="361">
        <f t="shared" si="79"/>
        <v>1</v>
      </c>
      <c r="BH93" s="361">
        <f t="shared" si="80"/>
        <v>1</v>
      </c>
      <c r="BI93" s="361">
        <f t="shared" si="81"/>
        <v>1</v>
      </c>
      <c r="BJ93" s="361">
        <f t="shared" si="82"/>
        <v>1</v>
      </c>
      <c r="BK93" s="361">
        <f t="shared" si="83"/>
        <v>1</v>
      </c>
      <c r="BL93" s="361">
        <f t="shared" si="84"/>
        <v>1</v>
      </c>
      <c r="BM93" s="361">
        <f t="shared" si="85"/>
        <v>1</v>
      </c>
      <c r="BN93" s="361">
        <f t="shared" si="86"/>
        <v>1</v>
      </c>
      <c r="BO93" s="361">
        <f t="shared" si="87"/>
        <v>1</v>
      </c>
      <c r="BP93" s="361">
        <f t="shared" si="88"/>
        <v>1</v>
      </c>
      <c r="BQ93" s="361">
        <f t="shared" si="89"/>
        <v>1</v>
      </c>
      <c r="BR93" s="361">
        <f t="shared" si="90"/>
        <v>1</v>
      </c>
      <c r="BS93" s="361">
        <f t="shared" si="91"/>
        <v>1</v>
      </c>
      <c r="BT93" s="361">
        <f t="shared" si="92"/>
        <v>1</v>
      </c>
      <c r="BU93" s="361">
        <f t="shared" si="93"/>
        <v>1</v>
      </c>
      <c r="BV93" s="361">
        <f t="shared" si="94"/>
        <v>1</v>
      </c>
      <c r="BW93" s="361">
        <f t="shared" si="95"/>
        <v>1</v>
      </c>
      <c r="BX93" s="361">
        <f t="shared" si="96"/>
        <v>1</v>
      </c>
      <c r="BY93" s="361">
        <f t="shared" si="97"/>
        <v>1</v>
      </c>
      <c r="BZ93" s="361">
        <f t="shared" si="98"/>
        <v>1</v>
      </c>
      <c r="CA93" s="361">
        <f t="shared" si="99"/>
        <v>1</v>
      </c>
      <c r="CB93" s="361">
        <f t="shared" si="100"/>
        <v>1</v>
      </c>
      <c r="CC93" s="361">
        <f t="shared" si="101"/>
        <v>1</v>
      </c>
      <c r="CH93" s="341">
        <f t="shared" si="114"/>
        <v>1</v>
      </c>
      <c r="CI93" s="341">
        <f t="shared" si="114"/>
        <v>2</v>
      </c>
      <c r="CJ93" s="341">
        <f t="shared" si="114"/>
        <v>3</v>
      </c>
      <c r="CK93" s="341">
        <f t="shared" si="114"/>
        <v>4</v>
      </c>
      <c r="CL93" s="341">
        <f t="shared" si="114"/>
        <v>5</v>
      </c>
      <c r="CM93" s="341">
        <f t="shared" si="112"/>
        <v>6</v>
      </c>
      <c r="CN93" s="341">
        <f t="shared" si="112"/>
        <v>7</v>
      </c>
      <c r="CO93" s="341">
        <f t="shared" si="112"/>
        <v>8</v>
      </c>
      <c r="CP93" s="341">
        <f t="shared" si="112"/>
        <v>9</v>
      </c>
      <c r="CQ93" s="341">
        <f t="shared" si="112"/>
        <v>10</v>
      </c>
      <c r="CT93" s="353"/>
      <c r="CU93" s="353"/>
      <c r="CV93" s="353"/>
      <c r="CW93" s="353" t="b">
        <f t="shared" si="102"/>
        <v>1</v>
      </c>
      <c r="CX93" s="353" t="b">
        <f t="shared" si="103"/>
        <v>0</v>
      </c>
      <c r="CY93" s="353" t="b">
        <f t="shared" si="104"/>
        <v>1</v>
      </c>
      <c r="DC93" s="347">
        <f t="shared" si="115"/>
        <v>2</v>
      </c>
      <c r="DD93" s="353" t="b">
        <f t="shared" si="105"/>
        <v>1</v>
      </c>
      <c r="DE93" s="353" t="b">
        <f t="shared" si="106"/>
        <v>0</v>
      </c>
      <c r="DF93" s="353" t="b">
        <f t="shared" si="107"/>
        <v>1</v>
      </c>
      <c r="DG93" s="353"/>
      <c r="DH93" s="353"/>
      <c r="DI93" s="353"/>
      <c r="DJ93" s="353"/>
      <c r="DK93" s="353">
        <f t="shared" si="116"/>
        <v>2</v>
      </c>
      <c r="DM93" s="341">
        <f t="shared" si="108"/>
        <v>0</v>
      </c>
    </row>
    <row r="94" spans="2:117" x14ac:dyDescent="0.25">
      <c r="B94" s="373">
        <f t="shared" si="113"/>
        <v>64</v>
      </c>
      <c r="C94" s="373"/>
      <c r="D94" s="373"/>
      <c r="E94" s="373"/>
      <c r="F94" s="374" t="s">
        <v>177</v>
      </c>
      <c r="G94" s="375">
        <v>1</v>
      </c>
      <c r="H94" s="375">
        <v>1</v>
      </c>
      <c r="I94" s="375">
        <v>1</v>
      </c>
      <c r="J94" s="375">
        <v>1</v>
      </c>
      <c r="K94" s="375">
        <v>1</v>
      </c>
      <c r="L94" s="375">
        <v>1</v>
      </c>
      <c r="M94" s="375">
        <v>1</v>
      </c>
      <c r="N94" s="375">
        <v>1</v>
      </c>
      <c r="O94" s="375">
        <v>1</v>
      </c>
      <c r="P94" s="375">
        <v>1</v>
      </c>
      <c r="Q94" s="375">
        <v>1</v>
      </c>
      <c r="R94" s="375">
        <v>1</v>
      </c>
      <c r="S94" s="375">
        <v>0</v>
      </c>
      <c r="T94" s="375">
        <v>1</v>
      </c>
      <c r="U94" s="375">
        <v>1</v>
      </c>
      <c r="V94" s="375">
        <v>1</v>
      </c>
      <c r="W94" s="375">
        <v>1</v>
      </c>
      <c r="X94" s="375">
        <v>1</v>
      </c>
      <c r="Y94" s="375">
        <v>1</v>
      </c>
      <c r="Z94" s="376">
        <f t="shared" si="62"/>
        <v>1</v>
      </c>
      <c r="AA94" s="376">
        <v>1</v>
      </c>
      <c r="AB94" s="376"/>
      <c r="AC94" s="376"/>
      <c r="AD94" s="376"/>
      <c r="AE94" s="376"/>
      <c r="AF94" s="376">
        <f t="shared" si="63"/>
        <v>0</v>
      </c>
      <c r="AG94" s="376">
        <v>1</v>
      </c>
      <c r="AH94" s="376">
        <f t="shared" si="64"/>
        <v>1</v>
      </c>
      <c r="AI94" s="376"/>
      <c r="AJ94" s="376"/>
      <c r="AK94" s="373">
        <f t="shared" si="65"/>
        <v>1</v>
      </c>
      <c r="AL94" s="373"/>
      <c r="AM94" s="373"/>
      <c r="AN94" s="373"/>
      <c r="AO94" s="373"/>
      <c r="AP94" s="377">
        <f t="shared" si="109"/>
        <v>1</v>
      </c>
      <c r="AQ94" s="378"/>
      <c r="AR94" s="341">
        <f t="shared" si="66"/>
        <v>1</v>
      </c>
      <c r="AS94" s="341">
        <f t="shared" si="110"/>
        <v>0</v>
      </c>
      <c r="AT94" s="341">
        <f t="shared" si="110"/>
        <v>1</v>
      </c>
      <c r="AU94" s="361">
        <f t="shared" si="67"/>
        <v>1</v>
      </c>
      <c r="AV94" s="361">
        <f t="shared" si="68"/>
        <v>1</v>
      </c>
      <c r="AW94" s="361">
        <f t="shared" si="69"/>
        <v>1</v>
      </c>
      <c r="AX94" s="361">
        <f t="shared" si="70"/>
        <v>1</v>
      </c>
      <c r="AY94" s="361">
        <f t="shared" si="71"/>
        <v>1</v>
      </c>
      <c r="AZ94" s="361">
        <f t="shared" si="72"/>
        <v>1</v>
      </c>
      <c r="BA94" s="361">
        <f t="shared" si="73"/>
        <v>1</v>
      </c>
      <c r="BB94" s="361">
        <f t="shared" si="74"/>
        <v>1</v>
      </c>
      <c r="BC94" s="361">
        <f t="shared" si="75"/>
        <v>1</v>
      </c>
      <c r="BD94" s="361">
        <f t="shared" si="76"/>
        <v>1</v>
      </c>
      <c r="BE94" s="361">
        <f t="shared" si="77"/>
        <v>1</v>
      </c>
      <c r="BF94" s="361">
        <f t="shared" si="78"/>
        <v>1</v>
      </c>
      <c r="BG94" s="361">
        <f t="shared" si="79"/>
        <v>1</v>
      </c>
      <c r="BH94" s="361">
        <f t="shared" si="80"/>
        <v>1</v>
      </c>
      <c r="BI94" s="361">
        <f t="shared" si="81"/>
        <v>1</v>
      </c>
      <c r="BJ94" s="361">
        <f t="shared" si="82"/>
        <v>1</v>
      </c>
      <c r="BK94" s="361">
        <f t="shared" si="83"/>
        <v>1</v>
      </c>
      <c r="BL94" s="361">
        <f t="shared" si="84"/>
        <v>1</v>
      </c>
      <c r="BM94" s="361">
        <f t="shared" si="85"/>
        <v>1</v>
      </c>
      <c r="BN94" s="361">
        <f t="shared" si="86"/>
        <v>1</v>
      </c>
      <c r="BO94" s="361">
        <f t="shared" si="87"/>
        <v>1</v>
      </c>
      <c r="BP94" s="361">
        <f t="shared" si="88"/>
        <v>1</v>
      </c>
      <c r="BQ94" s="361">
        <f t="shared" si="89"/>
        <v>1</v>
      </c>
      <c r="BR94" s="361">
        <f t="shared" si="90"/>
        <v>1</v>
      </c>
      <c r="BS94" s="361">
        <f t="shared" si="91"/>
        <v>1</v>
      </c>
      <c r="BT94" s="361">
        <f t="shared" si="92"/>
        <v>1</v>
      </c>
      <c r="BU94" s="361">
        <f t="shared" si="93"/>
        <v>1</v>
      </c>
      <c r="BV94" s="361">
        <f t="shared" si="94"/>
        <v>1</v>
      </c>
      <c r="BW94" s="361">
        <f t="shared" si="95"/>
        <v>1</v>
      </c>
      <c r="BX94" s="361">
        <f t="shared" si="96"/>
        <v>1</v>
      </c>
      <c r="BY94" s="361">
        <f t="shared" si="97"/>
        <v>1</v>
      </c>
      <c r="BZ94" s="361">
        <f t="shared" si="98"/>
        <v>1</v>
      </c>
      <c r="CA94" s="361">
        <f t="shared" si="99"/>
        <v>1</v>
      </c>
      <c r="CB94" s="361">
        <f t="shared" si="100"/>
        <v>1</v>
      </c>
      <c r="CC94" s="361">
        <f t="shared" si="101"/>
        <v>1</v>
      </c>
      <c r="CH94" s="341">
        <f t="shared" si="114"/>
        <v>1</v>
      </c>
      <c r="CI94" s="341">
        <f t="shared" si="114"/>
        <v>2</v>
      </c>
      <c r="CJ94" s="341">
        <f t="shared" si="114"/>
        <v>3</v>
      </c>
      <c r="CK94" s="341">
        <f t="shared" si="114"/>
        <v>4</v>
      </c>
      <c r="CL94" s="341">
        <f t="shared" si="114"/>
        <v>5</v>
      </c>
      <c r="CM94" s="341">
        <f t="shared" si="112"/>
        <v>6</v>
      </c>
      <c r="CN94" s="341">
        <f t="shared" si="112"/>
        <v>7</v>
      </c>
      <c r="CO94" s="341">
        <f t="shared" si="112"/>
        <v>8</v>
      </c>
      <c r="CP94" s="341">
        <f t="shared" si="112"/>
        <v>9</v>
      </c>
      <c r="CQ94" s="341">
        <f t="shared" si="112"/>
        <v>10</v>
      </c>
      <c r="CT94" s="353"/>
      <c r="CU94" s="353"/>
      <c r="CV94" s="353"/>
      <c r="CW94" s="353" t="b">
        <f t="shared" si="102"/>
        <v>1</v>
      </c>
      <c r="CX94" s="353" t="b">
        <f t="shared" si="103"/>
        <v>0</v>
      </c>
      <c r="CY94" s="353" t="b">
        <f t="shared" si="104"/>
        <v>1</v>
      </c>
      <c r="DC94" s="347">
        <f t="shared" si="115"/>
        <v>2</v>
      </c>
      <c r="DD94" s="353" t="b">
        <f t="shared" si="105"/>
        <v>1</v>
      </c>
      <c r="DE94" s="353" t="b">
        <f t="shared" si="106"/>
        <v>0</v>
      </c>
      <c r="DF94" s="353" t="b">
        <f t="shared" si="107"/>
        <v>1</v>
      </c>
      <c r="DG94" s="353"/>
      <c r="DH94" s="353"/>
      <c r="DI94" s="353"/>
      <c r="DJ94" s="353"/>
      <c r="DK94" s="353">
        <f t="shared" si="116"/>
        <v>2</v>
      </c>
      <c r="DM94" s="341">
        <f t="shared" si="108"/>
        <v>0</v>
      </c>
    </row>
    <row r="95" spans="2:117" x14ac:dyDescent="0.25">
      <c r="B95" s="373">
        <f t="shared" si="113"/>
        <v>65</v>
      </c>
      <c r="C95" s="373"/>
      <c r="D95" s="373"/>
      <c r="E95" s="373"/>
      <c r="F95" s="374" t="s">
        <v>178</v>
      </c>
      <c r="G95" s="375">
        <v>1</v>
      </c>
      <c r="H95" s="375">
        <v>1</v>
      </c>
      <c r="I95" s="375">
        <v>1</v>
      </c>
      <c r="J95" s="375">
        <v>1</v>
      </c>
      <c r="K95" s="375">
        <v>1</v>
      </c>
      <c r="L95" s="375">
        <v>1</v>
      </c>
      <c r="M95" s="375">
        <v>1</v>
      </c>
      <c r="N95" s="375">
        <v>1</v>
      </c>
      <c r="O95" s="375">
        <v>1</v>
      </c>
      <c r="P95" s="375">
        <v>1</v>
      </c>
      <c r="Q95" s="375">
        <v>1</v>
      </c>
      <c r="R95" s="375">
        <v>1</v>
      </c>
      <c r="S95" s="375">
        <v>0</v>
      </c>
      <c r="T95" s="375">
        <v>1</v>
      </c>
      <c r="U95" s="375">
        <v>1</v>
      </c>
      <c r="V95" s="375">
        <v>1</v>
      </c>
      <c r="W95" s="375">
        <v>1</v>
      </c>
      <c r="X95" s="375">
        <v>1</v>
      </c>
      <c r="Y95" s="375">
        <v>1</v>
      </c>
      <c r="Z95" s="376">
        <f t="shared" ref="Z95" si="117">IF(F95="","",IF(AND(S95=1,T95=1),$AS$1,IF(OR(S95=1,AND(T95=1,U95=1,V95=1,W95=1,X95=1,Y95=1)),1,0)))</f>
        <v>1</v>
      </c>
      <c r="AA95" s="376">
        <v>1</v>
      </c>
      <c r="AB95" s="376"/>
      <c r="AC95" s="376"/>
      <c r="AD95" s="376"/>
      <c r="AE95" s="376"/>
      <c r="AF95" s="376">
        <f t="shared" ref="AF95:AF126" si="118">IF($F95="","",IF(OR(DL95=1,AND(DM95=1,AA95=1)),1,0))</f>
        <v>0</v>
      </c>
      <c r="AG95" s="376">
        <v>1</v>
      </c>
      <c r="AH95" s="376">
        <f t="shared" ref="AH95:AH126" si="119">IF(F95="","",IF(AA95=1,1,IF(AND(AB95="לא",SUM(AC95:AD95)=2),1,IF(AND(AB95="כן",SUM(AC95:AE95)=3),1,0))))</f>
        <v>1</v>
      </c>
      <c r="AI95" s="376"/>
      <c r="AJ95" s="376"/>
      <c r="AK95" s="373">
        <f t="shared" ref="AK95:AK126" si="120">IF(F95="","",IF(G95&gt;=$G$5,1,0))</f>
        <v>1</v>
      </c>
      <c r="AL95" s="373"/>
      <c r="AM95" s="373"/>
      <c r="AN95" s="373"/>
      <c r="AO95" s="373"/>
      <c r="AP95" s="377">
        <f t="shared" si="109"/>
        <v>1</v>
      </c>
      <c r="AQ95" s="378"/>
      <c r="AR95" s="341">
        <f t="shared" ref="AR95:AR126" si="121">IF(OR(SUM(AU95:CC95)&lt;&gt;COUNT(AU95:CC95),SUMPRODUCT(--(G95:AK95=$AS$1))&lt;&gt;0),0,1)</f>
        <v>1</v>
      </c>
      <c r="AS95" s="341">
        <f t="shared" si="110"/>
        <v>0</v>
      </c>
      <c r="AT95" s="341">
        <f t="shared" si="110"/>
        <v>1</v>
      </c>
      <c r="AU95" s="361">
        <f t="shared" ref="AU95:AU126" si="122">IF(OR(G$30="",G$4=99),1,IF(G95="",0,IFERROR(CHOOSE(AU$28,IF(ISNA(MATCH(G95,$AS$30:$AT$30,0)),0,1),IF(ISNUMBER(G95),1,0),IF(G95=TRUNC(G95),1,0),IF(AND(G95*1=G95,G95&gt;=0),1,0),IF(AND(G95=TRUNC(G95),G95&gt;=0),1,0),IF(AND(G95*1=G95,G95&gt;0),1,0),IF(AND(G95=TRUNC(G95),G95&gt;0),1,0),1,IF(ISNA(HLOOKUP(G95,$AV$4:$BE$4,1,0)),0,1)),0)))</f>
        <v>1</v>
      </c>
      <c r="AV95" s="361">
        <f t="shared" ref="AV95:AV126" si="123">IF(OR(H$30="",H$4=99),1,IF(H95="",0,IFERROR(CHOOSE(AV$28,IF(ISNA(MATCH(H95,$AS$30:$AT$30,0)),0,1),IF(ISNUMBER(H95),1,0),IF(H95=TRUNC(H95),1,0),IF(AND(H95*1=H95,H95&gt;=0),1,0),IF(AND(H95=TRUNC(H95),H95&gt;=0),1,0),IF(AND(H95*1=H95,H95&gt;0),1,0),IF(AND(H95=TRUNC(H95),H95&gt;0),1,0),1,IF(ISNA(HLOOKUP(H95,$AV$4:$BE$4,1,0)),0,1)),0)))</f>
        <v>1</v>
      </c>
      <c r="AW95" s="361">
        <f t="shared" ref="AW95:AW126" si="124">IF(OR(I$30="",I$4=99),1,IF(I95="",0,IFERROR(CHOOSE(AW$28,IF(ISNA(MATCH(I95,$AS$30:$AT$30,0)),0,1),IF(ISNUMBER(I95),1,0),IF(I95=TRUNC(I95),1,0),IF(AND(I95*1=I95,I95&gt;=0),1,0),IF(AND(I95=TRUNC(I95),I95&gt;=0),1,0),IF(AND(I95*1=I95,I95&gt;0),1,0),IF(AND(I95=TRUNC(I95),I95&gt;0),1,0),1,IF(ISNA(HLOOKUP(I95,$AV$4:$BE$4,1,0)),0,1)),0)))</f>
        <v>1</v>
      </c>
      <c r="AX95" s="361">
        <f t="shared" ref="AX95:AX126" si="125">IF(OR(J$30="",J$4=99),1,IF(J95="",0,IFERROR(CHOOSE(AX$28,IF(ISNA(MATCH(J95,$AS$30:$AT$30,0)),0,1),IF(ISNUMBER(J95),1,0),IF(J95=TRUNC(J95),1,0),IF(AND(J95*1=J95,J95&gt;=0),1,0),IF(AND(J95=TRUNC(J95),J95&gt;=0),1,0),IF(AND(J95*1=J95,J95&gt;0),1,0),IF(AND(J95=TRUNC(J95),J95&gt;0),1,0),1,IF(ISNA(HLOOKUP(J95,$AV$4:$BE$4,1,0)),0,1)),0)))</f>
        <v>1</v>
      </c>
      <c r="AY95" s="361">
        <f t="shared" ref="AY95:AY126" si="126">IF(OR(K$30="",K$4=99),1,IF(K95="",0,IFERROR(CHOOSE(AY$28,IF(ISNA(MATCH(K95,$AS$30:$AT$30,0)),0,1),IF(ISNUMBER(K95),1,0),IF(K95=TRUNC(K95),1,0),IF(AND(K95*1=K95,K95&gt;=0),1,0),IF(AND(K95=TRUNC(K95),K95&gt;=0),1,0),IF(AND(K95*1=K95,K95&gt;0),1,0),IF(AND(K95=TRUNC(K95),K95&gt;0),1,0),1,IF(ISNA(HLOOKUP(K95,$AV$4:$BE$4,1,0)),0,1)),0)))</f>
        <v>1</v>
      </c>
      <c r="AZ95" s="361">
        <f t="shared" ref="AZ95:AZ126" si="127">IF(OR(L$30="",L$4=99),1,IF(L95="",0,IFERROR(CHOOSE(AZ$28,IF(ISNA(MATCH(L95,$AS$30:$AT$30,0)),0,1),IF(ISNUMBER(L95),1,0),IF(L95=TRUNC(L95),1,0),IF(AND(L95*1=L95,L95&gt;=0),1,0),IF(AND(L95=TRUNC(L95),L95&gt;=0),1,0),IF(AND(L95*1=L95,L95&gt;0),1,0),IF(AND(L95=TRUNC(L95),L95&gt;0),1,0),1,IF(ISNA(HLOOKUP(L95,$AV$4:$BE$4,1,0)),0,1)),0)))</f>
        <v>1</v>
      </c>
      <c r="BA95" s="361">
        <f t="shared" ref="BA95:BA126" si="128">IF(OR(M$30="",M$4=99),1,IF(M95="",0,IFERROR(CHOOSE(BA$28,IF(ISNA(MATCH(M95,$AS$30:$AT$30,0)),0,1),IF(ISNUMBER(M95),1,0),IF(M95=TRUNC(M95),1,0),IF(AND(M95*1=M95,M95&gt;=0),1,0),IF(AND(M95=TRUNC(M95),M95&gt;=0),1,0),IF(AND(M95*1=M95,M95&gt;0),1,0),IF(AND(M95=TRUNC(M95),M95&gt;0),1,0),1,IF(ISNA(HLOOKUP(M95,$AV$4:$BE$4,1,0)),0,1)),0)))</f>
        <v>1</v>
      </c>
      <c r="BB95" s="361">
        <f t="shared" ref="BB95:BB126" si="129">IF(OR(N$30="",N$4=99),1,IF(N95="",0,IFERROR(CHOOSE(BB$28,IF(ISNA(MATCH(N95,$AS$30:$AT$30,0)),0,1),IF(ISNUMBER(N95),1,0),IF(N95=TRUNC(N95),1,0),IF(AND(N95*1=N95,N95&gt;=0),1,0),IF(AND(N95=TRUNC(N95),N95&gt;=0),1,0),IF(AND(N95*1=N95,N95&gt;0),1,0),IF(AND(N95=TRUNC(N95),N95&gt;0),1,0),1,IF(ISNA(HLOOKUP(N95,$AV$4:$BE$4,1,0)),0,1)),0)))</f>
        <v>1</v>
      </c>
      <c r="BC95" s="361">
        <f t="shared" ref="BC95:BC126" si="130">IF(OR(O$30="",O$4=99),1,IF(O95="",0,IFERROR(CHOOSE(BC$28,IF(ISNA(MATCH(O95,$AS$30:$AT$30,0)),0,1),IF(ISNUMBER(O95),1,0),IF(O95=TRUNC(O95),1,0),IF(AND(O95*1=O95,O95&gt;=0),1,0),IF(AND(O95=TRUNC(O95),O95&gt;=0),1,0),IF(AND(O95*1=O95,O95&gt;0),1,0),IF(AND(O95=TRUNC(O95),O95&gt;0),1,0),1,IF(ISNA(HLOOKUP(O95,$AV$4:$BE$4,1,0)),0,1)),0)))</f>
        <v>1</v>
      </c>
      <c r="BD95" s="361">
        <f t="shared" ref="BD95:BD126" si="131">IF(OR(P$30="",P$4=99),1,IF(P95="",0,IFERROR(CHOOSE(BD$28,IF(ISNA(MATCH(P95,$AS$30:$AT$30,0)),0,1),IF(ISNUMBER(P95),1,0),IF(P95=TRUNC(P95),1,0),IF(AND(P95*1=P95,P95&gt;=0),1,0),IF(AND(P95=TRUNC(P95),P95&gt;=0),1,0),IF(AND(P95*1=P95,P95&gt;0),1,0),IF(AND(P95=TRUNC(P95),P95&gt;0),1,0),1,IF(ISNA(HLOOKUP(P95,$AV$4:$BE$4,1,0)),0,1)),0)))</f>
        <v>1</v>
      </c>
      <c r="BE95" s="361">
        <f t="shared" ref="BE95:BE126" si="132">IF(OR(Q$30="",Q$4=99),1,IF(Q95="",0,IFERROR(CHOOSE(BE$28,IF(ISNA(MATCH(Q95,$AS$30:$AT$30,0)),0,1),IF(ISNUMBER(Q95),1,0),IF(Q95=TRUNC(Q95),1,0),IF(AND(Q95*1=Q95,Q95&gt;=0),1,0),IF(AND(Q95=TRUNC(Q95),Q95&gt;=0),1,0),IF(AND(Q95*1=Q95,Q95&gt;0),1,0),IF(AND(Q95=TRUNC(Q95),Q95&gt;0),1,0),1,IF(ISNA(HLOOKUP(Q95,$AV$4:$BE$4,1,0)),0,1)),0)))</f>
        <v>1</v>
      </c>
      <c r="BF95" s="361">
        <f t="shared" ref="BF95:BF126" si="133">IF(OR(R$30="",R$4=99),1,IF(R95="",0,IFERROR(CHOOSE(BF$28,IF(ISNA(MATCH(R95,$AS$30:$AT$30,0)),0,1),IF(ISNUMBER(R95),1,0),IF(R95=TRUNC(R95),1,0),IF(AND(R95*1=R95,R95&gt;=0),1,0),IF(AND(R95=TRUNC(R95),R95&gt;=0),1,0),IF(AND(R95*1=R95,R95&gt;0),1,0),IF(AND(R95=TRUNC(R95),R95&gt;0),1,0),1,IF(ISNA(HLOOKUP(R95,$AV$4:$BE$4,1,0)),0,1)),0)))</f>
        <v>1</v>
      </c>
      <c r="BG95" s="361">
        <f t="shared" ref="BG95:BG126" si="134">IF(OR(S$30="",S$4=99),1,IF(S95="",0,IFERROR(CHOOSE(BF$28,IF(ISNA(MATCH(S95,$AS$30:$AT$30,0)),0,1),IF(ISNUMBER(S95),1,0),IF(S95=TRUNC(S95),1,0),IF(AND(S95*1=S95,S95&gt;=0),1,0),IF(AND(S95=TRUNC(S95),S95&gt;=0),1,0),IF(AND(S95*1=S95,S95&gt;0),1,0),IF(AND(S95=TRUNC(S95),S95&gt;0),1,0),1,IF(ISNA(HLOOKUP(S95,$AV$4:$BE$4,1,0)),0,1)),0)))</f>
        <v>1</v>
      </c>
      <c r="BH95" s="361">
        <f t="shared" ref="BH95:BH126" si="135">IF(OR(T$30="",T$4=99),1,IF(T95="",0,IFERROR(CHOOSE(BG$28,IF(ISNA(MATCH(T95,$AS$30:$AT$30,0)),0,1),IF(ISNUMBER(T95),1,0),IF(T95=TRUNC(T95),1,0),IF(AND(T95*1=T95,T95&gt;=0),1,0),IF(AND(T95=TRUNC(T95),T95&gt;=0),1,0),IF(AND(T95*1=T95,T95&gt;0),1,0),IF(AND(T95=TRUNC(T95),T95&gt;0),1,0),1,IF(ISNA(HLOOKUP(T95,$AV$4:$BE$4,1,0)),0,1)),0)))</f>
        <v>1</v>
      </c>
      <c r="BI95" s="361">
        <f t="shared" ref="BI95:BI126" si="136">IF(OR(U$30="",U$4=99),1,IF(U95="",0,IFERROR(CHOOSE(BH$28,IF(ISNA(MATCH(U95,$AS$30:$AT$30,0)),0,1),IF(ISNUMBER(U95),1,0),IF(U95=TRUNC(U95),1,0),IF(AND(U95*1=U95,U95&gt;=0),1,0),IF(AND(U95=TRUNC(U95),U95&gt;=0),1,0),IF(AND(U95*1=U95,U95&gt;0),1,0),IF(AND(U95=TRUNC(U95),U95&gt;0),1,0),1,IF(ISNA(HLOOKUP(U95,$AV$4:$BE$4,1,0)),0,1)),0)))</f>
        <v>1</v>
      </c>
      <c r="BJ95" s="361">
        <f t="shared" ref="BJ95:BJ126" si="137">IF(OR(V$30="",V$4=99),1,IF(V95="",0,IFERROR(CHOOSE(BI$28,IF(ISNA(MATCH(V95,$AS$30:$AT$30,0)),0,1),IF(ISNUMBER(V95),1,0),IF(V95=TRUNC(V95),1,0),IF(AND(V95*1=V95,V95&gt;=0),1,0),IF(AND(V95=TRUNC(V95),V95&gt;=0),1,0),IF(AND(V95*1=V95,V95&gt;0),1,0),IF(AND(V95=TRUNC(V95),V95&gt;0),1,0),1,IF(ISNA(HLOOKUP(V95,$AV$4:$BE$4,1,0)),0,1)),0)))</f>
        <v>1</v>
      </c>
      <c r="BK95" s="361">
        <f t="shared" ref="BK95:BK126" si="138">IF(OR(W$30="",W$4=99),1,IF(W95="",0,IFERROR(CHOOSE(BJ$28,IF(ISNA(MATCH(W95,$AS$30:$AT$30,0)),0,1),IF(ISNUMBER(W95),1,0),IF(W95=TRUNC(W95),1,0),IF(AND(W95*1=W95,W95&gt;=0),1,0),IF(AND(W95=TRUNC(W95),W95&gt;=0),1,0),IF(AND(W95*1=W95,W95&gt;0),1,0),IF(AND(W95=TRUNC(W95),W95&gt;0),1,0),1,IF(ISNA(HLOOKUP(W95,$AV$4:$BE$4,1,0)),0,1)),0)))</f>
        <v>1</v>
      </c>
      <c r="BL95" s="361">
        <f t="shared" ref="BL95:BL126" si="139">IF(OR(X$30="",X$4=99),1,IF(X95="",0,IFERROR(CHOOSE(BK$28,IF(ISNA(MATCH(X95,$AS$30:$AT$30,0)),0,1),IF(ISNUMBER(X95),1,0),IF(X95=TRUNC(X95),1,0),IF(AND(X95*1=X95,X95&gt;=0),1,0),IF(AND(X95=TRUNC(X95),X95&gt;=0),1,0),IF(AND(X95*1=X95,X95&gt;0),1,0),IF(AND(X95=TRUNC(X95),X95&gt;0),1,0),1,IF(ISNA(HLOOKUP(X95,$AV$4:$BE$4,1,0)),0,1)),0)))</f>
        <v>1</v>
      </c>
      <c r="BM95" s="361">
        <f t="shared" ref="BM95:BM126" si="140">IF(OR(Y$30="",Y$4=99),1,IF(Y95="",0,IFERROR(CHOOSE(BL$28,IF(ISNA(MATCH(Y95,$AS$30:$AT$30,0)),0,1),IF(ISNUMBER(Y95),1,0),IF(Y95=TRUNC(Y95),1,0),IF(AND(Y95*1=Y95,Y95&gt;=0),1,0),IF(AND(Y95=TRUNC(Y95),Y95&gt;=0),1,0),IF(AND(Y95*1=Y95,Y95&gt;0),1,0),IF(AND(Y95=TRUNC(Y95),Y95&gt;0),1,0),1,IF(ISNA(HLOOKUP(Y95,$AV$4:$BE$4,1,0)),0,1)),0)))</f>
        <v>1</v>
      </c>
      <c r="BN95" s="361">
        <f t="shared" ref="BN95:BN126" si="141">IF(OR(Z$30="",Z$4=99),1,IF(Z95="",0,IFERROR(CHOOSE(BM$28,IF(ISNA(MATCH(Z95,$AS$30:$AT$30,0)),0,1),IF(ISNUMBER(Z95),1,0),IF(Z95=TRUNC(Z95),1,0),IF(AND(Z95*1=Z95,Z95&gt;=0),1,0),IF(AND(Z95=TRUNC(Z95),Z95&gt;=0),1,0),IF(AND(Z95*1=Z95,Z95&gt;0),1,0),IF(AND(Z95=TRUNC(Z95),Z95&gt;0),1,0),1,IF(ISNA(HLOOKUP(Z95,$AV$4:$BE$4,1,0)),0,1)),0)))</f>
        <v>1</v>
      </c>
      <c r="BO95" s="361">
        <f t="shared" ref="BO95:BO126" si="142">IF(OR(AA$30="",AA$4=99),1,IF(AA95="",0,IFERROR(CHOOSE(BN$28,IF(ISNA(MATCH(AA95,$AS$30:$AT$30,0)),0,1),IF(ISNUMBER(AA95),1,0),IF(AA95=TRUNC(AA95),1,0),IF(AND(AA95*1=AA95,AA95&gt;=0),1,0),IF(AND(AA95=TRUNC(AA95),AA95&gt;=0),1,0),IF(AND(AA95*1=AA95,AA95&gt;0),1,0),IF(AND(AA95=TRUNC(AA95),AA95&gt;0),1,0),1,IF(ISNA(HLOOKUP(AA95,$AV$4:$BE$4,1,0)),0,1)),0)))</f>
        <v>1</v>
      </c>
      <c r="BP95" s="361">
        <f t="shared" ref="BP95:BP126" si="143">IF(OR(AB$30="",AB$4=99),1,IF(AB95="",0,IFERROR(CHOOSE(BO$28,IF(ISNA(MATCH(AB95,$AS$30:$AT$30,0)),0,1),IF(ISNUMBER(AB95),1,0),IF(AB95=TRUNC(AB95),1,0),IF(AND(AB95*1=AB95,AB95&gt;=0),1,0),IF(AND(AB95=TRUNC(AB95),AB95&gt;=0),1,0),IF(AND(AB95*1=AB95,AB95&gt;0),1,0),IF(AND(AB95=TRUNC(AB95),AB95&gt;0),1,0),1,IF(ISNA(HLOOKUP(AB95,$AV$4:$BE$4,1,0)),0,1)),0)))</f>
        <v>1</v>
      </c>
      <c r="BQ95" s="361">
        <f t="shared" ref="BQ95:BQ126" si="144">IF(OR(AC$30="",AC$4=99),1,IF(AC95="",0,IFERROR(CHOOSE(BP$28,IF(ISNA(MATCH(AC95,$AS$30:$AT$30,0)),0,1),IF(ISNUMBER(AC95),1,0),IF(AC95=TRUNC(AC95),1,0),IF(AND(AC95*1=AC95,AC95&gt;=0),1,0),IF(AND(AC95=TRUNC(AC95),AC95&gt;=0),1,0),IF(AND(AC95*1=AC95,AC95&gt;0),1,0),IF(AND(AC95=TRUNC(AC95),AC95&gt;0),1,0),1,IF(ISNA(HLOOKUP(AC95,$AV$4:$BE$4,1,0)),0,1)),0)))</f>
        <v>1</v>
      </c>
      <c r="BR95" s="361">
        <f t="shared" ref="BR95:BR126" si="145">IF(OR(AD$30="",AD$4=99),1,IF(AD95="",0,IFERROR(CHOOSE(BQ$28,IF(ISNA(MATCH(AD95,$AS$30:$AT$30,0)),0,1),IF(ISNUMBER(AD95),1,0),IF(AD95=TRUNC(AD95),1,0),IF(AND(AD95*1=AD95,AD95&gt;=0),1,0),IF(AND(AD95=TRUNC(AD95),AD95&gt;=0),1,0),IF(AND(AD95*1=AD95,AD95&gt;0),1,0),IF(AND(AD95=TRUNC(AD95),AD95&gt;0),1,0),1,IF(ISNA(HLOOKUP(AD95,$AV$4:$BE$4,1,0)),0,1)),0)))</f>
        <v>1</v>
      </c>
      <c r="BS95" s="361">
        <f t="shared" ref="BS95:BS126" si="146">IF(OR(AE$30="",AE$4=99),1,IF(AE95="",0,IFERROR(CHOOSE(BR$28,IF(ISNA(MATCH(AE95,$AS$30:$AT$30,0)),0,1),IF(ISNUMBER(AE95),1,0),IF(AE95=TRUNC(AE95),1,0),IF(AND(AE95*1=AE95,AE95&gt;=0),1,0),IF(AND(AE95=TRUNC(AE95),AE95&gt;=0),1,0),IF(AND(AE95*1=AE95,AE95&gt;0),1,0),IF(AND(AE95=TRUNC(AE95),AE95&gt;0),1,0),1,IF(ISNA(HLOOKUP(AE95,$AV$4:$BE$4,1,0)),0,1)),0)))</f>
        <v>1</v>
      </c>
      <c r="BT95" s="361">
        <f t="shared" ref="BT95:BT126" si="147">IF(OR(AF$30="",AF$4=99),1,IF(AF95="",0,IFERROR(CHOOSE(BS$28,IF(ISNA(MATCH(AF95,$AS$30:$AT$30,0)),0,1),IF(ISNUMBER(AF95),1,0),IF(AF95=TRUNC(AF95),1,0),IF(AND(AF95*1=AF95,AF95&gt;=0),1,0),IF(AND(AF95=TRUNC(AF95),AF95&gt;=0),1,0),IF(AND(AF95*1=AF95,AF95&gt;0),1,0),IF(AND(AF95=TRUNC(AF95),AF95&gt;0),1,0),1,IF(ISNA(HLOOKUP(AF95,$AV$4:$BE$4,1,0)),0,1)),0)))</f>
        <v>1</v>
      </c>
      <c r="BU95" s="361">
        <f t="shared" ref="BU95:BU126" si="148">IF(OR(AH$30="",AH$4=99),1,IF(AH95="",0,IFERROR(CHOOSE(BT$28,IF(ISNA(MATCH(AH95,$AS$30:$AT$30,0)),0,1),IF(ISNUMBER(AH95),1,0),IF(AH95=TRUNC(AH95),1,0),IF(AND(AH95*1=AH95,AH95&gt;=0),1,0),IF(AND(AH95=TRUNC(AH95),AH95&gt;=0),1,0),IF(AND(AH95*1=AH95,AH95&gt;0),1,0),IF(AND(AH95=TRUNC(AH95),AH95&gt;0),1,0),1,IF(ISNA(HLOOKUP(AH95,$AV$4:$BE$4,1,0)),0,1)),0)))</f>
        <v>1</v>
      </c>
      <c r="BV95" s="361">
        <f t="shared" ref="BV95:BV126" si="149">IF(OR(AI$30="",AI$4=99),1,IF(AI95="",0,IFERROR(CHOOSE(BU$28,IF(ISNA(MATCH(AI95,$AS$30:$AT$30,0)),0,1),IF(ISNUMBER(AI95),1,0),IF(AI95=TRUNC(AI95),1,0),IF(AND(AI95*1=AI95,AI95&gt;=0),1,0),IF(AND(AI95=TRUNC(AI95),AI95&gt;=0),1,0),IF(AND(AI95*1=AI95,AI95&gt;0),1,0),IF(AND(AI95=TRUNC(AI95),AI95&gt;0),1,0),1,IF(ISNA(HLOOKUP(AI95,$AV$4:$BE$4,1,0)),0,1)),0)))</f>
        <v>1</v>
      </c>
      <c r="BW95" s="361">
        <f t="shared" ref="BW95:BW126" si="150">IF(OR(AJ$30="",AJ$4=99),1,IF(AJ95="",0,IFERROR(CHOOSE(BV$28,IF(ISNA(MATCH(AJ95,$AS$30:$AT$30,0)),0,1),IF(ISNUMBER(AJ95),1,0),IF(AJ95=TRUNC(AJ95),1,0),IF(AND(AJ95*1=AJ95,AJ95&gt;=0),1,0),IF(AND(AJ95=TRUNC(AJ95),AJ95&gt;=0),1,0),IF(AND(AJ95*1=AJ95,AJ95&gt;0),1,0),IF(AND(AJ95=TRUNC(AJ95),AJ95&gt;0),1,0),1,IF(ISNA(HLOOKUP(AJ95,$AV$4:$BE$4,1,0)),0,1)),0)))</f>
        <v>1</v>
      </c>
      <c r="BX95" s="361">
        <f t="shared" ref="BX95:BX126" si="151">IF(OR(AK$30="",AK$4=99),1,IF(AK95="",0,IFERROR(CHOOSE(BW$28,IF(ISNA(MATCH(AK95,$AS$30:$AT$30,0)),0,1),IF(ISNUMBER(AK95),1,0),IF(AK95=TRUNC(AK95),1,0),IF(AND(AK95*1=AK95,AK95&gt;=0),1,0),IF(AND(AK95=TRUNC(AK95),AK95&gt;=0),1,0),IF(AND(AK95*1=AK95,AK95&gt;0),1,0),IF(AND(AK95=TRUNC(AK95),AK95&gt;0),1,0),1,IF(ISNA(HLOOKUP(AK95,$AV$4:$BE$4,1,0)),0,1)),0)))</f>
        <v>1</v>
      </c>
      <c r="BY95" s="361">
        <f t="shared" ref="BY95:BY126" si="152">IF(OR(AL$30="",AL$4=99),1,IF(AL95="",0,IFERROR(CHOOSE(BX$28,IF(ISNA(MATCH(AL95,$AS$30:$AT$30,0)),0,1),IF(ISNUMBER(AL95),1,0),IF(AL95=TRUNC(AL95),1,0),IF(AND(AL95*1=AL95,AL95&gt;=0),1,0),IF(AND(AL95=TRUNC(AL95),AL95&gt;=0),1,0),IF(AND(AL95*1=AL95,AL95&gt;0),1,0),IF(AND(AL95=TRUNC(AL95),AL95&gt;0),1,0),1,IF(ISNA(HLOOKUP(AL95,$AV$4:$BE$4,1,0)),0,1)),0)))</f>
        <v>1</v>
      </c>
      <c r="BZ95" s="361">
        <f t="shared" ref="BZ95:BZ126" si="153">IF(OR(AM$30="",AM$4=99),1,IF(AM95="",0,IFERROR(CHOOSE(BY$28,IF(ISNA(MATCH(AM95,$AS$30:$AT$30,0)),0,1),IF(ISNUMBER(AM95),1,0),IF(AM95=TRUNC(AM95),1,0),IF(AND(AM95*1=AM95,AM95&gt;=0),1,0),IF(AND(AM95=TRUNC(AM95),AM95&gt;=0),1,0),IF(AND(AM95*1=AM95,AM95&gt;0),1,0),IF(AND(AM95=TRUNC(AM95),AM95&gt;0),1,0),1,IF(ISNA(HLOOKUP(AM95,$AV$4:$BE$4,1,0)),0,1)),0)))</f>
        <v>1</v>
      </c>
      <c r="CA95" s="361">
        <f t="shared" ref="CA95:CA126" si="154">IF(OR(AN$30="",AN$4=99),1,IF(AN95="",0,IFERROR(CHOOSE(BZ$28,IF(ISNA(MATCH(AN95,$AS$30:$AT$30,0)),0,1),IF(ISNUMBER(AN95),1,0),IF(AN95=TRUNC(AN95),1,0),IF(AND(AN95*1=AN95,AN95&gt;=0),1,0),IF(AND(AN95=TRUNC(AN95),AN95&gt;=0),1,0),IF(AND(AN95*1=AN95,AN95&gt;0),1,0),IF(AND(AN95=TRUNC(AN95),AN95&gt;0),1,0),1,IF(ISNA(HLOOKUP(AN95,$AV$4:$BE$4,1,0)),0,1)),0)))</f>
        <v>1</v>
      </c>
      <c r="CB95" s="361">
        <f t="shared" ref="CB95:CB126" si="155">IF(OR(AO$30="",AO$4=99),1,IF(AO95="",0,IFERROR(CHOOSE(CA$28,IF(ISNA(MATCH(AO95,$AS$30:$AT$30,0)),0,1),IF(ISNUMBER(AO95),1,0),IF(AO95=TRUNC(AO95),1,0),IF(AND(AO95*1=AO95,AO95&gt;=0),1,0),IF(AND(AO95=TRUNC(AO95),AO95&gt;=0),1,0),IF(AND(AO95*1=AO95,AO95&gt;0),1,0),IF(AND(AO95=TRUNC(AO95),AO95&gt;0),1,0),1,IF(ISNA(HLOOKUP(AO95,$AV$4:$BE$4,1,0)),0,1)),0)))</f>
        <v>1</v>
      </c>
      <c r="CC95" s="361">
        <f t="shared" ref="CC95:CC126" si="156">IF(OR(AP$30="",AP$4=99),1,IF(AP95="",0,IFERROR(CHOOSE(CB$28,IF(ISNA(MATCH(AP95,$AS$30:$AT$30,0)),0,1),IF(ISNUMBER(AP95),1,0),IF(AP95=TRUNC(AP95),1,0),IF(AND(AP95*1=AP95,AP95&gt;=0),1,0),IF(AND(AP95=TRUNC(AP95),AP95&gt;=0),1,0),IF(AND(AP95*1=AP95,AP95&gt;0),1,0),IF(AND(AP95=TRUNC(AP95),AP95&gt;0),1,0),1,IF(ISNA(HLOOKUP(AP95,$AV$4:$BE$4,1,0)),0,1)),0)))</f>
        <v>1</v>
      </c>
      <c r="CH95" s="341">
        <f t="shared" si="114"/>
        <v>1</v>
      </c>
      <c r="CI95" s="341">
        <f t="shared" si="114"/>
        <v>2</v>
      </c>
      <c r="CJ95" s="341">
        <f t="shared" si="114"/>
        <v>3</v>
      </c>
      <c r="CK95" s="341">
        <f t="shared" si="114"/>
        <v>4</v>
      </c>
      <c r="CL95" s="341">
        <f t="shared" si="114"/>
        <v>5</v>
      </c>
      <c r="CM95" s="341">
        <f t="shared" si="112"/>
        <v>6</v>
      </c>
      <c r="CN95" s="341">
        <f t="shared" si="112"/>
        <v>7</v>
      </c>
      <c r="CO95" s="341">
        <f t="shared" si="112"/>
        <v>8</v>
      </c>
      <c r="CP95" s="341">
        <f t="shared" si="112"/>
        <v>9</v>
      </c>
      <c r="CQ95" s="341">
        <f t="shared" si="112"/>
        <v>10</v>
      </c>
      <c r="CT95" s="353"/>
      <c r="CU95" s="353"/>
      <c r="CV95" s="353"/>
      <c r="CW95" s="353" t="b">
        <f t="shared" ref="CW95:CW126" si="157">W95&gt;=CV$5</f>
        <v>1</v>
      </c>
      <c r="CX95" s="353" t="b">
        <f t="shared" ref="CX95:CX126" si="158">X95&gt;=CW$5</f>
        <v>0</v>
      </c>
      <c r="CY95" s="353" t="b">
        <f t="shared" ref="CY95:CY126" si="159">Y95&gt;=CX$5</f>
        <v>1</v>
      </c>
      <c r="DC95" s="347">
        <f t="shared" si="115"/>
        <v>2</v>
      </c>
      <c r="DD95" s="353" t="b">
        <f t="shared" ref="DD95:DD126" si="160">W95&gt;=DC$5</f>
        <v>1</v>
      </c>
      <c r="DE95" s="353" t="b">
        <f t="shared" ref="DE95:DE126" si="161">X95&gt;=DD$5</f>
        <v>0</v>
      </c>
      <c r="DF95" s="353" t="b">
        <f t="shared" ref="DF95:DF126" si="162">Y95&gt;=DE$5</f>
        <v>1</v>
      </c>
      <c r="DG95" s="353"/>
      <c r="DH95" s="353"/>
      <c r="DI95" s="353"/>
      <c r="DJ95" s="353"/>
      <c r="DK95" s="353">
        <f t="shared" si="116"/>
        <v>2</v>
      </c>
      <c r="DM95" s="341">
        <f t="shared" ref="DM95:DM126" si="163">IF($F95="","",IF(AND(DK95=$CW$3,DK95-DC95&lt;=$DD$3),1,0))</f>
        <v>0</v>
      </c>
    </row>
    <row r="96" spans="2:117" x14ac:dyDescent="0.25">
      <c r="B96" s="373" t="str">
        <f t="shared" si="113"/>
        <v/>
      </c>
      <c r="C96" s="373"/>
      <c r="D96" s="373"/>
      <c r="E96" s="373"/>
      <c r="F96" s="374"/>
      <c r="G96" s="375"/>
      <c r="H96" s="375"/>
      <c r="I96" s="375"/>
      <c r="J96" s="375"/>
      <c r="K96" s="375"/>
      <c r="L96" s="375"/>
      <c r="M96" s="375"/>
      <c r="N96" s="375"/>
      <c r="O96" s="375"/>
      <c r="P96" s="375"/>
      <c r="Q96" s="375"/>
      <c r="R96" s="375"/>
      <c r="S96" s="375"/>
      <c r="T96" s="375"/>
      <c r="U96" s="375"/>
      <c r="V96" s="375"/>
      <c r="W96" s="375"/>
      <c r="X96" s="375"/>
      <c r="Y96" s="375"/>
      <c r="Z96" s="376"/>
      <c r="AA96" s="376"/>
      <c r="AB96" s="376"/>
      <c r="AC96" s="376"/>
      <c r="AD96" s="376"/>
      <c r="AE96" s="376"/>
      <c r="AF96" s="376" t="str">
        <f t="shared" si="118"/>
        <v/>
      </c>
      <c r="AG96" s="376"/>
      <c r="AH96" s="376" t="str">
        <f t="shared" si="119"/>
        <v/>
      </c>
      <c r="AI96" s="376"/>
      <c r="AJ96" s="376"/>
      <c r="AK96" s="373" t="str">
        <f t="shared" si="120"/>
        <v/>
      </c>
      <c r="AL96" s="373"/>
      <c r="AM96" s="373"/>
      <c r="AN96" s="373"/>
      <c r="AO96" s="373"/>
      <c r="AP96" s="377" t="str">
        <f t="shared" ref="AP96:AP127" si="164">IF($F96="","",IF(AL96=1,1,IF(AR96&lt;&gt;1,$AS$1,IF(SUMPRODUCT(--(G96:AK96&gt;=$G$5:$AK$5)*($G$5:$AK$5&lt;&gt;"")*($G$4:$AK$4=1))=COUNTIF($G$4:$AK$4,1),1,0))))</f>
        <v/>
      </c>
      <c r="AQ96" s="378"/>
      <c r="AR96" s="341">
        <f t="shared" si="121"/>
        <v>0</v>
      </c>
      <c r="AS96" s="341" t="str">
        <f t="shared" si="110"/>
        <v/>
      </c>
      <c r="AT96" s="341" t="str">
        <f t="shared" si="110"/>
        <v/>
      </c>
      <c r="AU96" s="361">
        <f t="shared" si="122"/>
        <v>0</v>
      </c>
      <c r="AV96" s="361">
        <f t="shared" si="123"/>
        <v>0</v>
      </c>
      <c r="AW96" s="361">
        <f t="shared" si="124"/>
        <v>0</v>
      </c>
      <c r="AX96" s="361">
        <f t="shared" si="125"/>
        <v>0</v>
      </c>
      <c r="AY96" s="361">
        <f t="shared" si="126"/>
        <v>0</v>
      </c>
      <c r="AZ96" s="361">
        <f t="shared" si="127"/>
        <v>0</v>
      </c>
      <c r="BA96" s="361">
        <f t="shared" si="128"/>
        <v>0</v>
      </c>
      <c r="BB96" s="361">
        <f t="shared" si="129"/>
        <v>0</v>
      </c>
      <c r="BC96" s="361">
        <f t="shared" si="130"/>
        <v>0</v>
      </c>
      <c r="BD96" s="361">
        <f t="shared" si="131"/>
        <v>0</v>
      </c>
      <c r="BE96" s="361">
        <f t="shared" si="132"/>
        <v>0</v>
      </c>
      <c r="BF96" s="361">
        <f t="shared" si="133"/>
        <v>0</v>
      </c>
      <c r="BG96" s="361">
        <f t="shared" si="134"/>
        <v>0</v>
      </c>
      <c r="BH96" s="361">
        <f t="shared" si="135"/>
        <v>0</v>
      </c>
      <c r="BI96" s="361">
        <f t="shared" si="136"/>
        <v>0</v>
      </c>
      <c r="BJ96" s="361">
        <f t="shared" si="137"/>
        <v>0</v>
      </c>
      <c r="BK96" s="361">
        <f t="shared" si="138"/>
        <v>0</v>
      </c>
      <c r="BL96" s="361">
        <f t="shared" si="139"/>
        <v>0</v>
      </c>
      <c r="BM96" s="361">
        <f t="shared" si="140"/>
        <v>0</v>
      </c>
      <c r="BN96" s="361">
        <f t="shared" si="141"/>
        <v>1</v>
      </c>
      <c r="BO96" s="361">
        <f t="shared" si="142"/>
        <v>0</v>
      </c>
      <c r="BP96" s="361">
        <f t="shared" si="143"/>
        <v>1</v>
      </c>
      <c r="BQ96" s="361">
        <f t="shared" si="144"/>
        <v>1</v>
      </c>
      <c r="BR96" s="361">
        <f t="shared" si="145"/>
        <v>1</v>
      </c>
      <c r="BS96" s="361">
        <f t="shared" si="146"/>
        <v>1</v>
      </c>
      <c r="BT96" s="361">
        <f t="shared" si="147"/>
        <v>1</v>
      </c>
      <c r="BU96" s="361">
        <f t="shared" si="148"/>
        <v>1</v>
      </c>
      <c r="BV96" s="361">
        <f t="shared" si="149"/>
        <v>1</v>
      </c>
      <c r="BW96" s="361">
        <f t="shared" si="150"/>
        <v>1</v>
      </c>
      <c r="BX96" s="361">
        <f t="shared" si="151"/>
        <v>1</v>
      </c>
      <c r="BY96" s="361">
        <f t="shared" si="152"/>
        <v>1</v>
      </c>
      <c r="BZ96" s="361">
        <f t="shared" si="153"/>
        <v>1</v>
      </c>
      <c r="CA96" s="361">
        <f t="shared" si="154"/>
        <v>1</v>
      </c>
      <c r="CB96" s="361">
        <f t="shared" si="155"/>
        <v>1</v>
      </c>
      <c r="CC96" s="361">
        <f t="shared" si="156"/>
        <v>1</v>
      </c>
      <c r="CH96" s="341" t="str">
        <f t="shared" si="114"/>
        <v/>
      </c>
      <c r="CI96" s="341" t="str">
        <f t="shared" si="114"/>
        <v/>
      </c>
      <c r="CJ96" s="341" t="str">
        <f t="shared" si="114"/>
        <v/>
      </c>
      <c r="CK96" s="341" t="str">
        <f t="shared" si="114"/>
        <v/>
      </c>
      <c r="CL96" s="341" t="str">
        <f t="shared" si="114"/>
        <v/>
      </c>
      <c r="CM96" s="341" t="str">
        <f t="shared" si="112"/>
        <v/>
      </c>
      <c r="CN96" s="341" t="str">
        <f t="shared" si="112"/>
        <v/>
      </c>
      <c r="CO96" s="341" t="str">
        <f t="shared" si="112"/>
        <v/>
      </c>
      <c r="CP96" s="341" t="str">
        <f t="shared" si="112"/>
        <v/>
      </c>
      <c r="CQ96" s="341" t="str">
        <f t="shared" si="112"/>
        <v/>
      </c>
      <c r="CT96" s="353"/>
      <c r="CU96" s="353"/>
      <c r="CV96" s="353"/>
      <c r="CW96" s="353" t="b">
        <f t="shared" si="157"/>
        <v>0</v>
      </c>
      <c r="CX96" s="353" t="b">
        <f t="shared" si="158"/>
        <v>0</v>
      </c>
      <c r="CY96" s="353" t="b">
        <f t="shared" si="159"/>
        <v>1</v>
      </c>
      <c r="DC96" s="347">
        <f t="shared" si="115"/>
        <v>1</v>
      </c>
      <c r="DD96" s="353" t="b">
        <f t="shared" si="160"/>
        <v>0</v>
      </c>
      <c r="DE96" s="353" t="b">
        <f t="shared" si="161"/>
        <v>0</v>
      </c>
      <c r="DF96" s="353" t="b">
        <f t="shared" si="162"/>
        <v>1</v>
      </c>
      <c r="DG96" s="353"/>
      <c r="DH96" s="353"/>
      <c r="DI96" s="353"/>
      <c r="DJ96" s="353"/>
      <c r="DK96" s="353">
        <f t="shared" si="116"/>
        <v>1</v>
      </c>
      <c r="DM96" s="341" t="str">
        <f t="shared" si="163"/>
        <v/>
      </c>
    </row>
    <row r="97" spans="2:117" x14ac:dyDescent="0.25">
      <c r="B97" s="373">
        <f t="shared" si="113"/>
        <v>67</v>
      </c>
      <c r="C97" s="373"/>
      <c r="D97" s="373"/>
      <c r="E97" s="373"/>
      <c r="F97" s="374" t="s">
        <v>179</v>
      </c>
      <c r="G97" s="375">
        <v>1</v>
      </c>
      <c r="H97" s="375">
        <v>1</v>
      </c>
      <c r="I97" s="375">
        <v>1</v>
      </c>
      <c r="J97" s="375">
        <v>1</v>
      </c>
      <c r="K97" s="375">
        <v>1</v>
      </c>
      <c r="L97" s="375">
        <v>1</v>
      </c>
      <c r="M97" s="375">
        <v>1</v>
      </c>
      <c r="N97" s="375">
        <v>1</v>
      </c>
      <c r="O97" s="375">
        <v>1</v>
      </c>
      <c r="P97" s="375">
        <v>1</v>
      </c>
      <c r="Q97" s="375">
        <v>1</v>
      </c>
      <c r="R97" s="375">
        <v>1</v>
      </c>
      <c r="S97" s="375">
        <v>0</v>
      </c>
      <c r="T97" s="375">
        <v>1</v>
      </c>
      <c r="U97" s="375">
        <v>1</v>
      </c>
      <c r="V97" s="375">
        <v>1</v>
      </c>
      <c r="W97" s="375">
        <v>1</v>
      </c>
      <c r="X97" s="375">
        <v>1</v>
      </c>
      <c r="Y97" s="375">
        <v>1</v>
      </c>
      <c r="Z97" s="376">
        <f t="shared" ref="Z97:Z104" si="165">IF(F97="","",IF(AND(S97=1,T97=1),$AS$1,IF(OR(S97=1,AND(T97=1,U97=1,V97=1,W97=1,X97=1,Y97=1)),1,0)))</f>
        <v>1</v>
      </c>
      <c r="AA97" s="376">
        <v>1</v>
      </c>
      <c r="AB97" s="376"/>
      <c r="AC97" s="376"/>
      <c r="AD97" s="376"/>
      <c r="AE97" s="376"/>
      <c r="AF97" s="376">
        <f t="shared" si="118"/>
        <v>0</v>
      </c>
      <c r="AG97" s="376">
        <v>1</v>
      </c>
      <c r="AH97" s="376">
        <f t="shared" si="119"/>
        <v>1</v>
      </c>
      <c r="AI97" s="376"/>
      <c r="AJ97" s="376"/>
      <c r="AK97" s="373">
        <f t="shared" si="120"/>
        <v>1</v>
      </c>
      <c r="AL97" s="373"/>
      <c r="AM97" s="373"/>
      <c r="AN97" s="373"/>
      <c r="AO97" s="373"/>
      <c r="AP97" s="377">
        <f t="shared" si="164"/>
        <v>1</v>
      </c>
      <c r="AQ97" s="378"/>
      <c r="AR97" s="341">
        <f t="shared" si="121"/>
        <v>1</v>
      </c>
      <c r="AS97" s="341">
        <f t="shared" si="110"/>
        <v>0</v>
      </c>
      <c r="AT97" s="341">
        <f t="shared" si="110"/>
        <v>1</v>
      </c>
      <c r="AU97" s="361">
        <f t="shared" si="122"/>
        <v>1</v>
      </c>
      <c r="AV97" s="361">
        <f t="shared" si="123"/>
        <v>1</v>
      </c>
      <c r="AW97" s="361">
        <f t="shared" si="124"/>
        <v>1</v>
      </c>
      <c r="AX97" s="361">
        <f t="shared" si="125"/>
        <v>1</v>
      </c>
      <c r="AY97" s="361">
        <f t="shared" si="126"/>
        <v>1</v>
      </c>
      <c r="AZ97" s="361">
        <f t="shared" si="127"/>
        <v>1</v>
      </c>
      <c r="BA97" s="361">
        <f t="shared" si="128"/>
        <v>1</v>
      </c>
      <c r="BB97" s="361">
        <f t="shared" si="129"/>
        <v>1</v>
      </c>
      <c r="BC97" s="361">
        <f t="shared" si="130"/>
        <v>1</v>
      </c>
      <c r="BD97" s="361">
        <f t="shared" si="131"/>
        <v>1</v>
      </c>
      <c r="BE97" s="361">
        <f t="shared" si="132"/>
        <v>1</v>
      </c>
      <c r="BF97" s="361">
        <f t="shared" si="133"/>
        <v>1</v>
      </c>
      <c r="BG97" s="361">
        <f t="shared" si="134"/>
        <v>1</v>
      </c>
      <c r="BH97" s="361">
        <f t="shared" si="135"/>
        <v>1</v>
      </c>
      <c r="BI97" s="361">
        <f t="shared" si="136"/>
        <v>1</v>
      </c>
      <c r="BJ97" s="361">
        <f t="shared" si="137"/>
        <v>1</v>
      </c>
      <c r="BK97" s="361">
        <f t="shared" si="138"/>
        <v>1</v>
      </c>
      <c r="BL97" s="361">
        <f t="shared" si="139"/>
        <v>1</v>
      </c>
      <c r="BM97" s="361">
        <f t="shared" si="140"/>
        <v>1</v>
      </c>
      <c r="BN97" s="361">
        <f t="shared" si="141"/>
        <v>1</v>
      </c>
      <c r="BO97" s="361">
        <f t="shared" si="142"/>
        <v>1</v>
      </c>
      <c r="BP97" s="361">
        <f t="shared" si="143"/>
        <v>1</v>
      </c>
      <c r="BQ97" s="361">
        <f t="shared" si="144"/>
        <v>1</v>
      </c>
      <c r="BR97" s="361">
        <f t="shared" si="145"/>
        <v>1</v>
      </c>
      <c r="BS97" s="361">
        <f t="shared" si="146"/>
        <v>1</v>
      </c>
      <c r="BT97" s="361">
        <f t="shared" si="147"/>
        <v>1</v>
      </c>
      <c r="BU97" s="361">
        <f t="shared" si="148"/>
        <v>1</v>
      </c>
      <c r="BV97" s="361">
        <f t="shared" si="149"/>
        <v>1</v>
      </c>
      <c r="BW97" s="361">
        <f t="shared" si="150"/>
        <v>1</v>
      </c>
      <c r="BX97" s="361">
        <f t="shared" si="151"/>
        <v>1</v>
      </c>
      <c r="BY97" s="361">
        <f t="shared" si="152"/>
        <v>1</v>
      </c>
      <c r="BZ97" s="361">
        <f t="shared" si="153"/>
        <v>1</v>
      </c>
      <c r="CA97" s="361">
        <f t="shared" si="154"/>
        <v>1</v>
      </c>
      <c r="CB97" s="361">
        <f t="shared" si="155"/>
        <v>1</v>
      </c>
      <c r="CC97" s="361">
        <f t="shared" si="156"/>
        <v>1</v>
      </c>
      <c r="CH97" s="341">
        <f t="shared" si="114"/>
        <v>1</v>
      </c>
      <c r="CI97" s="341">
        <f t="shared" si="114"/>
        <v>2</v>
      </c>
      <c r="CJ97" s="341">
        <f t="shared" si="114"/>
        <v>3</v>
      </c>
      <c r="CK97" s="341">
        <f t="shared" si="114"/>
        <v>4</v>
      </c>
      <c r="CL97" s="341">
        <f t="shared" si="114"/>
        <v>5</v>
      </c>
      <c r="CM97" s="341">
        <f t="shared" si="112"/>
        <v>6</v>
      </c>
      <c r="CN97" s="341">
        <f t="shared" si="112"/>
        <v>7</v>
      </c>
      <c r="CO97" s="341">
        <f t="shared" si="112"/>
        <v>8</v>
      </c>
      <c r="CP97" s="341">
        <f t="shared" si="112"/>
        <v>9</v>
      </c>
      <c r="CQ97" s="341">
        <f t="shared" si="112"/>
        <v>10</v>
      </c>
      <c r="CT97" s="353"/>
      <c r="CU97" s="353"/>
      <c r="CV97" s="353"/>
      <c r="CW97" s="353" t="b">
        <f t="shared" si="157"/>
        <v>1</v>
      </c>
      <c r="CX97" s="353" t="b">
        <f t="shared" si="158"/>
        <v>0</v>
      </c>
      <c r="CY97" s="353" t="b">
        <f t="shared" si="159"/>
        <v>1</v>
      </c>
      <c r="DC97" s="347">
        <f t="shared" si="115"/>
        <v>2</v>
      </c>
      <c r="DD97" s="353" t="b">
        <f t="shared" si="160"/>
        <v>1</v>
      </c>
      <c r="DE97" s="353" t="b">
        <f t="shared" si="161"/>
        <v>0</v>
      </c>
      <c r="DF97" s="353" t="b">
        <f t="shared" si="162"/>
        <v>1</v>
      </c>
      <c r="DG97" s="353"/>
      <c r="DH97" s="353"/>
      <c r="DI97" s="353"/>
      <c r="DJ97" s="353"/>
      <c r="DK97" s="353">
        <f t="shared" si="116"/>
        <v>2</v>
      </c>
      <c r="DM97" s="341">
        <f t="shared" si="163"/>
        <v>0</v>
      </c>
    </row>
    <row r="98" spans="2:117" x14ac:dyDescent="0.25">
      <c r="B98" s="373">
        <f t="shared" si="113"/>
        <v>68</v>
      </c>
      <c r="C98" s="373"/>
      <c r="D98" s="373"/>
      <c r="E98" s="373"/>
      <c r="F98" s="374" t="s">
        <v>180</v>
      </c>
      <c r="G98" s="375">
        <v>1</v>
      </c>
      <c r="H98" s="375">
        <v>1</v>
      </c>
      <c r="I98" s="375">
        <v>1</v>
      </c>
      <c r="J98" s="375">
        <v>1</v>
      </c>
      <c r="K98" s="375">
        <v>1</v>
      </c>
      <c r="L98" s="375">
        <v>1</v>
      </c>
      <c r="M98" s="375">
        <v>1</v>
      </c>
      <c r="N98" s="375">
        <v>1</v>
      </c>
      <c r="O98" s="375">
        <v>1</v>
      </c>
      <c r="P98" s="375">
        <v>1</v>
      </c>
      <c r="Q98" s="375">
        <v>1</v>
      </c>
      <c r="R98" s="375">
        <v>1</v>
      </c>
      <c r="S98" s="375">
        <v>0</v>
      </c>
      <c r="T98" s="375">
        <v>1</v>
      </c>
      <c r="U98" s="375">
        <v>1</v>
      </c>
      <c r="V98" s="375">
        <v>1</v>
      </c>
      <c r="W98" s="375">
        <v>1</v>
      </c>
      <c r="X98" s="375">
        <v>1</v>
      </c>
      <c r="Y98" s="375">
        <v>1</v>
      </c>
      <c r="Z98" s="376">
        <f t="shared" si="165"/>
        <v>1</v>
      </c>
      <c r="AA98" s="376">
        <v>1</v>
      </c>
      <c r="AB98" s="376"/>
      <c r="AC98" s="376"/>
      <c r="AD98" s="376"/>
      <c r="AE98" s="376"/>
      <c r="AF98" s="376">
        <f t="shared" si="118"/>
        <v>0</v>
      </c>
      <c r="AG98" s="376">
        <v>1</v>
      </c>
      <c r="AH98" s="376">
        <f t="shared" si="119"/>
        <v>1</v>
      </c>
      <c r="AI98" s="376"/>
      <c r="AJ98" s="376"/>
      <c r="AK98" s="373">
        <f t="shared" si="120"/>
        <v>1</v>
      </c>
      <c r="AL98" s="373"/>
      <c r="AM98" s="373"/>
      <c r="AN98" s="373"/>
      <c r="AO98" s="373"/>
      <c r="AP98" s="377">
        <f t="shared" si="164"/>
        <v>1</v>
      </c>
      <c r="AQ98" s="378"/>
      <c r="AR98" s="341">
        <f t="shared" si="121"/>
        <v>1</v>
      </c>
      <c r="AS98" s="341">
        <f t="shared" si="110"/>
        <v>0</v>
      </c>
      <c r="AT98" s="341">
        <f t="shared" si="110"/>
        <v>1</v>
      </c>
      <c r="AU98" s="361">
        <f t="shared" si="122"/>
        <v>1</v>
      </c>
      <c r="AV98" s="361">
        <f t="shared" si="123"/>
        <v>1</v>
      </c>
      <c r="AW98" s="361">
        <f t="shared" si="124"/>
        <v>1</v>
      </c>
      <c r="AX98" s="361">
        <f t="shared" si="125"/>
        <v>1</v>
      </c>
      <c r="AY98" s="361">
        <f t="shared" si="126"/>
        <v>1</v>
      </c>
      <c r="AZ98" s="361">
        <f t="shared" si="127"/>
        <v>1</v>
      </c>
      <c r="BA98" s="361">
        <f t="shared" si="128"/>
        <v>1</v>
      </c>
      <c r="BB98" s="361">
        <f t="shared" si="129"/>
        <v>1</v>
      </c>
      <c r="BC98" s="361">
        <f t="shared" si="130"/>
        <v>1</v>
      </c>
      <c r="BD98" s="361">
        <f t="shared" si="131"/>
        <v>1</v>
      </c>
      <c r="BE98" s="361">
        <f t="shared" si="132"/>
        <v>1</v>
      </c>
      <c r="BF98" s="361">
        <f t="shared" si="133"/>
        <v>1</v>
      </c>
      <c r="BG98" s="361">
        <f t="shared" si="134"/>
        <v>1</v>
      </c>
      <c r="BH98" s="361">
        <f t="shared" si="135"/>
        <v>1</v>
      </c>
      <c r="BI98" s="361">
        <f t="shared" si="136"/>
        <v>1</v>
      </c>
      <c r="BJ98" s="361">
        <f t="shared" si="137"/>
        <v>1</v>
      </c>
      <c r="BK98" s="361">
        <f t="shared" si="138"/>
        <v>1</v>
      </c>
      <c r="BL98" s="361">
        <f t="shared" si="139"/>
        <v>1</v>
      </c>
      <c r="BM98" s="361">
        <f t="shared" si="140"/>
        <v>1</v>
      </c>
      <c r="BN98" s="361">
        <f t="shared" si="141"/>
        <v>1</v>
      </c>
      <c r="BO98" s="361">
        <f t="shared" si="142"/>
        <v>1</v>
      </c>
      <c r="BP98" s="361">
        <f t="shared" si="143"/>
        <v>1</v>
      </c>
      <c r="BQ98" s="361">
        <f t="shared" si="144"/>
        <v>1</v>
      </c>
      <c r="BR98" s="361">
        <f t="shared" si="145"/>
        <v>1</v>
      </c>
      <c r="BS98" s="361">
        <f t="shared" si="146"/>
        <v>1</v>
      </c>
      <c r="BT98" s="361">
        <f t="shared" si="147"/>
        <v>1</v>
      </c>
      <c r="BU98" s="361">
        <f t="shared" si="148"/>
        <v>1</v>
      </c>
      <c r="BV98" s="361">
        <f t="shared" si="149"/>
        <v>1</v>
      </c>
      <c r="BW98" s="361">
        <f t="shared" si="150"/>
        <v>1</v>
      </c>
      <c r="BX98" s="361">
        <f t="shared" si="151"/>
        <v>1</v>
      </c>
      <c r="BY98" s="361">
        <f t="shared" si="152"/>
        <v>1</v>
      </c>
      <c r="BZ98" s="361">
        <f t="shared" si="153"/>
        <v>1</v>
      </c>
      <c r="CA98" s="361">
        <f t="shared" si="154"/>
        <v>1</v>
      </c>
      <c r="CB98" s="361">
        <f t="shared" si="155"/>
        <v>1</v>
      </c>
      <c r="CC98" s="361">
        <f t="shared" si="156"/>
        <v>1</v>
      </c>
      <c r="CH98" s="341">
        <f t="shared" si="114"/>
        <v>1</v>
      </c>
      <c r="CI98" s="341">
        <f t="shared" si="114"/>
        <v>2</v>
      </c>
      <c r="CJ98" s="341">
        <f t="shared" si="114"/>
        <v>3</v>
      </c>
      <c r="CK98" s="341">
        <f t="shared" si="114"/>
        <v>4</v>
      </c>
      <c r="CL98" s="341">
        <f t="shared" si="114"/>
        <v>5</v>
      </c>
      <c r="CM98" s="341">
        <f t="shared" si="112"/>
        <v>6</v>
      </c>
      <c r="CN98" s="341">
        <f t="shared" si="112"/>
        <v>7</v>
      </c>
      <c r="CO98" s="341">
        <f t="shared" si="112"/>
        <v>8</v>
      </c>
      <c r="CP98" s="341">
        <f t="shared" si="112"/>
        <v>9</v>
      </c>
      <c r="CQ98" s="341">
        <f t="shared" si="112"/>
        <v>10</v>
      </c>
      <c r="CT98" s="353"/>
      <c r="CU98" s="353"/>
      <c r="CV98" s="353"/>
      <c r="CW98" s="353" t="b">
        <f t="shared" si="157"/>
        <v>1</v>
      </c>
      <c r="CX98" s="353" t="b">
        <f t="shared" si="158"/>
        <v>0</v>
      </c>
      <c r="CY98" s="353" t="b">
        <f t="shared" si="159"/>
        <v>1</v>
      </c>
      <c r="DC98" s="347">
        <f t="shared" si="115"/>
        <v>2</v>
      </c>
      <c r="DD98" s="353" t="b">
        <f t="shared" si="160"/>
        <v>1</v>
      </c>
      <c r="DE98" s="353" t="b">
        <f t="shared" si="161"/>
        <v>0</v>
      </c>
      <c r="DF98" s="353" t="b">
        <f t="shared" si="162"/>
        <v>1</v>
      </c>
      <c r="DG98" s="353"/>
      <c r="DH98" s="353"/>
      <c r="DI98" s="353"/>
      <c r="DJ98" s="353"/>
      <c r="DK98" s="353">
        <f t="shared" si="116"/>
        <v>2</v>
      </c>
      <c r="DM98" s="341">
        <f t="shared" si="163"/>
        <v>0</v>
      </c>
    </row>
    <row r="99" spans="2:117" x14ac:dyDescent="0.25">
      <c r="B99" s="373">
        <f t="shared" si="113"/>
        <v>69</v>
      </c>
      <c r="C99" s="373"/>
      <c r="D99" s="373"/>
      <c r="E99" s="373"/>
      <c r="F99" s="374" t="s">
        <v>181</v>
      </c>
      <c r="G99" s="375">
        <v>1</v>
      </c>
      <c r="H99" s="375">
        <v>1</v>
      </c>
      <c r="I99" s="375">
        <v>1</v>
      </c>
      <c r="J99" s="375">
        <v>1</v>
      </c>
      <c r="K99" s="375">
        <v>1</v>
      </c>
      <c r="L99" s="375">
        <v>1</v>
      </c>
      <c r="M99" s="375">
        <v>1</v>
      </c>
      <c r="N99" s="375">
        <v>1</v>
      </c>
      <c r="O99" s="375">
        <v>1</v>
      </c>
      <c r="P99" s="375">
        <v>1</v>
      </c>
      <c r="Q99" s="375">
        <v>1</v>
      </c>
      <c r="R99" s="375">
        <v>1</v>
      </c>
      <c r="S99" s="375">
        <v>0</v>
      </c>
      <c r="T99" s="375">
        <v>1</v>
      </c>
      <c r="U99" s="375">
        <v>1</v>
      </c>
      <c r="V99" s="375">
        <v>1</v>
      </c>
      <c r="W99" s="375">
        <v>1</v>
      </c>
      <c r="X99" s="375">
        <v>1</v>
      </c>
      <c r="Y99" s="375">
        <v>1</v>
      </c>
      <c r="Z99" s="376">
        <f t="shared" si="165"/>
        <v>1</v>
      </c>
      <c r="AA99" s="376">
        <v>1</v>
      </c>
      <c r="AB99" s="376"/>
      <c r="AC99" s="376"/>
      <c r="AD99" s="376"/>
      <c r="AE99" s="376"/>
      <c r="AF99" s="376">
        <f t="shared" si="118"/>
        <v>0</v>
      </c>
      <c r="AG99" s="376">
        <v>1</v>
      </c>
      <c r="AH99" s="376">
        <f t="shared" si="119"/>
        <v>1</v>
      </c>
      <c r="AI99" s="376"/>
      <c r="AJ99" s="376"/>
      <c r="AK99" s="373">
        <f t="shared" si="120"/>
        <v>1</v>
      </c>
      <c r="AL99" s="373"/>
      <c r="AM99" s="373"/>
      <c r="AN99" s="373"/>
      <c r="AO99" s="373"/>
      <c r="AP99" s="377">
        <f t="shared" si="164"/>
        <v>1</v>
      </c>
      <c r="AQ99" s="378"/>
      <c r="AR99" s="341">
        <f t="shared" si="121"/>
        <v>1</v>
      </c>
      <c r="AS99" s="341">
        <f t="shared" si="110"/>
        <v>0</v>
      </c>
      <c r="AT99" s="341">
        <f t="shared" si="110"/>
        <v>1</v>
      </c>
      <c r="AU99" s="361">
        <f t="shared" si="122"/>
        <v>1</v>
      </c>
      <c r="AV99" s="361">
        <f t="shared" si="123"/>
        <v>1</v>
      </c>
      <c r="AW99" s="361">
        <f t="shared" si="124"/>
        <v>1</v>
      </c>
      <c r="AX99" s="361">
        <f t="shared" si="125"/>
        <v>1</v>
      </c>
      <c r="AY99" s="361">
        <f t="shared" si="126"/>
        <v>1</v>
      </c>
      <c r="AZ99" s="361">
        <f t="shared" si="127"/>
        <v>1</v>
      </c>
      <c r="BA99" s="361">
        <f t="shared" si="128"/>
        <v>1</v>
      </c>
      <c r="BB99" s="361">
        <f t="shared" si="129"/>
        <v>1</v>
      </c>
      <c r="BC99" s="361">
        <f t="shared" si="130"/>
        <v>1</v>
      </c>
      <c r="BD99" s="361">
        <f t="shared" si="131"/>
        <v>1</v>
      </c>
      <c r="BE99" s="361">
        <f t="shared" si="132"/>
        <v>1</v>
      </c>
      <c r="BF99" s="361">
        <f t="shared" si="133"/>
        <v>1</v>
      </c>
      <c r="BG99" s="361">
        <f t="shared" si="134"/>
        <v>1</v>
      </c>
      <c r="BH99" s="361">
        <f t="shared" si="135"/>
        <v>1</v>
      </c>
      <c r="BI99" s="361">
        <f t="shared" si="136"/>
        <v>1</v>
      </c>
      <c r="BJ99" s="361">
        <f t="shared" si="137"/>
        <v>1</v>
      </c>
      <c r="BK99" s="361">
        <f t="shared" si="138"/>
        <v>1</v>
      </c>
      <c r="BL99" s="361">
        <f t="shared" si="139"/>
        <v>1</v>
      </c>
      <c r="BM99" s="361">
        <f t="shared" si="140"/>
        <v>1</v>
      </c>
      <c r="BN99" s="361">
        <f t="shared" si="141"/>
        <v>1</v>
      </c>
      <c r="BO99" s="361">
        <f t="shared" si="142"/>
        <v>1</v>
      </c>
      <c r="BP99" s="361">
        <f t="shared" si="143"/>
        <v>1</v>
      </c>
      <c r="BQ99" s="361">
        <f t="shared" si="144"/>
        <v>1</v>
      </c>
      <c r="BR99" s="361">
        <f t="shared" si="145"/>
        <v>1</v>
      </c>
      <c r="BS99" s="361">
        <f t="shared" si="146"/>
        <v>1</v>
      </c>
      <c r="BT99" s="361">
        <f t="shared" si="147"/>
        <v>1</v>
      </c>
      <c r="BU99" s="361">
        <f t="shared" si="148"/>
        <v>1</v>
      </c>
      <c r="BV99" s="361">
        <f t="shared" si="149"/>
        <v>1</v>
      </c>
      <c r="BW99" s="361">
        <f t="shared" si="150"/>
        <v>1</v>
      </c>
      <c r="BX99" s="361">
        <f t="shared" si="151"/>
        <v>1</v>
      </c>
      <c r="BY99" s="361">
        <f t="shared" si="152"/>
        <v>1</v>
      </c>
      <c r="BZ99" s="361">
        <f t="shared" si="153"/>
        <v>1</v>
      </c>
      <c r="CA99" s="361">
        <f t="shared" si="154"/>
        <v>1</v>
      </c>
      <c r="CB99" s="361">
        <f t="shared" si="155"/>
        <v>1</v>
      </c>
      <c r="CC99" s="361">
        <f t="shared" si="156"/>
        <v>1</v>
      </c>
      <c r="CH99" s="341">
        <f t="shared" si="114"/>
        <v>1</v>
      </c>
      <c r="CI99" s="341">
        <f t="shared" si="114"/>
        <v>2</v>
      </c>
      <c r="CJ99" s="341">
        <f t="shared" si="114"/>
        <v>3</v>
      </c>
      <c r="CK99" s="341">
        <f t="shared" si="114"/>
        <v>4</v>
      </c>
      <c r="CL99" s="341">
        <f t="shared" si="114"/>
        <v>5</v>
      </c>
      <c r="CM99" s="341">
        <f t="shared" si="112"/>
        <v>6</v>
      </c>
      <c r="CN99" s="341">
        <f t="shared" si="112"/>
        <v>7</v>
      </c>
      <c r="CO99" s="341">
        <f t="shared" si="112"/>
        <v>8</v>
      </c>
      <c r="CP99" s="341">
        <f t="shared" si="112"/>
        <v>9</v>
      </c>
      <c r="CQ99" s="341">
        <f t="shared" si="112"/>
        <v>10</v>
      </c>
      <c r="CT99" s="353"/>
      <c r="CU99" s="353"/>
      <c r="CV99" s="353"/>
      <c r="CW99" s="353" t="b">
        <f t="shared" si="157"/>
        <v>1</v>
      </c>
      <c r="CX99" s="353" t="b">
        <f t="shared" si="158"/>
        <v>0</v>
      </c>
      <c r="CY99" s="353" t="b">
        <f t="shared" si="159"/>
        <v>1</v>
      </c>
      <c r="DC99" s="347">
        <f t="shared" si="115"/>
        <v>2</v>
      </c>
      <c r="DD99" s="353" t="b">
        <f t="shared" si="160"/>
        <v>1</v>
      </c>
      <c r="DE99" s="353" t="b">
        <f t="shared" si="161"/>
        <v>0</v>
      </c>
      <c r="DF99" s="353" t="b">
        <f t="shared" si="162"/>
        <v>1</v>
      </c>
      <c r="DG99" s="353"/>
      <c r="DH99" s="353"/>
      <c r="DI99" s="353"/>
      <c r="DJ99" s="353"/>
      <c r="DK99" s="353">
        <f t="shared" si="116"/>
        <v>2</v>
      </c>
      <c r="DM99" s="341">
        <f t="shared" si="163"/>
        <v>0</v>
      </c>
    </row>
    <row r="100" spans="2:117" ht="16.5" customHeight="1" x14ac:dyDescent="0.25">
      <c r="B100" s="373">
        <f t="shared" si="113"/>
        <v>70</v>
      </c>
      <c r="C100" s="373"/>
      <c r="D100" s="373"/>
      <c r="E100" s="373"/>
      <c r="F100" s="374" t="s">
        <v>182</v>
      </c>
      <c r="G100" s="375">
        <v>1</v>
      </c>
      <c r="H100" s="375">
        <v>1</v>
      </c>
      <c r="I100" s="375">
        <v>1</v>
      </c>
      <c r="J100" s="375">
        <v>1</v>
      </c>
      <c r="K100" s="375">
        <v>1</v>
      </c>
      <c r="L100" s="375">
        <v>1</v>
      </c>
      <c r="M100" s="375">
        <v>1</v>
      </c>
      <c r="N100" s="375">
        <v>1</v>
      </c>
      <c r="O100" s="375">
        <v>1</v>
      </c>
      <c r="P100" s="375">
        <v>1</v>
      </c>
      <c r="Q100" s="375">
        <v>1</v>
      </c>
      <c r="R100" s="375">
        <v>1</v>
      </c>
      <c r="S100" s="375">
        <v>0</v>
      </c>
      <c r="T100" s="375">
        <v>1</v>
      </c>
      <c r="U100" s="375">
        <v>1</v>
      </c>
      <c r="V100" s="375">
        <v>1</v>
      </c>
      <c r="W100" s="375">
        <v>1</v>
      </c>
      <c r="X100" s="375">
        <v>1</v>
      </c>
      <c r="Y100" s="375">
        <v>1</v>
      </c>
      <c r="Z100" s="376">
        <f t="shared" si="165"/>
        <v>1</v>
      </c>
      <c r="AA100" s="376">
        <v>1</v>
      </c>
      <c r="AB100" s="376"/>
      <c r="AC100" s="376"/>
      <c r="AD100" s="376"/>
      <c r="AE100" s="376"/>
      <c r="AF100" s="376">
        <f t="shared" si="118"/>
        <v>0</v>
      </c>
      <c r="AG100" s="376">
        <v>1</v>
      </c>
      <c r="AH100" s="376">
        <f t="shared" si="119"/>
        <v>1</v>
      </c>
      <c r="AI100" s="376"/>
      <c r="AJ100" s="376"/>
      <c r="AK100" s="373">
        <f t="shared" si="120"/>
        <v>1</v>
      </c>
      <c r="AL100" s="373"/>
      <c r="AM100" s="373"/>
      <c r="AN100" s="373"/>
      <c r="AO100" s="373"/>
      <c r="AP100" s="377">
        <f t="shared" si="164"/>
        <v>1</v>
      </c>
      <c r="AQ100" s="378"/>
      <c r="AR100" s="341">
        <f t="shared" si="121"/>
        <v>1</v>
      </c>
      <c r="AS100" s="341">
        <f t="shared" si="110"/>
        <v>0</v>
      </c>
      <c r="AT100" s="341">
        <f t="shared" si="110"/>
        <v>1</v>
      </c>
      <c r="AU100" s="361">
        <f t="shared" si="122"/>
        <v>1</v>
      </c>
      <c r="AV100" s="361">
        <f t="shared" si="123"/>
        <v>1</v>
      </c>
      <c r="AW100" s="361">
        <f t="shared" si="124"/>
        <v>1</v>
      </c>
      <c r="AX100" s="361">
        <f t="shared" si="125"/>
        <v>1</v>
      </c>
      <c r="AY100" s="361">
        <f t="shared" si="126"/>
        <v>1</v>
      </c>
      <c r="AZ100" s="361">
        <f t="shared" si="127"/>
        <v>1</v>
      </c>
      <c r="BA100" s="361">
        <f t="shared" si="128"/>
        <v>1</v>
      </c>
      <c r="BB100" s="361">
        <f t="shared" si="129"/>
        <v>1</v>
      </c>
      <c r="BC100" s="361">
        <f t="shared" si="130"/>
        <v>1</v>
      </c>
      <c r="BD100" s="361">
        <f t="shared" si="131"/>
        <v>1</v>
      </c>
      <c r="BE100" s="361">
        <f t="shared" si="132"/>
        <v>1</v>
      </c>
      <c r="BF100" s="361">
        <f t="shared" si="133"/>
        <v>1</v>
      </c>
      <c r="BG100" s="361">
        <f t="shared" si="134"/>
        <v>1</v>
      </c>
      <c r="BH100" s="361">
        <f t="shared" si="135"/>
        <v>1</v>
      </c>
      <c r="BI100" s="361">
        <f t="shared" si="136"/>
        <v>1</v>
      </c>
      <c r="BJ100" s="361">
        <f t="shared" si="137"/>
        <v>1</v>
      </c>
      <c r="BK100" s="361">
        <f t="shared" si="138"/>
        <v>1</v>
      </c>
      <c r="BL100" s="361">
        <f t="shared" si="139"/>
        <v>1</v>
      </c>
      <c r="BM100" s="361">
        <f t="shared" si="140"/>
        <v>1</v>
      </c>
      <c r="BN100" s="361">
        <f t="shared" si="141"/>
        <v>1</v>
      </c>
      <c r="BO100" s="361">
        <f t="shared" si="142"/>
        <v>1</v>
      </c>
      <c r="BP100" s="361">
        <f t="shared" si="143"/>
        <v>1</v>
      </c>
      <c r="BQ100" s="361">
        <f t="shared" si="144"/>
        <v>1</v>
      </c>
      <c r="BR100" s="361">
        <f t="shared" si="145"/>
        <v>1</v>
      </c>
      <c r="BS100" s="361">
        <f t="shared" si="146"/>
        <v>1</v>
      </c>
      <c r="BT100" s="361">
        <f t="shared" si="147"/>
        <v>1</v>
      </c>
      <c r="BU100" s="361">
        <f t="shared" si="148"/>
        <v>1</v>
      </c>
      <c r="BV100" s="361">
        <f t="shared" si="149"/>
        <v>1</v>
      </c>
      <c r="BW100" s="361">
        <f t="shared" si="150"/>
        <v>1</v>
      </c>
      <c r="BX100" s="361">
        <f t="shared" si="151"/>
        <v>1</v>
      </c>
      <c r="BY100" s="361">
        <f t="shared" si="152"/>
        <v>1</v>
      </c>
      <c r="BZ100" s="361">
        <f t="shared" si="153"/>
        <v>1</v>
      </c>
      <c r="CA100" s="361">
        <f t="shared" si="154"/>
        <v>1</v>
      </c>
      <c r="CB100" s="361">
        <f t="shared" si="155"/>
        <v>1</v>
      </c>
      <c r="CC100" s="361">
        <f t="shared" si="156"/>
        <v>1</v>
      </c>
      <c r="CH100" s="341">
        <f t="shared" si="114"/>
        <v>1</v>
      </c>
      <c r="CI100" s="341">
        <f t="shared" si="114"/>
        <v>2</v>
      </c>
      <c r="CJ100" s="341">
        <f t="shared" si="114"/>
        <v>3</v>
      </c>
      <c r="CK100" s="341">
        <f t="shared" si="114"/>
        <v>4</v>
      </c>
      <c r="CL100" s="341">
        <f t="shared" si="114"/>
        <v>5</v>
      </c>
      <c r="CM100" s="341">
        <f t="shared" si="112"/>
        <v>6</v>
      </c>
      <c r="CN100" s="341">
        <f t="shared" si="112"/>
        <v>7</v>
      </c>
      <c r="CO100" s="341">
        <f t="shared" si="112"/>
        <v>8</v>
      </c>
      <c r="CP100" s="341">
        <f t="shared" si="112"/>
        <v>9</v>
      </c>
      <c r="CQ100" s="341">
        <f t="shared" si="112"/>
        <v>10</v>
      </c>
      <c r="CT100" s="353"/>
      <c r="CU100" s="353"/>
      <c r="CV100" s="353"/>
      <c r="CW100" s="353" t="b">
        <f t="shared" si="157"/>
        <v>1</v>
      </c>
      <c r="CX100" s="353" t="b">
        <f t="shared" si="158"/>
        <v>0</v>
      </c>
      <c r="CY100" s="353" t="b">
        <f t="shared" si="159"/>
        <v>1</v>
      </c>
      <c r="DC100" s="347">
        <f t="shared" si="115"/>
        <v>2</v>
      </c>
      <c r="DD100" s="353" t="b">
        <f t="shared" si="160"/>
        <v>1</v>
      </c>
      <c r="DE100" s="353" t="b">
        <f t="shared" si="161"/>
        <v>0</v>
      </c>
      <c r="DF100" s="353" t="b">
        <f t="shared" si="162"/>
        <v>1</v>
      </c>
      <c r="DG100" s="353"/>
      <c r="DH100" s="353"/>
      <c r="DI100" s="353"/>
      <c r="DJ100" s="353"/>
      <c r="DK100" s="353">
        <f t="shared" si="116"/>
        <v>2</v>
      </c>
      <c r="DM100" s="341">
        <f t="shared" si="163"/>
        <v>0</v>
      </c>
    </row>
    <row r="101" spans="2:117" x14ac:dyDescent="0.25">
      <c r="B101" s="373">
        <f t="shared" si="113"/>
        <v>71</v>
      </c>
      <c r="C101" s="373"/>
      <c r="D101" s="373"/>
      <c r="E101" s="373"/>
      <c r="F101" s="374" t="s">
        <v>1042</v>
      </c>
      <c r="G101" s="375">
        <v>1</v>
      </c>
      <c r="H101" s="375">
        <v>1</v>
      </c>
      <c r="I101" s="375">
        <v>1</v>
      </c>
      <c r="J101" s="375">
        <v>1</v>
      </c>
      <c r="K101" s="375">
        <v>1</v>
      </c>
      <c r="L101" s="375">
        <v>1</v>
      </c>
      <c r="M101" s="375">
        <v>1</v>
      </c>
      <c r="N101" s="375">
        <v>1</v>
      </c>
      <c r="O101" s="375">
        <v>1</v>
      </c>
      <c r="P101" s="375">
        <v>1</v>
      </c>
      <c r="Q101" s="375">
        <v>1</v>
      </c>
      <c r="R101" s="375">
        <v>1</v>
      </c>
      <c r="S101" s="375">
        <v>1</v>
      </c>
      <c r="T101" s="376">
        <v>0</v>
      </c>
      <c r="U101" s="376">
        <v>0</v>
      </c>
      <c r="V101" s="376">
        <v>0</v>
      </c>
      <c r="W101" s="376">
        <v>0</v>
      </c>
      <c r="X101" s="376">
        <v>0</v>
      </c>
      <c r="Y101" s="376">
        <v>0</v>
      </c>
      <c r="Z101" s="376">
        <f t="shared" si="165"/>
        <v>1</v>
      </c>
      <c r="AA101" s="376">
        <v>1</v>
      </c>
      <c r="AB101" s="376"/>
      <c r="AC101" s="376"/>
      <c r="AD101" s="376"/>
      <c r="AE101" s="376"/>
      <c r="AF101" s="376">
        <f t="shared" si="118"/>
        <v>0</v>
      </c>
      <c r="AG101" s="376">
        <v>1</v>
      </c>
      <c r="AH101" s="376">
        <f t="shared" si="119"/>
        <v>1</v>
      </c>
      <c r="AI101" s="376"/>
      <c r="AJ101" s="376"/>
      <c r="AK101" s="373">
        <f t="shared" si="120"/>
        <v>1</v>
      </c>
      <c r="AL101" s="373"/>
      <c r="AM101" s="373"/>
      <c r="AN101" s="373"/>
      <c r="AO101" s="373"/>
      <c r="AP101" s="377">
        <f t="shared" si="164"/>
        <v>1</v>
      </c>
      <c r="AQ101" s="378"/>
      <c r="AR101" s="341">
        <f t="shared" si="121"/>
        <v>1</v>
      </c>
      <c r="AS101" s="341">
        <f t="shared" si="110"/>
        <v>0</v>
      </c>
      <c r="AT101" s="341">
        <f t="shared" si="110"/>
        <v>1</v>
      </c>
      <c r="AU101" s="361">
        <f t="shared" si="122"/>
        <v>1</v>
      </c>
      <c r="AV101" s="361">
        <f t="shared" si="123"/>
        <v>1</v>
      </c>
      <c r="AW101" s="361">
        <f t="shared" si="124"/>
        <v>1</v>
      </c>
      <c r="AX101" s="361">
        <f t="shared" si="125"/>
        <v>1</v>
      </c>
      <c r="AY101" s="361">
        <f t="shared" si="126"/>
        <v>1</v>
      </c>
      <c r="AZ101" s="361">
        <f t="shared" si="127"/>
        <v>1</v>
      </c>
      <c r="BA101" s="361">
        <f t="shared" si="128"/>
        <v>1</v>
      </c>
      <c r="BB101" s="361">
        <f t="shared" si="129"/>
        <v>1</v>
      </c>
      <c r="BC101" s="361">
        <f t="shared" si="130"/>
        <v>1</v>
      </c>
      <c r="BD101" s="361">
        <f t="shared" si="131"/>
        <v>1</v>
      </c>
      <c r="BE101" s="361">
        <f t="shared" si="132"/>
        <v>1</v>
      </c>
      <c r="BF101" s="361">
        <f t="shared" si="133"/>
        <v>1</v>
      </c>
      <c r="BG101" s="361">
        <f t="shared" si="134"/>
        <v>1</v>
      </c>
      <c r="BH101" s="361">
        <f t="shared" si="135"/>
        <v>1</v>
      </c>
      <c r="BI101" s="361">
        <f t="shared" si="136"/>
        <v>1</v>
      </c>
      <c r="BJ101" s="361">
        <f t="shared" si="137"/>
        <v>1</v>
      </c>
      <c r="BK101" s="361">
        <f t="shared" si="138"/>
        <v>1</v>
      </c>
      <c r="BL101" s="361">
        <f t="shared" si="139"/>
        <v>1</v>
      </c>
      <c r="BM101" s="361">
        <f t="shared" si="140"/>
        <v>1</v>
      </c>
      <c r="BN101" s="361">
        <f t="shared" si="141"/>
        <v>1</v>
      </c>
      <c r="BO101" s="361">
        <f t="shared" si="142"/>
        <v>1</v>
      </c>
      <c r="BP101" s="361">
        <f t="shared" si="143"/>
        <v>1</v>
      </c>
      <c r="BQ101" s="361">
        <f t="shared" si="144"/>
        <v>1</v>
      </c>
      <c r="BR101" s="361">
        <f t="shared" si="145"/>
        <v>1</v>
      </c>
      <c r="BS101" s="361">
        <f t="shared" si="146"/>
        <v>1</v>
      </c>
      <c r="BT101" s="361">
        <f t="shared" si="147"/>
        <v>1</v>
      </c>
      <c r="BU101" s="361">
        <f t="shared" si="148"/>
        <v>1</v>
      </c>
      <c r="BV101" s="361">
        <f t="shared" si="149"/>
        <v>1</v>
      </c>
      <c r="BW101" s="361">
        <f t="shared" si="150"/>
        <v>1</v>
      </c>
      <c r="BX101" s="361">
        <f t="shared" si="151"/>
        <v>1</v>
      </c>
      <c r="BY101" s="361">
        <f t="shared" si="152"/>
        <v>1</v>
      </c>
      <c r="BZ101" s="361">
        <f t="shared" si="153"/>
        <v>1</v>
      </c>
      <c r="CA101" s="361">
        <f t="shared" si="154"/>
        <v>1</v>
      </c>
      <c r="CB101" s="361">
        <f t="shared" si="155"/>
        <v>1</v>
      </c>
      <c r="CC101" s="361">
        <f t="shared" si="156"/>
        <v>1</v>
      </c>
      <c r="CH101" s="341">
        <f t="shared" si="114"/>
        <v>1</v>
      </c>
      <c r="CI101" s="341">
        <f t="shared" si="114"/>
        <v>2</v>
      </c>
      <c r="CJ101" s="341">
        <f t="shared" si="114"/>
        <v>3</v>
      </c>
      <c r="CK101" s="341">
        <f t="shared" si="114"/>
        <v>4</v>
      </c>
      <c r="CL101" s="341">
        <f t="shared" si="114"/>
        <v>5</v>
      </c>
      <c r="CM101" s="341">
        <f t="shared" si="112"/>
        <v>6</v>
      </c>
      <c r="CN101" s="341">
        <f t="shared" si="112"/>
        <v>7</v>
      </c>
      <c r="CO101" s="341">
        <f t="shared" si="112"/>
        <v>8</v>
      </c>
      <c r="CP101" s="341">
        <f t="shared" si="112"/>
        <v>9</v>
      </c>
      <c r="CQ101" s="341">
        <f t="shared" si="112"/>
        <v>10</v>
      </c>
      <c r="CT101" s="353"/>
      <c r="CU101" s="353"/>
      <c r="CV101" s="353"/>
      <c r="CW101" s="353" t="b">
        <f t="shared" si="157"/>
        <v>0</v>
      </c>
      <c r="CX101" s="353" t="b">
        <f t="shared" si="158"/>
        <v>0</v>
      </c>
      <c r="CY101" s="353" t="b">
        <f t="shared" si="159"/>
        <v>1</v>
      </c>
      <c r="DC101" s="347">
        <f t="shared" si="115"/>
        <v>1</v>
      </c>
      <c r="DD101" s="353" t="b">
        <f t="shared" si="160"/>
        <v>0</v>
      </c>
      <c r="DE101" s="353" t="b">
        <f t="shared" si="161"/>
        <v>0</v>
      </c>
      <c r="DF101" s="353" t="b">
        <f t="shared" si="162"/>
        <v>1</v>
      </c>
      <c r="DG101" s="353"/>
      <c r="DH101" s="353"/>
      <c r="DI101" s="353"/>
      <c r="DJ101" s="353"/>
      <c r="DK101" s="353">
        <f t="shared" si="116"/>
        <v>1</v>
      </c>
      <c r="DM101" s="341">
        <f t="shared" si="163"/>
        <v>0</v>
      </c>
    </row>
    <row r="102" spans="2:117" x14ac:dyDescent="0.25">
      <c r="B102" s="373">
        <f t="shared" si="113"/>
        <v>72</v>
      </c>
      <c r="C102" s="373"/>
      <c r="D102" s="373"/>
      <c r="E102" s="373"/>
      <c r="F102" s="374" t="s">
        <v>183</v>
      </c>
      <c r="G102" s="375">
        <v>1</v>
      </c>
      <c r="H102" s="375">
        <v>1</v>
      </c>
      <c r="I102" s="375">
        <v>1</v>
      </c>
      <c r="J102" s="375">
        <v>1</v>
      </c>
      <c r="K102" s="375">
        <v>1</v>
      </c>
      <c r="L102" s="375">
        <v>1</v>
      </c>
      <c r="M102" s="375">
        <v>1</v>
      </c>
      <c r="N102" s="375">
        <v>1</v>
      </c>
      <c r="O102" s="375">
        <v>1</v>
      </c>
      <c r="P102" s="375">
        <v>1</v>
      </c>
      <c r="Q102" s="375">
        <v>1</v>
      </c>
      <c r="R102" s="375">
        <v>1</v>
      </c>
      <c r="S102" s="375">
        <v>1</v>
      </c>
      <c r="T102" s="376">
        <v>0</v>
      </c>
      <c r="U102" s="376">
        <v>0</v>
      </c>
      <c r="V102" s="376">
        <v>0</v>
      </c>
      <c r="W102" s="376">
        <v>0</v>
      </c>
      <c r="X102" s="376">
        <v>0</v>
      </c>
      <c r="Y102" s="376">
        <v>0</v>
      </c>
      <c r="Z102" s="376">
        <f t="shared" si="165"/>
        <v>1</v>
      </c>
      <c r="AA102" s="376">
        <v>1</v>
      </c>
      <c r="AB102" s="376"/>
      <c r="AC102" s="376"/>
      <c r="AD102" s="376"/>
      <c r="AE102" s="376"/>
      <c r="AF102" s="376">
        <f t="shared" si="118"/>
        <v>0</v>
      </c>
      <c r="AG102" s="376">
        <v>1</v>
      </c>
      <c r="AH102" s="376">
        <f t="shared" si="119"/>
        <v>1</v>
      </c>
      <c r="AI102" s="376"/>
      <c r="AJ102" s="376"/>
      <c r="AK102" s="373">
        <f t="shared" si="120"/>
        <v>1</v>
      </c>
      <c r="AL102" s="373"/>
      <c r="AM102" s="373"/>
      <c r="AN102" s="373"/>
      <c r="AO102" s="373"/>
      <c r="AP102" s="377">
        <f t="shared" si="164"/>
        <v>1</v>
      </c>
      <c r="AQ102" s="378"/>
      <c r="AR102" s="341">
        <f t="shared" si="121"/>
        <v>1</v>
      </c>
      <c r="AS102" s="341">
        <f t="shared" si="110"/>
        <v>0</v>
      </c>
      <c r="AT102" s="341">
        <f t="shared" si="110"/>
        <v>1</v>
      </c>
      <c r="AU102" s="361">
        <f t="shared" si="122"/>
        <v>1</v>
      </c>
      <c r="AV102" s="361">
        <f t="shared" si="123"/>
        <v>1</v>
      </c>
      <c r="AW102" s="361">
        <f t="shared" si="124"/>
        <v>1</v>
      </c>
      <c r="AX102" s="361">
        <f t="shared" si="125"/>
        <v>1</v>
      </c>
      <c r="AY102" s="361">
        <f t="shared" si="126"/>
        <v>1</v>
      </c>
      <c r="AZ102" s="361">
        <f t="shared" si="127"/>
        <v>1</v>
      </c>
      <c r="BA102" s="361">
        <f t="shared" si="128"/>
        <v>1</v>
      </c>
      <c r="BB102" s="361">
        <f t="shared" si="129"/>
        <v>1</v>
      </c>
      <c r="BC102" s="361">
        <f t="shared" si="130"/>
        <v>1</v>
      </c>
      <c r="BD102" s="361">
        <f t="shared" si="131"/>
        <v>1</v>
      </c>
      <c r="BE102" s="361">
        <f t="shared" si="132"/>
        <v>1</v>
      </c>
      <c r="BF102" s="361">
        <f t="shared" si="133"/>
        <v>1</v>
      </c>
      <c r="BG102" s="361">
        <f t="shared" si="134"/>
        <v>1</v>
      </c>
      <c r="BH102" s="361">
        <f t="shared" si="135"/>
        <v>1</v>
      </c>
      <c r="BI102" s="361">
        <f t="shared" si="136"/>
        <v>1</v>
      </c>
      <c r="BJ102" s="361">
        <f t="shared" si="137"/>
        <v>1</v>
      </c>
      <c r="BK102" s="361">
        <f t="shared" si="138"/>
        <v>1</v>
      </c>
      <c r="BL102" s="361">
        <f t="shared" si="139"/>
        <v>1</v>
      </c>
      <c r="BM102" s="361">
        <f t="shared" si="140"/>
        <v>1</v>
      </c>
      <c r="BN102" s="361">
        <f t="shared" si="141"/>
        <v>1</v>
      </c>
      <c r="BO102" s="361">
        <f t="shared" si="142"/>
        <v>1</v>
      </c>
      <c r="BP102" s="361">
        <f t="shared" si="143"/>
        <v>1</v>
      </c>
      <c r="BQ102" s="361">
        <f t="shared" si="144"/>
        <v>1</v>
      </c>
      <c r="BR102" s="361">
        <f t="shared" si="145"/>
        <v>1</v>
      </c>
      <c r="BS102" s="361">
        <f t="shared" si="146"/>
        <v>1</v>
      </c>
      <c r="BT102" s="361">
        <f t="shared" si="147"/>
        <v>1</v>
      </c>
      <c r="BU102" s="361">
        <f t="shared" si="148"/>
        <v>1</v>
      </c>
      <c r="BV102" s="361">
        <f t="shared" si="149"/>
        <v>1</v>
      </c>
      <c r="BW102" s="361">
        <f t="shared" si="150"/>
        <v>1</v>
      </c>
      <c r="BX102" s="361">
        <f t="shared" si="151"/>
        <v>1</v>
      </c>
      <c r="BY102" s="361">
        <f t="shared" si="152"/>
        <v>1</v>
      </c>
      <c r="BZ102" s="361">
        <f t="shared" si="153"/>
        <v>1</v>
      </c>
      <c r="CA102" s="361">
        <f t="shared" si="154"/>
        <v>1</v>
      </c>
      <c r="CB102" s="361">
        <f t="shared" si="155"/>
        <v>1</v>
      </c>
      <c r="CC102" s="361">
        <f t="shared" si="156"/>
        <v>1</v>
      </c>
      <c r="CH102" s="341">
        <f t="shared" si="114"/>
        <v>1</v>
      </c>
      <c r="CI102" s="341">
        <f t="shared" si="114"/>
        <v>2</v>
      </c>
      <c r="CJ102" s="341">
        <f t="shared" si="114"/>
        <v>3</v>
      </c>
      <c r="CK102" s="341">
        <f t="shared" si="114"/>
        <v>4</v>
      </c>
      <c r="CL102" s="341">
        <f t="shared" si="114"/>
        <v>5</v>
      </c>
      <c r="CM102" s="341">
        <f t="shared" si="112"/>
        <v>6</v>
      </c>
      <c r="CN102" s="341">
        <f t="shared" si="112"/>
        <v>7</v>
      </c>
      <c r="CO102" s="341">
        <f t="shared" si="112"/>
        <v>8</v>
      </c>
      <c r="CP102" s="341">
        <f t="shared" si="112"/>
        <v>9</v>
      </c>
      <c r="CQ102" s="341">
        <f t="shared" si="112"/>
        <v>10</v>
      </c>
      <c r="CT102" s="353"/>
      <c r="CU102" s="353"/>
      <c r="CV102" s="353"/>
      <c r="CW102" s="353" t="b">
        <f t="shared" si="157"/>
        <v>0</v>
      </c>
      <c r="CX102" s="353" t="b">
        <f t="shared" si="158"/>
        <v>0</v>
      </c>
      <c r="CY102" s="353" t="b">
        <f t="shared" si="159"/>
        <v>1</v>
      </c>
      <c r="DC102" s="347">
        <f t="shared" si="115"/>
        <v>1</v>
      </c>
      <c r="DD102" s="353" t="b">
        <f t="shared" si="160"/>
        <v>0</v>
      </c>
      <c r="DE102" s="353" t="b">
        <f t="shared" si="161"/>
        <v>0</v>
      </c>
      <c r="DF102" s="353" t="b">
        <f t="shared" si="162"/>
        <v>1</v>
      </c>
      <c r="DG102" s="353"/>
      <c r="DH102" s="353"/>
      <c r="DI102" s="353"/>
      <c r="DJ102" s="353"/>
      <c r="DK102" s="353">
        <f t="shared" si="116"/>
        <v>1</v>
      </c>
      <c r="DM102" s="341">
        <f t="shared" si="163"/>
        <v>0</v>
      </c>
    </row>
    <row r="103" spans="2:117" x14ac:dyDescent="0.25">
      <c r="B103" s="373">
        <f t="shared" si="113"/>
        <v>73</v>
      </c>
      <c r="C103" s="373"/>
      <c r="D103" s="373"/>
      <c r="E103" s="373"/>
      <c r="F103" s="374" t="s">
        <v>184</v>
      </c>
      <c r="G103" s="375">
        <v>1</v>
      </c>
      <c r="H103" s="375">
        <v>1</v>
      </c>
      <c r="I103" s="375">
        <v>1</v>
      </c>
      <c r="J103" s="375">
        <v>1</v>
      </c>
      <c r="K103" s="375">
        <v>1</v>
      </c>
      <c r="L103" s="375">
        <v>1</v>
      </c>
      <c r="M103" s="375">
        <v>1</v>
      </c>
      <c r="N103" s="375">
        <v>1</v>
      </c>
      <c r="O103" s="375">
        <v>1</v>
      </c>
      <c r="P103" s="375">
        <v>1</v>
      </c>
      <c r="Q103" s="375">
        <v>1</v>
      </c>
      <c r="R103" s="375">
        <v>1</v>
      </c>
      <c r="S103" s="375">
        <v>0</v>
      </c>
      <c r="T103" s="375">
        <v>1</v>
      </c>
      <c r="U103" s="375">
        <v>1</v>
      </c>
      <c r="V103" s="375">
        <v>1</v>
      </c>
      <c r="W103" s="375">
        <v>1</v>
      </c>
      <c r="X103" s="375">
        <v>1</v>
      </c>
      <c r="Y103" s="375">
        <v>1</v>
      </c>
      <c r="Z103" s="376">
        <f t="shared" si="165"/>
        <v>1</v>
      </c>
      <c r="AA103" s="376">
        <v>1</v>
      </c>
      <c r="AB103" s="376"/>
      <c r="AC103" s="376"/>
      <c r="AD103" s="376"/>
      <c r="AE103" s="376"/>
      <c r="AF103" s="376">
        <f t="shared" si="118"/>
        <v>0</v>
      </c>
      <c r="AG103" s="376">
        <v>1</v>
      </c>
      <c r="AH103" s="376">
        <f t="shared" si="119"/>
        <v>1</v>
      </c>
      <c r="AI103" s="376"/>
      <c r="AJ103" s="376"/>
      <c r="AK103" s="373">
        <f t="shared" si="120"/>
        <v>1</v>
      </c>
      <c r="AL103" s="373"/>
      <c r="AM103" s="373"/>
      <c r="AN103" s="373"/>
      <c r="AO103" s="373"/>
      <c r="AP103" s="377">
        <f t="shared" si="164"/>
        <v>1</v>
      </c>
      <c r="AQ103" s="378"/>
      <c r="AR103" s="341">
        <f t="shared" si="121"/>
        <v>1</v>
      </c>
      <c r="AS103" s="341">
        <f t="shared" si="110"/>
        <v>0</v>
      </c>
      <c r="AT103" s="341">
        <f t="shared" si="110"/>
        <v>1</v>
      </c>
      <c r="AU103" s="361">
        <f t="shared" si="122"/>
        <v>1</v>
      </c>
      <c r="AV103" s="361">
        <f t="shared" si="123"/>
        <v>1</v>
      </c>
      <c r="AW103" s="361">
        <f t="shared" si="124"/>
        <v>1</v>
      </c>
      <c r="AX103" s="361">
        <f t="shared" si="125"/>
        <v>1</v>
      </c>
      <c r="AY103" s="361">
        <f t="shared" si="126"/>
        <v>1</v>
      </c>
      <c r="AZ103" s="361">
        <f t="shared" si="127"/>
        <v>1</v>
      </c>
      <c r="BA103" s="361">
        <f t="shared" si="128"/>
        <v>1</v>
      </c>
      <c r="BB103" s="361">
        <f t="shared" si="129"/>
        <v>1</v>
      </c>
      <c r="BC103" s="361">
        <f t="shared" si="130"/>
        <v>1</v>
      </c>
      <c r="BD103" s="361">
        <f t="shared" si="131"/>
        <v>1</v>
      </c>
      <c r="BE103" s="361">
        <f t="shared" si="132"/>
        <v>1</v>
      </c>
      <c r="BF103" s="361">
        <f t="shared" si="133"/>
        <v>1</v>
      </c>
      <c r="BG103" s="361">
        <f t="shared" si="134"/>
        <v>1</v>
      </c>
      <c r="BH103" s="361">
        <f t="shared" si="135"/>
        <v>1</v>
      </c>
      <c r="BI103" s="361">
        <f t="shared" si="136"/>
        <v>1</v>
      </c>
      <c r="BJ103" s="361">
        <f t="shared" si="137"/>
        <v>1</v>
      </c>
      <c r="BK103" s="361">
        <f t="shared" si="138"/>
        <v>1</v>
      </c>
      <c r="BL103" s="361">
        <f t="shared" si="139"/>
        <v>1</v>
      </c>
      <c r="BM103" s="361">
        <f t="shared" si="140"/>
        <v>1</v>
      </c>
      <c r="BN103" s="361">
        <f t="shared" si="141"/>
        <v>1</v>
      </c>
      <c r="BO103" s="361">
        <f t="shared" si="142"/>
        <v>1</v>
      </c>
      <c r="BP103" s="361">
        <f t="shared" si="143"/>
        <v>1</v>
      </c>
      <c r="BQ103" s="361">
        <f t="shared" si="144"/>
        <v>1</v>
      </c>
      <c r="BR103" s="361">
        <f t="shared" si="145"/>
        <v>1</v>
      </c>
      <c r="BS103" s="361">
        <f t="shared" si="146"/>
        <v>1</v>
      </c>
      <c r="BT103" s="361">
        <f t="shared" si="147"/>
        <v>1</v>
      </c>
      <c r="BU103" s="361">
        <f t="shared" si="148"/>
        <v>1</v>
      </c>
      <c r="BV103" s="361">
        <f t="shared" si="149"/>
        <v>1</v>
      </c>
      <c r="BW103" s="361">
        <f t="shared" si="150"/>
        <v>1</v>
      </c>
      <c r="BX103" s="361">
        <f t="shared" si="151"/>
        <v>1</v>
      </c>
      <c r="BY103" s="361">
        <f t="shared" si="152"/>
        <v>1</v>
      </c>
      <c r="BZ103" s="361">
        <f t="shared" si="153"/>
        <v>1</v>
      </c>
      <c r="CA103" s="361">
        <f t="shared" si="154"/>
        <v>1</v>
      </c>
      <c r="CB103" s="361">
        <f t="shared" si="155"/>
        <v>1</v>
      </c>
      <c r="CC103" s="361">
        <f t="shared" si="156"/>
        <v>1</v>
      </c>
      <c r="CH103" s="341">
        <f t="shared" si="114"/>
        <v>1</v>
      </c>
      <c r="CI103" s="341">
        <f t="shared" si="114"/>
        <v>2</v>
      </c>
      <c r="CJ103" s="341">
        <f t="shared" si="114"/>
        <v>3</v>
      </c>
      <c r="CK103" s="341">
        <f t="shared" si="114"/>
        <v>4</v>
      </c>
      <c r="CL103" s="341">
        <f t="shared" si="114"/>
        <v>5</v>
      </c>
      <c r="CM103" s="341">
        <f t="shared" si="112"/>
        <v>6</v>
      </c>
      <c r="CN103" s="341">
        <f t="shared" si="112"/>
        <v>7</v>
      </c>
      <c r="CO103" s="341">
        <f t="shared" si="112"/>
        <v>8</v>
      </c>
      <c r="CP103" s="341">
        <f t="shared" si="112"/>
        <v>9</v>
      </c>
      <c r="CQ103" s="341">
        <f t="shared" si="112"/>
        <v>10</v>
      </c>
      <c r="CT103" s="353"/>
      <c r="CU103" s="353"/>
      <c r="CV103" s="353"/>
      <c r="CW103" s="353" t="b">
        <f t="shared" si="157"/>
        <v>1</v>
      </c>
      <c r="CX103" s="353" t="b">
        <f t="shared" si="158"/>
        <v>0</v>
      </c>
      <c r="CY103" s="353" t="b">
        <f t="shared" si="159"/>
        <v>1</v>
      </c>
      <c r="DC103" s="347">
        <f t="shared" si="115"/>
        <v>2</v>
      </c>
      <c r="DD103" s="353" t="b">
        <f t="shared" si="160"/>
        <v>1</v>
      </c>
      <c r="DE103" s="353" t="b">
        <f t="shared" si="161"/>
        <v>0</v>
      </c>
      <c r="DF103" s="353" t="b">
        <f t="shared" si="162"/>
        <v>1</v>
      </c>
      <c r="DG103" s="353"/>
      <c r="DH103" s="353"/>
      <c r="DI103" s="353"/>
      <c r="DJ103" s="353"/>
      <c r="DK103" s="353">
        <f t="shared" si="116"/>
        <v>2</v>
      </c>
      <c r="DM103" s="341">
        <f t="shared" si="163"/>
        <v>0</v>
      </c>
    </row>
    <row r="104" spans="2:117" x14ac:dyDescent="0.25">
      <c r="B104" s="373" t="str">
        <f t="shared" si="113"/>
        <v/>
      </c>
      <c r="C104" s="373"/>
      <c r="D104" s="373"/>
      <c r="E104" s="373"/>
      <c r="F104" s="374"/>
      <c r="G104" s="375"/>
      <c r="H104" s="375"/>
      <c r="I104" s="375"/>
      <c r="J104" s="375"/>
      <c r="K104" s="375"/>
      <c r="L104" s="375"/>
      <c r="M104" s="375"/>
      <c r="N104" s="375"/>
      <c r="O104" s="375"/>
      <c r="P104" s="375"/>
      <c r="Q104" s="375"/>
      <c r="R104" s="375"/>
      <c r="S104" s="375"/>
      <c r="T104" s="375"/>
      <c r="U104" s="375"/>
      <c r="V104" s="375"/>
      <c r="W104" s="375"/>
      <c r="X104" s="375"/>
      <c r="Y104" s="375"/>
      <c r="Z104" s="376" t="str">
        <f t="shared" si="165"/>
        <v/>
      </c>
      <c r="AA104" s="376"/>
      <c r="AB104" s="376"/>
      <c r="AC104" s="376"/>
      <c r="AD104" s="376"/>
      <c r="AE104" s="376"/>
      <c r="AF104" s="376" t="str">
        <f t="shared" si="118"/>
        <v/>
      </c>
      <c r="AG104" s="376"/>
      <c r="AH104" s="376" t="str">
        <f t="shared" si="119"/>
        <v/>
      </c>
      <c r="AI104" s="376"/>
      <c r="AJ104" s="376"/>
      <c r="AK104" s="373" t="str">
        <f t="shared" si="120"/>
        <v/>
      </c>
      <c r="AL104" s="373"/>
      <c r="AM104" s="373"/>
      <c r="AN104" s="373"/>
      <c r="AO104" s="373"/>
      <c r="AP104" s="377" t="str">
        <f t="shared" si="164"/>
        <v/>
      </c>
      <c r="AQ104" s="378"/>
      <c r="AR104" s="341">
        <f t="shared" si="121"/>
        <v>0</v>
      </c>
      <c r="AS104" s="341" t="str">
        <f t="shared" si="110"/>
        <v/>
      </c>
      <c r="AT104" s="341" t="str">
        <f t="shared" si="110"/>
        <v/>
      </c>
      <c r="AU104" s="361">
        <f t="shared" si="122"/>
        <v>0</v>
      </c>
      <c r="AV104" s="361">
        <f t="shared" si="123"/>
        <v>0</v>
      </c>
      <c r="AW104" s="361">
        <f t="shared" si="124"/>
        <v>0</v>
      </c>
      <c r="AX104" s="361">
        <f t="shared" si="125"/>
        <v>0</v>
      </c>
      <c r="AY104" s="361">
        <f t="shared" si="126"/>
        <v>0</v>
      </c>
      <c r="AZ104" s="361">
        <f t="shared" si="127"/>
        <v>0</v>
      </c>
      <c r="BA104" s="361">
        <f t="shared" si="128"/>
        <v>0</v>
      </c>
      <c r="BB104" s="361">
        <f t="shared" si="129"/>
        <v>0</v>
      </c>
      <c r="BC104" s="361">
        <f t="shared" si="130"/>
        <v>0</v>
      </c>
      <c r="BD104" s="361">
        <f t="shared" si="131"/>
        <v>0</v>
      </c>
      <c r="BE104" s="361">
        <f t="shared" si="132"/>
        <v>0</v>
      </c>
      <c r="BF104" s="361">
        <f t="shared" si="133"/>
        <v>0</v>
      </c>
      <c r="BG104" s="361">
        <f t="shared" si="134"/>
        <v>0</v>
      </c>
      <c r="BH104" s="361">
        <f t="shared" si="135"/>
        <v>0</v>
      </c>
      <c r="BI104" s="361">
        <f t="shared" si="136"/>
        <v>0</v>
      </c>
      <c r="BJ104" s="361">
        <f t="shared" si="137"/>
        <v>0</v>
      </c>
      <c r="BK104" s="361">
        <f t="shared" si="138"/>
        <v>0</v>
      </c>
      <c r="BL104" s="361">
        <f t="shared" si="139"/>
        <v>0</v>
      </c>
      <c r="BM104" s="361">
        <f t="shared" si="140"/>
        <v>0</v>
      </c>
      <c r="BN104" s="361">
        <f t="shared" si="141"/>
        <v>1</v>
      </c>
      <c r="BO104" s="361">
        <f t="shared" si="142"/>
        <v>0</v>
      </c>
      <c r="BP104" s="361">
        <f t="shared" si="143"/>
        <v>1</v>
      </c>
      <c r="BQ104" s="361">
        <f t="shared" si="144"/>
        <v>1</v>
      </c>
      <c r="BR104" s="361">
        <f t="shared" si="145"/>
        <v>1</v>
      </c>
      <c r="BS104" s="361">
        <f t="shared" si="146"/>
        <v>1</v>
      </c>
      <c r="BT104" s="361">
        <f t="shared" si="147"/>
        <v>1</v>
      </c>
      <c r="BU104" s="361">
        <f t="shared" si="148"/>
        <v>1</v>
      </c>
      <c r="BV104" s="361">
        <f t="shared" si="149"/>
        <v>1</v>
      </c>
      <c r="BW104" s="361">
        <f t="shared" si="150"/>
        <v>1</v>
      </c>
      <c r="BX104" s="361">
        <f t="shared" si="151"/>
        <v>1</v>
      </c>
      <c r="BY104" s="361">
        <f t="shared" si="152"/>
        <v>1</v>
      </c>
      <c r="BZ104" s="361">
        <f t="shared" si="153"/>
        <v>1</v>
      </c>
      <c r="CA104" s="361">
        <f t="shared" si="154"/>
        <v>1</v>
      </c>
      <c r="CB104" s="361">
        <f t="shared" si="155"/>
        <v>1</v>
      </c>
      <c r="CC104" s="361">
        <f t="shared" si="156"/>
        <v>1</v>
      </c>
      <c r="CH104" s="341" t="str">
        <f t="shared" si="114"/>
        <v/>
      </c>
      <c r="CI104" s="341" t="str">
        <f t="shared" si="114"/>
        <v/>
      </c>
      <c r="CJ104" s="341" t="str">
        <f t="shared" si="114"/>
        <v/>
      </c>
      <c r="CK104" s="341" t="str">
        <f t="shared" si="114"/>
        <v/>
      </c>
      <c r="CL104" s="341" t="str">
        <f t="shared" si="114"/>
        <v/>
      </c>
      <c r="CM104" s="341" t="str">
        <f t="shared" si="112"/>
        <v/>
      </c>
      <c r="CN104" s="341" t="str">
        <f t="shared" si="112"/>
        <v/>
      </c>
      <c r="CO104" s="341" t="str">
        <f t="shared" si="112"/>
        <v/>
      </c>
      <c r="CP104" s="341" t="str">
        <f t="shared" si="112"/>
        <v/>
      </c>
      <c r="CQ104" s="341" t="str">
        <f t="shared" si="112"/>
        <v/>
      </c>
      <c r="CT104" s="353"/>
      <c r="CU104" s="353"/>
      <c r="CV104" s="353"/>
      <c r="CW104" s="353" t="b">
        <f t="shared" si="157"/>
        <v>0</v>
      </c>
      <c r="CX104" s="353" t="b">
        <f t="shared" si="158"/>
        <v>0</v>
      </c>
      <c r="CY104" s="353" t="b">
        <f t="shared" si="159"/>
        <v>1</v>
      </c>
      <c r="DC104" s="347">
        <f t="shared" si="115"/>
        <v>1</v>
      </c>
      <c r="DD104" s="353" t="b">
        <f t="shared" si="160"/>
        <v>0</v>
      </c>
      <c r="DE104" s="353" t="b">
        <f t="shared" si="161"/>
        <v>0</v>
      </c>
      <c r="DF104" s="353" t="b">
        <f t="shared" si="162"/>
        <v>1</v>
      </c>
      <c r="DG104" s="353"/>
      <c r="DH104" s="353"/>
      <c r="DI104" s="353"/>
      <c r="DJ104" s="353"/>
      <c r="DK104" s="353">
        <f t="shared" si="116"/>
        <v>1</v>
      </c>
      <c r="DM104" s="341" t="str">
        <f t="shared" si="163"/>
        <v/>
      </c>
    </row>
    <row r="105" spans="2:117" x14ac:dyDescent="0.25">
      <c r="B105" s="373" t="str">
        <f t="shared" si="113"/>
        <v/>
      </c>
      <c r="C105" s="373"/>
      <c r="D105" s="373"/>
      <c r="E105" s="373"/>
      <c r="F105" s="374"/>
      <c r="G105" s="375"/>
      <c r="H105" s="375"/>
      <c r="I105" s="375"/>
      <c r="J105" s="375"/>
      <c r="K105" s="375"/>
      <c r="L105" s="375"/>
      <c r="M105" s="375"/>
      <c r="N105" s="375"/>
      <c r="O105" s="375"/>
      <c r="P105" s="375"/>
      <c r="Q105" s="375"/>
      <c r="R105" s="375"/>
      <c r="S105" s="375"/>
      <c r="T105" s="376"/>
      <c r="U105" s="376"/>
      <c r="V105" s="376"/>
      <c r="W105" s="376"/>
      <c r="X105" s="376"/>
      <c r="Y105" s="376"/>
      <c r="Z105" s="376"/>
      <c r="AA105" s="376"/>
      <c r="AB105" s="376"/>
      <c r="AC105" s="376"/>
      <c r="AD105" s="376"/>
      <c r="AE105" s="376"/>
      <c r="AF105" s="376" t="str">
        <f t="shared" si="118"/>
        <v/>
      </c>
      <c r="AG105" s="376"/>
      <c r="AH105" s="376" t="str">
        <f t="shared" si="119"/>
        <v/>
      </c>
      <c r="AI105" s="376"/>
      <c r="AJ105" s="376"/>
      <c r="AK105" s="373" t="str">
        <f t="shared" si="120"/>
        <v/>
      </c>
      <c r="AL105" s="373"/>
      <c r="AM105" s="373"/>
      <c r="AN105" s="373"/>
      <c r="AO105" s="373"/>
      <c r="AP105" s="377" t="str">
        <f t="shared" si="164"/>
        <v/>
      </c>
      <c r="AQ105" s="378"/>
      <c r="AR105" s="341">
        <f t="shared" si="121"/>
        <v>0</v>
      </c>
      <c r="AS105" s="341" t="str">
        <f t="shared" si="110"/>
        <v/>
      </c>
      <c r="AT105" s="341" t="str">
        <f t="shared" si="110"/>
        <v/>
      </c>
      <c r="AU105" s="361">
        <f t="shared" si="122"/>
        <v>0</v>
      </c>
      <c r="AV105" s="361">
        <f t="shared" si="123"/>
        <v>0</v>
      </c>
      <c r="AW105" s="361">
        <f t="shared" si="124"/>
        <v>0</v>
      </c>
      <c r="AX105" s="361">
        <f t="shared" si="125"/>
        <v>0</v>
      </c>
      <c r="AY105" s="361">
        <f t="shared" si="126"/>
        <v>0</v>
      </c>
      <c r="AZ105" s="361">
        <f t="shared" si="127"/>
        <v>0</v>
      </c>
      <c r="BA105" s="361">
        <f t="shared" si="128"/>
        <v>0</v>
      </c>
      <c r="BB105" s="361">
        <f t="shared" si="129"/>
        <v>0</v>
      </c>
      <c r="BC105" s="361">
        <f t="shared" si="130"/>
        <v>0</v>
      </c>
      <c r="BD105" s="361">
        <f t="shared" si="131"/>
        <v>0</v>
      </c>
      <c r="BE105" s="361">
        <f t="shared" si="132"/>
        <v>0</v>
      </c>
      <c r="BF105" s="361">
        <f t="shared" si="133"/>
        <v>0</v>
      </c>
      <c r="BG105" s="361">
        <f t="shared" si="134"/>
        <v>0</v>
      </c>
      <c r="BH105" s="361">
        <f t="shared" si="135"/>
        <v>0</v>
      </c>
      <c r="BI105" s="361">
        <f t="shared" si="136"/>
        <v>0</v>
      </c>
      <c r="BJ105" s="361">
        <f t="shared" si="137"/>
        <v>0</v>
      </c>
      <c r="BK105" s="361">
        <f t="shared" si="138"/>
        <v>0</v>
      </c>
      <c r="BL105" s="361">
        <f t="shared" si="139"/>
        <v>0</v>
      </c>
      <c r="BM105" s="361">
        <f t="shared" si="140"/>
        <v>0</v>
      </c>
      <c r="BN105" s="361">
        <f t="shared" si="141"/>
        <v>1</v>
      </c>
      <c r="BO105" s="361">
        <f t="shared" si="142"/>
        <v>0</v>
      </c>
      <c r="BP105" s="361">
        <f t="shared" si="143"/>
        <v>1</v>
      </c>
      <c r="BQ105" s="361">
        <f t="shared" si="144"/>
        <v>1</v>
      </c>
      <c r="BR105" s="361">
        <f t="shared" si="145"/>
        <v>1</v>
      </c>
      <c r="BS105" s="361">
        <f t="shared" si="146"/>
        <v>1</v>
      </c>
      <c r="BT105" s="361">
        <f t="shared" si="147"/>
        <v>1</v>
      </c>
      <c r="BU105" s="361">
        <f t="shared" si="148"/>
        <v>1</v>
      </c>
      <c r="BV105" s="361">
        <f t="shared" si="149"/>
        <v>1</v>
      </c>
      <c r="BW105" s="361">
        <f t="shared" si="150"/>
        <v>1</v>
      </c>
      <c r="BX105" s="361">
        <f t="shared" si="151"/>
        <v>1</v>
      </c>
      <c r="BY105" s="361">
        <f t="shared" si="152"/>
        <v>1</v>
      </c>
      <c r="BZ105" s="361">
        <f t="shared" si="153"/>
        <v>1</v>
      </c>
      <c r="CA105" s="361">
        <f t="shared" si="154"/>
        <v>1</v>
      </c>
      <c r="CB105" s="361">
        <f t="shared" si="155"/>
        <v>1</v>
      </c>
      <c r="CC105" s="361">
        <f t="shared" si="156"/>
        <v>1</v>
      </c>
      <c r="CH105" s="341" t="str">
        <f t="shared" si="114"/>
        <v/>
      </c>
      <c r="CI105" s="341" t="str">
        <f t="shared" si="114"/>
        <v/>
      </c>
      <c r="CJ105" s="341" t="str">
        <f t="shared" si="114"/>
        <v/>
      </c>
      <c r="CK105" s="341" t="str">
        <f t="shared" si="114"/>
        <v/>
      </c>
      <c r="CL105" s="341" t="str">
        <f t="shared" si="114"/>
        <v/>
      </c>
      <c r="CM105" s="341" t="str">
        <f t="shared" si="112"/>
        <v/>
      </c>
      <c r="CN105" s="341" t="str">
        <f t="shared" si="112"/>
        <v/>
      </c>
      <c r="CO105" s="341" t="str">
        <f t="shared" si="112"/>
        <v/>
      </c>
      <c r="CP105" s="341" t="str">
        <f t="shared" si="112"/>
        <v/>
      </c>
      <c r="CQ105" s="341" t="str">
        <f t="shared" si="112"/>
        <v/>
      </c>
      <c r="CT105" s="353"/>
      <c r="CU105" s="353"/>
      <c r="CV105" s="353"/>
      <c r="CW105" s="353" t="b">
        <f t="shared" si="157"/>
        <v>0</v>
      </c>
      <c r="CX105" s="353" t="b">
        <f t="shared" si="158"/>
        <v>0</v>
      </c>
      <c r="CY105" s="353" t="b">
        <f t="shared" si="159"/>
        <v>1</v>
      </c>
      <c r="DC105" s="347">
        <f t="shared" si="115"/>
        <v>1</v>
      </c>
      <c r="DD105" s="353" t="b">
        <f t="shared" si="160"/>
        <v>0</v>
      </c>
      <c r="DE105" s="353" t="b">
        <f t="shared" si="161"/>
        <v>0</v>
      </c>
      <c r="DF105" s="353" t="b">
        <f t="shared" si="162"/>
        <v>1</v>
      </c>
      <c r="DG105" s="353"/>
      <c r="DH105" s="353"/>
      <c r="DI105" s="353"/>
      <c r="DJ105" s="353"/>
      <c r="DK105" s="353">
        <f t="shared" si="116"/>
        <v>1</v>
      </c>
      <c r="DM105" s="341" t="str">
        <f t="shared" si="163"/>
        <v/>
      </c>
    </row>
    <row r="106" spans="2:117" x14ac:dyDescent="0.25">
      <c r="B106" s="373">
        <f t="shared" si="113"/>
        <v>76</v>
      </c>
      <c r="C106" s="373"/>
      <c r="D106" s="373"/>
      <c r="E106" s="373"/>
      <c r="F106" s="374" t="s">
        <v>185</v>
      </c>
      <c r="G106" s="375">
        <v>1</v>
      </c>
      <c r="H106" s="375">
        <v>1</v>
      </c>
      <c r="I106" s="375">
        <v>1</v>
      </c>
      <c r="J106" s="375">
        <v>1</v>
      </c>
      <c r="K106" s="375">
        <v>1</v>
      </c>
      <c r="L106" s="375">
        <v>1</v>
      </c>
      <c r="M106" s="375">
        <v>1</v>
      </c>
      <c r="N106" s="375">
        <v>1</v>
      </c>
      <c r="O106" s="375">
        <v>1</v>
      </c>
      <c r="P106" s="375">
        <v>1</v>
      </c>
      <c r="Q106" s="375">
        <v>1</v>
      </c>
      <c r="R106" s="375">
        <v>1</v>
      </c>
      <c r="S106" s="375">
        <v>1</v>
      </c>
      <c r="T106" s="376">
        <v>0</v>
      </c>
      <c r="U106" s="376">
        <v>0</v>
      </c>
      <c r="V106" s="376">
        <v>0</v>
      </c>
      <c r="W106" s="376">
        <v>0</v>
      </c>
      <c r="X106" s="376">
        <v>0</v>
      </c>
      <c r="Y106" s="376">
        <v>0</v>
      </c>
      <c r="Z106" s="376">
        <f t="shared" ref="Z106:Z114" si="166">IF(F106="","",IF(AND(S106=1,T106=1),$AS$1,IF(OR(S106=1,AND(T106=1,U106=1,V106=1,W106=1,X106=1,Y106=1)),1,0)))</f>
        <v>1</v>
      </c>
      <c r="AA106" s="376">
        <v>1</v>
      </c>
      <c r="AB106" s="376"/>
      <c r="AC106" s="376"/>
      <c r="AD106" s="376"/>
      <c r="AE106" s="376"/>
      <c r="AF106" s="376">
        <f t="shared" si="118"/>
        <v>0</v>
      </c>
      <c r="AG106" s="376">
        <v>1</v>
      </c>
      <c r="AH106" s="376">
        <f t="shared" si="119"/>
        <v>1</v>
      </c>
      <c r="AI106" s="376"/>
      <c r="AJ106" s="376"/>
      <c r="AK106" s="373">
        <f t="shared" si="120"/>
        <v>1</v>
      </c>
      <c r="AL106" s="373"/>
      <c r="AM106" s="373"/>
      <c r="AN106" s="373"/>
      <c r="AO106" s="373"/>
      <c r="AP106" s="377">
        <f t="shared" si="164"/>
        <v>1</v>
      </c>
      <c r="AQ106" s="378"/>
      <c r="AR106" s="341">
        <f t="shared" si="121"/>
        <v>1</v>
      </c>
      <c r="AS106" s="341">
        <f t="shared" si="110"/>
        <v>0</v>
      </c>
      <c r="AT106" s="341">
        <f t="shared" si="110"/>
        <v>1</v>
      </c>
      <c r="AU106" s="361">
        <f t="shared" si="122"/>
        <v>1</v>
      </c>
      <c r="AV106" s="361">
        <f t="shared" si="123"/>
        <v>1</v>
      </c>
      <c r="AW106" s="361">
        <f t="shared" si="124"/>
        <v>1</v>
      </c>
      <c r="AX106" s="361">
        <f t="shared" si="125"/>
        <v>1</v>
      </c>
      <c r="AY106" s="361">
        <f t="shared" si="126"/>
        <v>1</v>
      </c>
      <c r="AZ106" s="361">
        <f t="shared" si="127"/>
        <v>1</v>
      </c>
      <c r="BA106" s="361">
        <f t="shared" si="128"/>
        <v>1</v>
      </c>
      <c r="BB106" s="361">
        <f t="shared" si="129"/>
        <v>1</v>
      </c>
      <c r="BC106" s="361">
        <f t="shared" si="130"/>
        <v>1</v>
      </c>
      <c r="BD106" s="361">
        <f t="shared" si="131"/>
        <v>1</v>
      </c>
      <c r="BE106" s="361">
        <f t="shared" si="132"/>
        <v>1</v>
      </c>
      <c r="BF106" s="361">
        <f t="shared" si="133"/>
        <v>1</v>
      </c>
      <c r="BG106" s="361">
        <f t="shared" si="134"/>
        <v>1</v>
      </c>
      <c r="BH106" s="361">
        <f t="shared" si="135"/>
        <v>1</v>
      </c>
      <c r="BI106" s="361">
        <f t="shared" si="136"/>
        <v>1</v>
      </c>
      <c r="BJ106" s="361">
        <f t="shared" si="137"/>
        <v>1</v>
      </c>
      <c r="BK106" s="361">
        <f t="shared" si="138"/>
        <v>1</v>
      </c>
      <c r="BL106" s="361">
        <f t="shared" si="139"/>
        <v>1</v>
      </c>
      <c r="BM106" s="361">
        <f t="shared" si="140"/>
        <v>1</v>
      </c>
      <c r="BN106" s="361">
        <f t="shared" si="141"/>
        <v>1</v>
      </c>
      <c r="BO106" s="361">
        <f t="shared" si="142"/>
        <v>1</v>
      </c>
      <c r="BP106" s="361">
        <f t="shared" si="143"/>
        <v>1</v>
      </c>
      <c r="BQ106" s="361">
        <f t="shared" si="144"/>
        <v>1</v>
      </c>
      <c r="BR106" s="361">
        <f t="shared" si="145"/>
        <v>1</v>
      </c>
      <c r="BS106" s="361">
        <f t="shared" si="146"/>
        <v>1</v>
      </c>
      <c r="BT106" s="361">
        <f t="shared" si="147"/>
        <v>1</v>
      </c>
      <c r="BU106" s="361">
        <f t="shared" si="148"/>
        <v>1</v>
      </c>
      <c r="BV106" s="361">
        <f t="shared" si="149"/>
        <v>1</v>
      </c>
      <c r="BW106" s="361">
        <f t="shared" si="150"/>
        <v>1</v>
      </c>
      <c r="BX106" s="361">
        <f t="shared" si="151"/>
        <v>1</v>
      </c>
      <c r="BY106" s="361">
        <f t="shared" si="152"/>
        <v>1</v>
      </c>
      <c r="BZ106" s="361">
        <f t="shared" si="153"/>
        <v>1</v>
      </c>
      <c r="CA106" s="361">
        <f t="shared" si="154"/>
        <v>1</v>
      </c>
      <c r="CB106" s="361">
        <f t="shared" si="155"/>
        <v>1</v>
      </c>
      <c r="CC106" s="361">
        <f t="shared" si="156"/>
        <v>1</v>
      </c>
      <c r="CH106" s="341">
        <f t="shared" si="114"/>
        <v>1</v>
      </c>
      <c r="CI106" s="341">
        <f t="shared" si="114"/>
        <v>2</v>
      </c>
      <c r="CJ106" s="341">
        <f t="shared" si="114"/>
        <v>3</v>
      </c>
      <c r="CK106" s="341">
        <f t="shared" si="114"/>
        <v>4</v>
      </c>
      <c r="CL106" s="341">
        <f t="shared" si="114"/>
        <v>5</v>
      </c>
      <c r="CM106" s="341">
        <f t="shared" si="112"/>
        <v>6</v>
      </c>
      <c r="CN106" s="341">
        <f t="shared" si="112"/>
        <v>7</v>
      </c>
      <c r="CO106" s="341">
        <f t="shared" si="112"/>
        <v>8</v>
      </c>
      <c r="CP106" s="341">
        <f t="shared" si="112"/>
        <v>9</v>
      </c>
      <c r="CQ106" s="341">
        <f t="shared" si="112"/>
        <v>10</v>
      </c>
      <c r="CT106" s="353"/>
      <c r="CU106" s="353"/>
      <c r="CV106" s="353"/>
      <c r="CW106" s="353" t="b">
        <f t="shared" si="157"/>
        <v>0</v>
      </c>
      <c r="CX106" s="353" t="b">
        <f t="shared" si="158"/>
        <v>0</v>
      </c>
      <c r="CY106" s="353" t="b">
        <f t="shared" si="159"/>
        <v>1</v>
      </c>
      <c r="DC106" s="347">
        <f t="shared" si="115"/>
        <v>1</v>
      </c>
      <c r="DD106" s="353" t="b">
        <f t="shared" si="160"/>
        <v>0</v>
      </c>
      <c r="DE106" s="353" t="b">
        <f t="shared" si="161"/>
        <v>0</v>
      </c>
      <c r="DF106" s="353" t="b">
        <f t="shared" si="162"/>
        <v>1</v>
      </c>
      <c r="DG106" s="353"/>
      <c r="DH106" s="353"/>
      <c r="DI106" s="353"/>
      <c r="DJ106" s="353"/>
      <c r="DK106" s="353">
        <f t="shared" si="116"/>
        <v>1</v>
      </c>
      <c r="DM106" s="341">
        <f t="shared" si="163"/>
        <v>0</v>
      </c>
    </row>
    <row r="107" spans="2:117" x14ac:dyDescent="0.25">
      <c r="B107" s="373">
        <f t="shared" si="113"/>
        <v>77</v>
      </c>
      <c r="C107" s="373"/>
      <c r="D107" s="373"/>
      <c r="E107" s="373"/>
      <c r="F107" s="374" t="s">
        <v>1032</v>
      </c>
      <c r="G107" s="375">
        <v>1</v>
      </c>
      <c r="H107" s="375">
        <v>1</v>
      </c>
      <c r="I107" s="375">
        <v>1</v>
      </c>
      <c r="J107" s="375">
        <v>1</v>
      </c>
      <c r="K107" s="375">
        <v>1</v>
      </c>
      <c r="L107" s="375">
        <v>1</v>
      </c>
      <c r="M107" s="375">
        <v>1</v>
      </c>
      <c r="N107" s="375">
        <v>1</v>
      </c>
      <c r="O107" s="375">
        <v>1</v>
      </c>
      <c r="P107" s="375">
        <v>1</v>
      </c>
      <c r="Q107" s="375">
        <v>1</v>
      </c>
      <c r="R107" s="375">
        <v>1</v>
      </c>
      <c r="S107" s="375">
        <v>1</v>
      </c>
      <c r="T107" s="376">
        <v>0</v>
      </c>
      <c r="U107" s="376">
        <v>0</v>
      </c>
      <c r="V107" s="376">
        <v>0</v>
      </c>
      <c r="W107" s="376">
        <v>0</v>
      </c>
      <c r="X107" s="376">
        <v>0</v>
      </c>
      <c r="Y107" s="376">
        <v>0</v>
      </c>
      <c r="Z107" s="376">
        <f t="shared" si="166"/>
        <v>1</v>
      </c>
      <c r="AA107" s="376">
        <v>0</v>
      </c>
      <c r="AB107" s="376" t="s">
        <v>418</v>
      </c>
      <c r="AC107" s="376">
        <v>1</v>
      </c>
      <c r="AD107" s="376">
        <v>1</v>
      </c>
      <c r="AE107" s="376">
        <v>1</v>
      </c>
      <c r="AF107" s="376">
        <f t="shared" si="118"/>
        <v>0</v>
      </c>
      <c r="AG107" s="376">
        <v>1</v>
      </c>
      <c r="AH107" s="376">
        <f t="shared" si="119"/>
        <v>1</v>
      </c>
      <c r="AI107" s="376"/>
      <c r="AJ107" s="376"/>
      <c r="AK107" s="373">
        <f t="shared" si="120"/>
        <v>1</v>
      </c>
      <c r="AL107" s="373"/>
      <c r="AM107" s="373"/>
      <c r="AN107" s="373"/>
      <c r="AO107" s="373"/>
      <c r="AP107" s="377">
        <f t="shared" si="164"/>
        <v>1</v>
      </c>
      <c r="AQ107" s="378"/>
      <c r="AR107" s="341">
        <f t="shared" si="121"/>
        <v>1</v>
      </c>
      <c r="AS107" s="341">
        <f t="shared" si="110"/>
        <v>0</v>
      </c>
      <c r="AT107" s="341">
        <f t="shared" si="110"/>
        <v>1</v>
      </c>
      <c r="AU107" s="361">
        <f t="shared" si="122"/>
        <v>1</v>
      </c>
      <c r="AV107" s="361">
        <f t="shared" si="123"/>
        <v>1</v>
      </c>
      <c r="AW107" s="361">
        <f t="shared" si="124"/>
        <v>1</v>
      </c>
      <c r="AX107" s="361">
        <f t="shared" si="125"/>
        <v>1</v>
      </c>
      <c r="AY107" s="361">
        <f t="shared" si="126"/>
        <v>1</v>
      </c>
      <c r="AZ107" s="361">
        <f t="shared" si="127"/>
        <v>1</v>
      </c>
      <c r="BA107" s="361">
        <f t="shared" si="128"/>
        <v>1</v>
      </c>
      <c r="BB107" s="361">
        <f t="shared" si="129"/>
        <v>1</v>
      </c>
      <c r="BC107" s="361">
        <f t="shared" si="130"/>
        <v>1</v>
      </c>
      <c r="BD107" s="361">
        <f t="shared" si="131"/>
        <v>1</v>
      </c>
      <c r="BE107" s="361">
        <f t="shared" si="132"/>
        <v>1</v>
      </c>
      <c r="BF107" s="361">
        <f t="shared" si="133"/>
        <v>1</v>
      </c>
      <c r="BG107" s="361">
        <f t="shared" si="134"/>
        <v>1</v>
      </c>
      <c r="BH107" s="361">
        <f t="shared" si="135"/>
        <v>1</v>
      </c>
      <c r="BI107" s="361">
        <f t="shared" si="136"/>
        <v>1</v>
      </c>
      <c r="BJ107" s="361">
        <f t="shared" si="137"/>
        <v>1</v>
      </c>
      <c r="BK107" s="361">
        <f t="shared" si="138"/>
        <v>1</v>
      </c>
      <c r="BL107" s="361">
        <f t="shared" si="139"/>
        <v>1</v>
      </c>
      <c r="BM107" s="361">
        <f t="shared" si="140"/>
        <v>1</v>
      </c>
      <c r="BN107" s="361">
        <f t="shared" si="141"/>
        <v>1</v>
      </c>
      <c r="BO107" s="361">
        <f t="shared" si="142"/>
        <v>1</v>
      </c>
      <c r="BP107" s="361">
        <f t="shared" si="143"/>
        <v>1</v>
      </c>
      <c r="BQ107" s="361">
        <f t="shared" si="144"/>
        <v>1</v>
      </c>
      <c r="BR107" s="361">
        <f t="shared" si="145"/>
        <v>1</v>
      </c>
      <c r="BS107" s="361">
        <f t="shared" si="146"/>
        <v>1</v>
      </c>
      <c r="BT107" s="361">
        <f t="shared" si="147"/>
        <v>1</v>
      </c>
      <c r="BU107" s="361">
        <f t="shared" si="148"/>
        <v>1</v>
      </c>
      <c r="BV107" s="361">
        <f t="shared" si="149"/>
        <v>1</v>
      </c>
      <c r="BW107" s="361">
        <f t="shared" si="150"/>
        <v>1</v>
      </c>
      <c r="BX107" s="361">
        <f t="shared" si="151"/>
        <v>1</v>
      </c>
      <c r="BY107" s="361">
        <f t="shared" si="152"/>
        <v>1</v>
      </c>
      <c r="BZ107" s="361">
        <f t="shared" si="153"/>
        <v>1</v>
      </c>
      <c r="CA107" s="361">
        <f t="shared" si="154"/>
        <v>1</v>
      </c>
      <c r="CB107" s="361">
        <f t="shared" si="155"/>
        <v>1</v>
      </c>
      <c r="CC107" s="361">
        <f t="shared" si="156"/>
        <v>1</v>
      </c>
      <c r="CH107" s="341">
        <f t="shared" si="114"/>
        <v>1</v>
      </c>
      <c r="CI107" s="341">
        <f t="shared" si="114"/>
        <v>2</v>
      </c>
      <c r="CJ107" s="341">
        <f t="shared" si="114"/>
        <v>3</v>
      </c>
      <c r="CK107" s="341">
        <f t="shared" si="114"/>
        <v>4</v>
      </c>
      <c r="CL107" s="341">
        <f t="shared" si="114"/>
        <v>5</v>
      </c>
      <c r="CM107" s="341">
        <f t="shared" si="112"/>
        <v>6</v>
      </c>
      <c r="CN107" s="341">
        <f t="shared" si="112"/>
        <v>7</v>
      </c>
      <c r="CO107" s="341">
        <f t="shared" si="112"/>
        <v>8</v>
      </c>
      <c r="CP107" s="341">
        <f t="shared" si="112"/>
        <v>9</v>
      </c>
      <c r="CQ107" s="341">
        <f t="shared" si="112"/>
        <v>10</v>
      </c>
      <c r="CT107" s="353"/>
      <c r="CU107" s="353"/>
      <c r="CV107" s="353"/>
      <c r="CW107" s="353" t="b">
        <f t="shared" si="157"/>
        <v>0</v>
      </c>
      <c r="CX107" s="353" t="b">
        <f t="shared" si="158"/>
        <v>0</v>
      </c>
      <c r="CY107" s="353" t="b">
        <f t="shared" si="159"/>
        <v>1</v>
      </c>
      <c r="DC107" s="347">
        <f t="shared" si="115"/>
        <v>1</v>
      </c>
      <c r="DD107" s="353" t="b">
        <f t="shared" si="160"/>
        <v>0</v>
      </c>
      <c r="DE107" s="353" t="b">
        <f t="shared" si="161"/>
        <v>0</v>
      </c>
      <c r="DF107" s="353" t="b">
        <f t="shared" si="162"/>
        <v>1</v>
      </c>
      <c r="DG107" s="353"/>
      <c r="DH107" s="353"/>
      <c r="DI107" s="353"/>
      <c r="DJ107" s="353"/>
      <c r="DK107" s="353">
        <f t="shared" si="116"/>
        <v>1</v>
      </c>
      <c r="DM107" s="341">
        <f t="shared" si="163"/>
        <v>0</v>
      </c>
    </row>
    <row r="108" spans="2:117" x14ac:dyDescent="0.25">
      <c r="B108" s="373">
        <f t="shared" si="113"/>
        <v>78</v>
      </c>
      <c r="C108" s="373"/>
      <c r="D108" s="373"/>
      <c r="E108" s="373"/>
      <c r="F108" s="374" t="s">
        <v>1033</v>
      </c>
      <c r="G108" s="375">
        <v>1</v>
      </c>
      <c r="H108" s="375">
        <v>1</v>
      </c>
      <c r="I108" s="375">
        <v>1</v>
      </c>
      <c r="J108" s="375">
        <v>1</v>
      </c>
      <c r="K108" s="375">
        <v>1</v>
      </c>
      <c r="L108" s="375">
        <v>1</v>
      </c>
      <c r="M108" s="375">
        <v>1</v>
      </c>
      <c r="N108" s="375">
        <v>1</v>
      </c>
      <c r="O108" s="375">
        <v>1</v>
      </c>
      <c r="P108" s="375">
        <v>1</v>
      </c>
      <c r="Q108" s="375">
        <v>1</v>
      </c>
      <c r="R108" s="375">
        <v>1</v>
      </c>
      <c r="S108" s="375">
        <v>0</v>
      </c>
      <c r="T108" s="376">
        <v>1</v>
      </c>
      <c r="U108" s="376">
        <v>1</v>
      </c>
      <c r="V108" s="376">
        <v>1</v>
      </c>
      <c r="W108" s="376">
        <v>1</v>
      </c>
      <c r="X108" s="376">
        <v>1</v>
      </c>
      <c r="Y108" s="376">
        <v>1</v>
      </c>
      <c r="Z108" s="376">
        <f t="shared" si="166"/>
        <v>1</v>
      </c>
      <c r="AA108" s="376">
        <v>0</v>
      </c>
      <c r="AB108" s="376" t="s">
        <v>418</v>
      </c>
      <c r="AC108" s="376">
        <v>1</v>
      </c>
      <c r="AD108" s="376">
        <v>1</v>
      </c>
      <c r="AE108" s="376">
        <v>1</v>
      </c>
      <c r="AF108" s="376">
        <f t="shared" si="118"/>
        <v>0</v>
      </c>
      <c r="AG108" s="376">
        <v>1</v>
      </c>
      <c r="AH108" s="376">
        <f t="shared" si="119"/>
        <v>1</v>
      </c>
      <c r="AI108" s="376"/>
      <c r="AJ108" s="376"/>
      <c r="AK108" s="373">
        <f t="shared" si="120"/>
        <v>1</v>
      </c>
      <c r="AL108" s="373"/>
      <c r="AM108" s="373"/>
      <c r="AN108" s="373"/>
      <c r="AO108" s="373"/>
      <c r="AP108" s="377">
        <f t="shared" si="164"/>
        <v>1</v>
      </c>
      <c r="AQ108" s="378"/>
      <c r="AR108" s="341">
        <f t="shared" si="121"/>
        <v>1</v>
      </c>
      <c r="AS108" s="341">
        <f t="shared" si="110"/>
        <v>0</v>
      </c>
      <c r="AT108" s="341">
        <f t="shared" si="110"/>
        <v>1</v>
      </c>
      <c r="AU108" s="361">
        <f t="shared" si="122"/>
        <v>1</v>
      </c>
      <c r="AV108" s="361">
        <f t="shared" si="123"/>
        <v>1</v>
      </c>
      <c r="AW108" s="361">
        <f t="shared" si="124"/>
        <v>1</v>
      </c>
      <c r="AX108" s="361">
        <f t="shared" si="125"/>
        <v>1</v>
      </c>
      <c r="AY108" s="361">
        <f t="shared" si="126"/>
        <v>1</v>
      </c>
      <c r="AZ108" s="361">
        <f t="shared" si="127"/>
        <v>1</v>
      </c>
      <c r="BA108" s="361">
        <f t="shared" si="128"/>
        <v>1</v>
      </c>
      <c r="BB108" s="361">
        <f t="shared" si="129"/>
        <v>1</v>
      </c>
      <c r="BC108" s="361">
        <f t="shared" si="130"/>
        <v>1</v>
      </c>
      <c r="BD108" s="361">
        <f t="shared" si="131"/>
        <v>1</v>
      </c>
      <c r="BE108" s="361">
        <f t="shared" si="132"/>
        <v>1</v>
      </c>
      <c r="BF108" s="361">
        <f t="shared" si="133"/>
        <v>1</v>
      </c>
      <c r="BG108" s="361">
        <f t="shared" si="134"/>
        <v>1</v>
      </c>
      <c r="BH108" s="361">
        <f t="shared" si="135"/>
        <v>1</v>
      </c>
      <c r="BI108" s="361">
        <f t="shared" si="136"/>
        <v>1</v>
      </c>
      <c r="BJ108" s="361">
        <f t="shared" si="137"/>
        <v>1</v>
      </c>
      <c r="BK108" s="361">
        <f t="shared" si="138"/>
        <v>1</v>
      </c>
      <c r="BL108" s="361">
        <f t="shared" si="139"/>
        <v>1</v>
      </c>
      <c r="BM108" s="361">
        <f t="shared" si="140"/>
        <v>1</v>
      </c>
      <c r="BN108" s="361">
        <f t="shared" si="141"/>
        <v>1</v>
      </c>
      <c r="BO108" s="361">
        <f t="shared" si="142"/>
        <v>1</v>
      </c>
      <c r="BP108" s="361">
        <f t="shared" si="143"/>
        <v>1</v>
      </c>
      <c r="BQ108" s="361">
        <f t="shared" si="144"/>
        <v>1</v>
      </c>
      <c r="BR108" s="361">
        <f t="shared" si="145"/>
        <v>1</v>
      </c>
      <c r="BS108" s="361">
        <f t="shared" si="146"/>
        <v>1</v>
      </c>
      <c r="BT108" s="361">
        <f t="shared" si="147"/>
        <v>1</v>
      </c>
      <c r="BU108" s="361">
        <f t="shared" si="148"/>
        <v>1</v>
      </c>
      <c r="BV108" s="361">
        <f t="shared" si="149"/>
        <v>1</v>
      </c>
      <c r="BW108" s="361">
        <f t="shared" si="150"/>
        <v>1</v>
      </c>
      <c r="BX108" s="361">
        <f t="shared" si="151"/>
        <v>1</v>
      </c>
      <c r="BY108" s="361">
        <f t="shared" si="152"/>
        <v>1</v>
      </c>
      <c r="BZ108" s="361">
        <f t="shared" si="153"/>
        <v>1</v>
      </c>
      <c r="CA108" s="361">
        <f t="shared" si="154"/>
        <v>1</v>
      </c>
      <c r="CB108" s="361">
        <f t="shared" si="155"/>
        <v>1</v>
      </c>
      <c r="CC108" s="361">
        <f t="shared" si="156"/>
        <v>1</v>
      </c>
      <c r="CH108" s="341">
        <f t="shared" si="114"/>
        <v>1</v>
      </c>
      <c r="CI108" s="341">
        <f t="shared" si="114"/>
        <v>2</v>
      </c>
      <c r="CJ108" s="341">
        <f t="shared" si="114"/>
        <v>3</v>
      </c>
      <c r="CK108" s="341">
        <f t="shared" si="114"/>
        <v>4</v>
      </c>
      <c r="CL108" s="341">
        <f t="shared" si="114"/>
        <v>5</v>
      </c>
      <c r="CM108" s="341">
        <f t="shared" si="112"/>
        <v>6</v>
      </c>
      <c r="CN108" s="341">
        <f t="shared" si="112"/>
        <v>7</v>
      </c>
      <c r="CO108" s="341">
        <f t="shared" si="112"/>
        <v>8</v>
      </c>
      <c r="CP108" s="341">
        <f t="shared" si="112"/>
        <v>9</v>
      </c>
      <c r="CQ108" s="341">
        <f t="shared" si="112"/>
        <v>10</v>
      </c>
      <c r="CT108" s="353"/>
      <c r="CU108" s="353"/>
      <c r="CV108" s="353"/>
      <c r="CW108" s="353" t="b">
        <f t="shared" si="157"/>
        <v>1</v>
      </c>
      <c r="CX108" s="353" t="b">
        <f t="shared" si="158"/>
        <v>0</v>
      </c>
      <c r="CY108" s="353" t="b">
        <f t="shared" si="159"/>
        <v>1</v>
      </c>
      <c r="DC108" s="347">
        <f t="shared" si="115"/>
        <v>2</v>
      </c>
      <c r="DD108" s="353" t="b">
        <f t="shared" si="160"/>
        <v>1</v>
      </c>
      <c r="DE108" s="353" t="b">
        <f t="shared" si="161"/>
        <v>0</v>
      </c>
      <c r="DF108" s="353" t="b">
        <f t="shared" si="162"/>
        <v>1</v>
      </c>
      <c r="DG108" s="353"/>
      <c r="DH108" s="353"/>
      <c r="DI108" s="353"/>
      <c r="DJ108" s="353"/>
      <c r="DK108" s="353">
        <f t="shared" si="116"/>
        <v>2</v>
      </c>
      <c r="DM108" s="341">
        <f t="shared" si="163"/>
        <v>0</v>
      </c>
    </row>
    <row r="109" spans="2:117" x14ac:dyDescent="0.25">
      <c r="B109" s="373">
        <f t="shared" si="113"/>
        <v>79</v>
      </c>
      <c r="C109" s="373"/>
      <c r="D109" s="373"/>
      <c r="E109" s="373"/>
      <c r="F109" s="374" t="s">
        <v>1035</v>
      </c>
      <c r="G109" s="375">
        <v>1</v>
      </c>
      <c r="H109" s="375">
        <v>1</v>
      </c>
      <c r="I109" s="375">
        <v>1</v>
      </c>
      <c r="J109" s="375">
        <v>1</v>
      </c>
      <c r="K109" s="375">
        <v>1</v>
      </c>
      <c r="L109" s="375">
        <v>1</v>
      </c>
      <c r="M109" s="375">
        <v>1</v>
      </c>
      <c r="N109" s="375">
        <v>1</v>
      </c>
      <c r="O109" s="375">
        <v>1</v>
      </c>
      <c r="P109" s="375">
        <v>1</v>
      </c>
      <c r="Q109" s="375">
        <v>1</v>
      </c>
      <c r="R109" s="375">
        <v>1</v>
      </c>
      <c r="S109" s="375">
        <v>0</v>
      </c>
      <c r="T109" s="376">
        <v>1</v>
      </c>
      <c r="U109" s="376">
        <v>1</v>
      </c>
      <c r="V109" s="376">
        <v>1</v>
      </c>
      <c r="W109" s="376">
        <v>1</v>
      </c>
      <c r="X109" s="376">
        <v>1</v>
      </c>
      <c r="Y109" s="376">
        <v>1</v>
      </c>
      <c r="Z109" s="376">
        <f t="shared" si="166"/>
        <v>1</v>
      </c>
      <c r="AA109" s="376">
        <v>0</v>
      </c>
      <c r="AB109" s="376" t="s">
        <v>418</v>
      </c>
      <c r="AC109" s="376">
        <v>1</v>
      </c>
      <c r="AD109" s="376">
        <v>1</v>
      </c>
      <c r="AE109" s="376">
        <v>1</v>
      </c>
      <c r="AF109" s="376">
        <f t="shared" si="118"/>
        <v>0</v>
      </c>
      <c r="AG109" s="376">
        <v>1</v>
      </c>
      <c r="AH109" s="376">
        <f t="shared" si="119"/>
        <v>1</v>
      </c>
      <c r="AI109" s="376"/>
      <c r="AJ109" s="376"/>
      <c r="AK109" s="373">
        <f t="shared" si="120"/>
        <v>1</v>
      </c>
      <c r="AL109" s="373"/>
      <c r="AM109" s="373"/>
      <c r="AN109" s="373"/>
      <c r="AO109" s="373"/>
      <c r="AP109" s="377">
        <f t="shared" si="164"/>
        <v>1</v>
      </c>
      <c r="AQ109" s="378"/>
      <c r="AR109" s="341">
        <f t="shared" si="121"/>
        <v>1</v>
      </c>
      <c r="AS109" s="341">
        <f t="shared" si="110"/>
        <v>0</v>
      </c>
      <c r="AT109" s="341">
        <f t="shared" si="110"/>
        <v>1</v>
      </c>
      <c r="AU109" s="361">
        <f t="shared" si="122"/>
        <v>1</v>
      </c>
      <c r="AV109" s="361">
        <f t="shared" si="123"/>
        <v>1</v>
      </c>
      <c r="AW109" s="361">
        <f t="shared" si="124"/>
        <v>1</v>
      </c>
      <c r="AX109" s="361">
        <f t="shared" si="125"/>
        <v>1</v>
      </c>
      <c r="AY109" s="361">
        <f t="shared" si="126"/>
        <v>1</v>
      </c>
      <c r="AZ109" s="361">
        <f t="shared" si="127"/>
        <v>1</v>
      </c>
      <c r="BA109" s="361">
        <f t="shared" si="128"/>
        <v>1</v>
      </c>
      <c r="BB109" s="361">
        <f t="shared" si="129"/>
        <v>1</v>
      </c>
      <c r="BC109" s="361">
        <f t="shared" si="130"/>
        <v>1</v>
      </c>
      <c r="BD109" s="361">
        <f t="shared" si="131"/>
        <v>1</v>
      </c>
      <c r="BE109" s="361">
        <f t="shared" si="132"/>
        <v>1</v>
      </c>
      <c r="BF109" s="361">
        <f t="shared" si="133"/>
        <v>1</v>
      </c>
      <c r="BG109" s="361">
        <f t="shared" si="134"/>
        <v>1</v>
      </c>
      <c r="BH109" s="361">
        <f t="shared" si="135"/>
        <v>1</v>
      </c>
      <c r="BI109" s="361">
        <f t="shared" si="136"/>
        <v>1</v>
      </c>
      <c r="BJ109" s="361">
        <f t="shared" si="137"/>
        <v>1</v>
      </c>
      <c r="BK109" s="361">
        <f t="shared" si="138"/>
        <v>1</v>
      </c>
      <c r="BL109" s="361">
        <f t="shared" si="139"/>
        <v>1</v>
      </c>
      <c r="BM109" s="361">
        <f t="shared" si="140"/>
        <v>1</v>
      </c>
      <c r="BN109" s="361">
        <f t="shared" si="141"/>
        <v>1</v>
      </c>
      <c r="BO109" s="361">
        <f t="shared" si="142"/>
        <v>1</v>
      </c>
      <c r="BP109" s="361">
        <f t="shared" si="143"/>
        <v>1</v>
      </c>
      <c r="BQ109" s="361">
        <f t="shared" si="144"/>
        <v>1</v>
      </c>
      <c r="BR109" s="361">
        <f t="shared" si="145"/>
        <v>1</v>
      </c>
      <c r="BS109" s="361">
        <f t="shared" si="146"/>
        <v>1</v>
      </c>
      <c r="BT109" s="361">
        <f t="shared" si="147"/>
        <v>1</v>
      </c>
      <c r="BU109" s="361">
        <f t="shared" si="148"/>
        <v>1</v>
      </c>
      <c r="BV109" s="361">
        <f t="shared" si="149"/>
        <v>1</v>
      </c>
      <c r="BW109" s="361">
        <f t="shared" si="150"/>
        <v>1</v>
      </c>
      <c r="BX109" s="361">
        <f t="shared" si="151"/>
        <v>1</v>
      </c>
      <c r="BY109" s="361">
        <f t="shared" si="152"/>
        <v>1</v>
      </c>
      <c r="BZ109" s="361">
        <f t="shared" si="153"/>
        <v>1</v>
      </c>
      <c r="CA109" s="361">
        <f t="shared" si="154"/>
        <v>1</v>
      </c>
      <c r="CB109" s="361">
        <f t="shared" si="155"/>
        <v>1</v>
      </c>
      <c r="CC109" s="361">
        <f t="shared" si="156"/>
        <v>1</v>
      </c>
      <c r="CH109" s="341">
        <f t="shared" si="114"/>
        <v>1</v>
      </c>
      <c r="CI109" s="341">
        <f t="shared" si="114"/>
        <v>2</v>
      </c>
      <c r="CJ109" s="341">
        <f t="shared" si="114"/>
        <v>3</v>
      </c>
      <c r="CK109" s="341">
        <f t="shared" si="114"/>
        <v>4</v>
      </c>
      <c r="CL109" s="341">
        <f t="shared" si="114"/>
        <v>5</v>
      </c>
      <c r="CM109" s="341">
        <f t="shared" si="112"/>
        <v>6</v>
      </c>
      <c r="CN109" s="341">
        <f t="shared" si="112"/>
        <v>7</v>
      </c>
      <c r="CO109" s="341">
        <f t="shared" si="112"/>
        <v>8</v>
      </c>
      <c r="CP109" s="341">
        <f t="shared" si="112"/>
        <v>9</v>
      </c>
      <c r="CQ109" s="341">
        <f t="shared" si="112"/>
        <v>10</v>
      </c>
      <c r="CT109" s="353"/>
      <c r="CU109" s="353"/>
      <c r="CV109" s="353"/>
      <c r="CW109" s="353" t="b">
        <f t="shared" si="157"/>
        <v>1</v>
      </c>
      <c r="CX109" s="353" t="b">
        <f t="shared" si="158"/>
        <v>0</v>
      </c>
      <c r="CY109" s="353" t="b">
        <f t="shared" si="159"/>
        <v>1</v>
      </c>
      <c r="DC109" s="347">
        <f t="shared" si="115"/>
        <v>2</v>
      </c>
      <c r="DD109" s="353" t="b">
        <f t="shared" si="160"/>
        <v>1</v>
      </c>
      <c r="DE109" s="353" t="b">
        <f t="shared" si="161"/>
        <v>0</v>
      </c>
      <c r="DF109" s="353" t="b">
        <f t="shared" si="162"/>
        <v>1</v>
      </c>
      <c r="DG109" s="353"/>
      <c r="DH109" s="353"/>
      <c r="DI109" s="353"/>
      <c r="DJ109" s="353"/>
      <c r="DK109" s="353">
        <f t="shared" si="116"/>
        <v>2</v>
      </c>
      <c r="DM109" s="341">
        <f t="shared" si="163"/>
        <v>0</v>
      </c>
    </row>
    <row r="110" spans="2:117" x14ac:dyDescent="0.25">
      <c r="B110" s="373">
        <f t="shared" si="113"/>
        <v>80</v>
      </c>
      <c r="C110" s="373"/>
      <c r="D110" s="373"/>
      <c r="E110" s="373"/>
      <c r="F110" s="374" t="s">
        <v>1036</v>
      </c>
      <c r="G110" s="375">
        <v>1</v>
      </c>
      <c r="H110" s="375">
        <v>1</v>
      </c>
      <c r="I110" s="375">
        <v>1</v>
      </c>
      <c r="J110" s="375">
        <v>1</v>
      </c>
      <c r="K110" s="375">
        <v>1</v>
      </c>
      <c r="L110" s="375">
        <v>1</v>
      </c>
      <c r="M110" s="375">
        <v>1</v>
      </c>
      <c r="N110" s="375">
        <v>1</v>
      </c>
      <c r="O110" s="375">
        <v>1</v>
      </c>
      <c r="P110" s="375">
        <v>1</v>
      </c>
      <c r="Q110" s="375">
        <v>1</v>
      </c>
      <c r="R110" s="375">
        <v>1</v>
      </c>
      <c r="S110" s="375">
        <v>0</v>
      </c>
      <c r="T110" s="375">
        <v>1</v>
      </c>
      <c r="U110" s="375">
        <v>1</v>
      </c>
      <c r="V110" s="375">
        <v>1</v>
      </c>
      <c r="W110" s="375">
        <v>1</v>
      </c>
      <c r="X110" s="375">
        <v>1</v>
      </c>
      <c r="Y110" s="375">
        <v>1</v>
      </c>
      <c r="Z110" s="376">
        <f t="shared" si="166"/>
        <v>1</v>
      </c>
      <c r="AA110" s="376">
        <v>0</v>
      </c>
      <c r="AB110" s="376" t="s">
        <v>418</v>
      </c>
      <c r="AC110" s="376">
        <v>1</v>
      </c>
      <c r="AD110" s="376">
        <v>1</v>
      </c>
      <c r="AE110" s="376">
        <v>1</v>
      </c>
      <c r="AF110" s="376">
        <f t="shared" si="118"/>
        <v>0</v>
      </c>
      <c r="AG110" s="376">
        <v>1</v>
      </c>
      <c r="AH110" s="376">
        <f t="shared" si="119"/>
        <v>1</v>
      </c>
      <c r="AI110" s="376"/>
      <c r="AJ110" s="376"/>
      <c r="AK110" s="373">
        <f t="shared" si="120"/>
        <v>1</v>
      </c>
      <c r="AL110" s="373"/>
      <c r="AM110" s="373"/>
      <c r="AN110" s="373"/>
      <c r="AO110" s="373"/>
      <c r="AP110" s="377">
        <f t="shared" si="164"/>
        <v>1</v>
      </c>
      <c r="AQ110" s="378"/>
      <c r="AR110" s="341">
        <f t="shared" si="121"/>
        <v>1</v>
      </c>
      <c r="AS110" s="341">
        <f t="shared" si="110"/>
        <v>0</v>
      </c>
      <c r="AT110" s="341">
        <f t="shared" si="110"/>
        <v>1</v>
      </c>
      <c r="AU110" s="361">
        <f t="shared" si="122"/>
        <v>1</v>
      </c>
      <c r="AV110" s="361">
        <f t="shared" si="123"/>
        <v>1</v>
      </c>
      <c r="AW110" s="361">
        <f t="shared" si="124"/>
        <v>1</v>
      </c>
      <c r="AX110" s="361">
        <f t="shared" si="125"/>
        <v>1</v>
      </c>
      <c r="AY110" s="361">
        <f t="shared" si="126"/>
        <v>1</v>
      </c>
      <c r="AZ110" s="361">
        <f t="shared" si="127"/>
        <v>1</v>
      </c>
      <c r="BA110" s="361">
        <f t="shared" si="128"/>
        <v>1</v>
      </c>
      <c r="BB110" s="361">
        <f t="shared" si="129"/>
        <v>1</v>
      </c>
      <c r="BC110" s="361">
        <f t="shared" si="130"/>
        <v>1</v>
      </c>
      <c r="BD110" s="361">
        <f t="shared" si="131"/>
        <v>1</v>
      </c>
      <c r="BE110" s="361">
        <f t="shared" si="132"/>
        <v>1</v>
      </c>
      <c r="BF110" s="361">
        <f t="shared" si="133"/>
        <v>1</v>
      </c>
      <c r="BG110" s="361">
        <f t="shared" si="134"/>
        <v>1</v>
      </c>
      <c r="BH110" s="361">
        <f t="shared" si="135"/>
        <v>1</v>
      </c>
      <c r="BI110" s="361">
        <f t="shared" si="136"/>
        <v>1</v>
      </c>
      <c r="BJ110" s="361">
        <f t="shared" si="137"/>
        <v>1</v>
      </c>
      <c r="BK110" s="361">
        <f t="shared" si="138"/>
        <v>1</v>
      </c>
      <c r="BL110" s="361">
        <f t="shared" si="139"/>
        <v>1</v>
      </c>
      <c r="BM110" s="361">
        <f t="shared" si="140"/>
        <v>1</v>
      </c>
      <c r="BN110" s="361">
        <f t="shared" si="141"/>
        <v>1</v>
      </c>
      <c r="BO110" s="361">
        <f t="shared" si="142"/>
        <v>1</v>
      </c>
      <c r="BP110" s="361">
        <f t="shared" si="143"/>
        <v>1</v>
      </c>
      <c r="BQ110" s="361">
        <f t="shared" si="144"/>
        <v>1</v>
      </c>
      <c r="BR110" s="361">
        <f t="shared" si="145"/>
        <v>1</v>
      </c>
      <c r="BS110" s="361">
        <f t="shared" si="146"/>
        <v>1</v>
      </c>
      <c r="BT110" s="361">
        <f t="shared" si="147"/>
        <v>1</v>
      </c>
      <c r="BU110" s="361">
        <f t="shared" si="148"/>
        <v>1</v>
      </c>
      <c r="BV110" s="361">
        <f t="shared" si="149"/>
        <v>1</v>
      </c>
      <c r="BW110" s="361">
        <f t="shared" si="150"/>
        <v>1</v>
      </c>
      <c r="BX110" s="361">
        <f t="shared" si="151"/>
        <v>1</v>
      </c>
      <c r="BY110" s="361">
        <f t="shared" si="152"/>
        <v>1</v>
      </c>
      <c r="BZ110" s="361">
        <f t="shared" si="153"/>
        <v>1</v>
      </c>
      <c r="CA110" s="361">
        <f t="shared" si="154"/>
        <v>1</v>
      </c>
      <c r="CB110" s="361">
        <f t="shared" si="155"/>
        <v>1</v>
      </c>
      <c r="CC110" s="361">
        <f t="shared" si="156"/>
        <v>1</v>
      </c>
      <c r="CH110" s="341">
        <f t="shared" si="114"/>
        <v>1</v>
      </c>
      <c r="CI110" s="341">
        <f t="shared" si="114"/>
        <v>2</v>
      </c>
      <c r="CJ110" s="341">
        <f t="shared" si="114"/>
        <v>3</v>
      </c>
      <c r="CK110" s="341">
        <f t="shared" si="114"/>
        <v>4</v>
      </c>
      <c r="CL110" s="341">
        <f t="shared" si="114"/>
        <v>5</v>
      </c>
      <c r="CM110" s="341">
        <f t="shared" si="112"/>
        <v>6</v>
      </c>
      <c r="CN110" s="341">
        <f t="shared" si="112"/>
        <v>7</v>
      </c>
      <c r="CO110" s="341">
        <f t="shared" si="112"/>
        <v>8</v>
      </c>
      <c r="CP110" s="341">
        <f t="shared" si="112"/>
        <v>9</v>
      </c>
      <c r="CQ110" s="341">
        <f t="shared" si="112"/>
        <v>10</v>
      </c>
      <c r="CT110" s="353"/>
      <c r="CU110" s="353"/>
      <c r="CV110" s="353"/>
      <c r="CW110" s="353" t="b">
        <f t="shared" si="157"/>
        <v>1</v>
      </c>
      <c r="CX110" s="353" t="b">
        <f t="shared" si="158"/>
        <v>0</v>
      </c>
      <c r="CY110" s="353" t="b">
        <f t="shared" si="159"/>
        <v>1</v>
      </c>
      <c r="DC110" s="347">
        <f t="shared" si="115"/>
        <v>2</v>
      </c>
      <c r="DD110" s="353" t="b">
        <f t="shared" si="160"/>
        <v>1</v>
      </c>
      <c r="DE110" s="353" t="b">
        <f t="shared" si="161"/>
        <v>0</v>
      </c>
      <c r="DF110" s="353" t="b">
        <f t="shared" si="162"/>
        <v>1</v>
      </c>
      <c r="DG110" s="353"/>
      <c r="DH110" s="353"/>
      <c r="DI110" s="353"/>
      <c r="DJ110" s="353"/>
      <c r="DK110" s="353">
        <f t="shared" si="116"/>
        <v>2</v>
      </c>
      <c r="DM110" s="341">
        <f t="shared" si="163"/>
        <v>0</v>
      </c>
    </row>
    <row r="111" spans="2:117" x14ac:dyDescent="0.25">
      <c r="B111" s="373">
        <f t="shared" si="113"/>
        <v>81</v>
      </c>
      <c r="C111" s="373"/>
      <c r="D111" s="373"/>
      <c r="E111" s="373"/>
      <c r="F111" s="374" t="s">
        <v>186</v>
      </c>
      <c r="G111" s="375">
        <v>1</v>
      </c>
      <c r="H111" s="375">
        <v>1</v>
      </c>
      <c r="I111" s="375">
        <v>1</v>
      </c>
      <c r="J111" s="375">
        <v>1</v>
      </c>
      <c r="K111" s="375">
        <v>1</v>
      </c>
      <c r="L111" s="375">
        <v>1</v>
      </c>
      <c r="M111" s="375">
        <v>1</v>
      </c>
      <c r="N111" s="375">
        <v>1</v>
      </c>
      <c r="O111" s="375">
        <v>1</v>
      </c>
      <c r="P111" s="375">
        <v>1</v>
      </c>
      <c r="Q111" s="375">
        <v>1</v>
      </c>
      <c r="R111" s="375">
        <v>1</v>
      </c>
      <c r="S111" s="375">
        <v>0</v>
      </c>
      <c r="T111" s="375">
        <v>1</v>
      </c>
      <c r="U111" s="375">
        <v>1</v>
      </c>
      <c r="V111" s="375">
        <v>1</v>
      </c>
      <c r="W111" s="375">
        <v>1</v>
      </c>
      <c r="X111" s="375">
        <v>1</v>
      </c>
      <c r="Y111" s="375">
        <v>1</v>
      </c>
      <c r="Z111" s="376">
        <f t="shared" si="166"/>
        <v>1</v>
      </c>
      <c r="AA111" s="376">
        <v>1</v>
      </c>
      <c r="AB111" s="376"/>
      <c r="AC111" s="376"/>
      <c r="AD111" s="376"/>
      <c r="AE111" s="376"/>
      <c r="AF111" s="376">
        <f t="shared" si="118"/>
        <v>0</v>
      </c>
      <c r="AG111" s="376">
        <v>1</v>
      </c>
      <c r="AH111" s="376">
        <f t="shared" si="119"/>
        <v>1</v>
      </c>
      <c r="AI111" s="376"/>
      <c r="AJ111" s="376"/>
      <c r="AK111" s="373">
        <f t="shared" si="120"/>
        <v>1</v>
      </c>
      <c r="AL111" s="373"/>
      <c r="AM111" s="373"/>
      <c r="AN111" s="373"/>
      <c r="AO111" s="373"/>
      <c r="AP111" s="377">
        <f t="shared" si="164"/>
        <v>1</v>
      </c>
      <c r="AQ111" s="378"/>
      <c r="AR111" s="341">
        <f t="shared" si="121"/>
        <v>1</v>
      </c>
      <c r="AS111" s="341">
        <f t="shared" si="110"/>
        <v>0</v>
      </c>
      <c r="AT111" s="341">
        <f t="shared" si="110"/>
        <v>1</v>
      </c>
      <c r="AU111" s="361">
        <f t="shared" si="122"/>
        <v>1</v>
      </c>
      <c r="AV111" s="361">
        <f t="shared" si="123"/>
        <v>1</v>
      </c>
      <c r="AW111" s="361">
        <f t="shared" si="124"/>
        <v>1</v>
      </c>
      <c r="AX111" s="361">
        <f t="shared" si="125"/>
        <v>1</v>
      </c>
      <c r="AY111" s="361">
        <f t="shared" si="126"/>
        <v>1</v>
      </c>
      <c r="AZ111" s="361">
        <f t="shared" si="127"/>
        <v>1</v>
      </c>
      <c r="BA111" s="361">
        <f t="shared" si="128"/>
        <v>1</v>
      </c>
      <c r="BB111" s="361">
        <f t="shared" si="129"/>
        <v>1</v>
      </c>
      <c r="BC111" s="361">
        <f t="shared" si="130"/>
        <v>1</v>
      </c>
      <c r="BD111" s="361">
        <f t="shared" si="131"/>
        <v>1</v>
      </c>
      <c r="BE111" s="361">
        <f t="shared" si="132"/>
        <v>1</v>
      </c>
      <c r="BF111" s="361">
        <f t="shared" si="133"/>
        <v>1</v>
      </c>
      <c r="BG111" s="361">
        <f t="shared" si="134"/>
        <v>1</v>
      </c>
      <c r="BH111" s="361">
        <f t="shared" si="135"/>
        <v>1</v>
      </c>
      <c r="BI111" s="361">
        <f t="shared" si="136"/>
        <v>1</v>
      </c>
      <c r="BJ111" s="361">
        <f t="shared" si="137"/>
        <v>1</v>
      </c>
      <c r="BK111" s="361">
        <f t="shared" si="138"/>
        <v>1</v>
      </c>
      <c r="BL111" s="361">
        <f t="shared" si="139"/>
        <v>1</v>
      </c>
      <c r="BM111" s="361">
        <f t="shared" si="140"/>
        <v>1</v>
      </c>
      <c r="BN111" s="361">
        <f t="shared" si="141"/>
        <v>1</v>
      </c>
      <c r="BO111" s="361">
        <f t="shared" si="142"/>
        <v>1</v>
      </c>
      <c r="BP111" s="361">
        <f t="shared" si="143"/>
        <v>1</v>
      </c>
      <c r="BQ111" s="361">
        <f t="shared" si="144"/>
        <v>1</v>
      </c>
      <c r="BR111" s="361">
        <f t="shared" si="145"/>
        <v>1</v>
      </c>
      <c r="BS111" s="361">
        <f t="shared" si="146"/>
        <v>1</v>
      </c>
      <c r="BT111" s="361">
        <f t="shared" si="147"/>
        <v>1</v>
      </c>
      <c r="BU111" s="361">
        <f t="shared" si="148"/>
        <v>1</v>
      </c>
      <c r="BV111" s="361">
        <f t="shared" si="149"/>
        <v>1</v>
      </c>
      <c r="BW111" s="361">
        <f t="shared" si="150"/>
        <v>1</v>
      </c>
      <c r="BX111" s="361">
        <f t="shared" si="151"/>
        <v>1</v>
      </c>
      <c r="BY111" s="361">
        <f t="shared" si="152"/>
        <v>1</v>
      </c>
      <c r="BZ111" s="361">
        <f t="shared" si="153"/>
        <v>1</v>
      </c>
      <c r="CA111" s="361">
        <f t="shared" si="154"/>
        <v>1</v>
      </c>
      <c r="CB111" s="361">
        <f t="shared" si="155"/>
        <v>1</v>
      </c>
      <c r="CC111" s="361">
        <f t="shared" si="156"/>
        <v>1</v>
      </c>
      <c r="CH111" s="341">
        <f t="shared" si="114"/>
        <v>1</v>
      </c>
      <c r="CI111" s="341">
        <f t="shared" si="114"/>
        <v>2</v>
      </c>
      <c r="CJ111" s="341">
        <f t="shared" si="114"/>
        <v>3</v>
      </c>
      <c r="CK111" s="341">
        <f t="shared" si="114"/>
        <v>4</v>
      </c>
      <c r="CL111" s="341">
        <f t="shared" si="114"/>
        <v>5</v>
      </c>
      <c r="CM111" s="341">
        <f t="shared" si="112"/>
        <v>6</v>
      </c>
      <c r="CN111" s="341">
        <f t="shared" si="112"/>
        <v>7</v>
      </c>
      <c r="CO111" s="341">
        <f t="shared" si="112"/>
        <v>8</v>
      </c>
      <c r="CP111" s="341">
        <f t="shared" si="112"/>
        <v>9</v>
      </c>
      <c r="CQ111" s="341">
        <f t="shared" si="112"/>
        <v>10</v>
      </c>
      <c r="CT111" s="353"/>
      <c r="CU111" s="353"/>
      <c r="CV111" s="353"/>
      <c r="CW111" s="353" t="b">
        <f t="shared" si="157"/>
        <v>1</v>
      </c>
      <c r="CX111" s="353" t="b">
        <f t="shared" si="158"/>
        <v>0</v>
      </c>
      <c r="CY111" s="353" t="b">
        <f t="shared" si="159"/>
        <v>1</v>
      </c>
      <c r="DC111" s="347">
        <f t="shared" si="115"/>
        <v>2</v>
      </c>
      <c r="DD111" s="353" t="b">
        <f t="shared" si="160"/>
        <v>1</v>
      </c>
      <c r="DE111" s="353" t="b">
        <f t="shared" si="161"/>
        <v>0</v>
      </c>
      <c r="DF111" s="353" t="b">
        <f t="shared" si="162"/>
        <v>1</v>
      </c>
      <c r="DG111" s="353"/>
      <c r="DH111" s="353"/>
      <c r="DI111" s="353"/>
      <c r="DJ111" s="353"/>
      <c r="DK111" s="353">
        <f t="shared" si="116"/>
        <v>2</v>
      </c>
      <c r="DM111" s="341">
        <f t="shared" si="163"/>
        <v>0</v>
      </c>
    </row>
    <row r="112" spans="2:117" x14ac:dyDescent="0.25">
      <c r="B112" s="373">
        <f t="shared" si="113"/>
        <v>82</v>
      </c>
      <c r="C112" s="373"/>
      <c r="D112" s="373"/>
      <c r="E112" s="373"/>
      <c r="F112" s="374" t="s">
        <v>187</v>
      </c>
      <c r="G112" s="375">
        <v>1</v>
      </c>
      <c r="H112" s="375">
        <v>1</v>
      </c>
      <c r="I112" s="375">
        <v>1</v>
      </c>
      <c r="J112" s="375">
        <v>1</v>
      </c>
      <c r="K112" s="375">
        <v>1</v>
      </c>
      <c r="L112" s="375">
        <v>1</v>
      </c>
      <c r="M112" s="375">
        <v>1</v>
      </c>
      <c r="N112" s="375">
        <v>1</v>
      </c>
      <c r="O112" s="375">
        <v>1</v>
      </c>
      <c r="P112" s="375">
        <v>1</v>
      </c>
      <c r="Q112" s="375">
        <v>1</v>
      </c>
      <c r="R112" s="375">
        <v>1</v>
      </c>
      <c r="S112" s="375">
        <v>0</v>
      </c>
      <c r="T112" s="375">
        <v>1</v>
      </c>
      <c r="U112" s="375">
        <v>1</v>
      </c>
      <c r="V112" s="375">
        <v>1</v>
      </c>
      <c r="W112" s="375">
        <v>1</v>
      </c>
      <c r="X112" s="375">
        <v>1</v>
      </c>
      <c r="Y112" s="375">
        <v>1</v>
      </c>
      <c r="Z112" s="376">
        <f t="shared" si="166"/>
        <v>1</v>
      </c>
      <c r="AA112" s="376">
        <v>1</v>
      </c>
      <c r="AB112" s="376"/>
      <c r="AC112" s="376"/>
      <c r="AD112" s="376"/>
      <c r="AE112" s="376"/>
      <c r="AF112" s="376">
        <f t="shared" si="118"/>
        <v>0</v>
      </c>
      <c r="AG112" s="376">
        <v>1</v>
      </c>
      <c r="AH112" s="376">
        <f t="shared" si="119"/>
        <v>1</v>
      </c>
      <c r="AI112" s="376"/>
      <c r="AJ112" s="376"/>
      <c r="AK112" s="373">
        <f t="shared" si="120"/>
        <v>1</v>
      </c>
      <c r="AL112" s="373"/>
      <c r="AM112" s="373"/>
      <c r="AN112" s="373"/>
      <c r="AO112" s="373"/>
      <c r="AP112" s="377">
        <f t="shared" si="164"/>
        <v>1</v>
      </c>
      <c r="AQ112" s="378"/>
      <c r="AR112" s="341">
        <f t="shared" si="121"/>
        <v>1</v>
      </c>
      <c r="AS112" s="341">
        <f t="shared" si="110"/>
        <v>0</v>
      </c>
      <c r="AT112" s="341">
        <f t="shared" si="110"/>
        <v>1</v>
      </c>
      <c r="AU112" s="361">
        <f t="shared" si="122"/>
        <v>1</v>
      </c>
      <c r="AV112" s="361">
        <f t="shared" si="123"/>
        <v>1</v>
      </c>
      <c r="AW112" s="361">
        <f t="shared" si="124"/>
        <v>1</v>
      </c>
      <c r="AX112" s="361">
        <f t="shared" si="125"/>
        <v>1</v>
      </c>
      <c r="AY112" s="361">
        <f t="shared" si="126"/>
        <v>1</v>
      </c>
      <c r="AZ112" s="361">
        <f t="shared" si="127"/>
        <v>1</v>
      </c>
      <c r="BA112" s="361">
        <f t="shared" si="128"/>
        <v>1</v>
      </c>
      <c r="BB112" s="361">
        <f t="shared" si="129"/>
        <v>1</v>
      </c>
      <c r="BC112" s="361">
        <f t="shared" si="130"/>
        <v>1</v>
      </c>
      <c r="BD112" s="361">
        <f t="shared" si="131"/>
        <v>1</v>
      </c>
      <c r="BE112" s="361">
        <f t="shared" si="132"/>
        <v>1</v>
      </c>
      <c r="BF112" s="361">
        <f t="shared" si="133"/>
        <v>1</v>
      </c>
      <c r="BG112" s="361">
        <f t="shared" si="134"/>
        <v>1</v>
      </c>
      <c r="BH112" s="361">
        <f t="shared" si="135"/>
        <v>1</v>
      </c>
      <c r="BI112" s="361">
        <f t="shared" si="136"/>
        <v>1</v>
      </c>
      <c r="BJ112" s="361">
        <f t="shared" si="137"/>
        <v>1</v>
      </c>
      <c r="BK112" s="361">
        <f t="shared" si="138"/>
        <v>1</v>
      </c>
      <c r="BL112" s="361">
        <f t="shared" si="139"/>
        <v>1</v>
      </c>
      <c r="BM112" s="361">
        <f t="shared" si="140"/>
        <v>1</v>
      </c>
      <c r="BN112" s="361">
        <f t="shared" si="141"/>
        <v>1</v>
      </c>
      <c r="BO112" s="361">
        <f t="shared" si="142"/>
        <v>1</v>
      </c>
      <c r="BP112" s="361">
        <f t="shared" si="143"/>
        <v>1</v>
      </c>
      <c r="BQ112" s="361">
        <f t="shared" si="144"/>
        <v>1</v>
      </c>
      <c r="BR112" s="361">
        <f t="shared" si="145"/>
        <v>1</v>
      </c>
      <c r="BS112" s="361">
        <f t="shared" si="146"/>
        <v>1</v>
      </c>
      <c r="BT112" s="361">
        <f t="shared" si="147"/>
        <v>1</v>
      </c>
      <c r="BU112" s="361">
        <f t="shared" si="148"/>
        <v>1</v>
      </c>
      <c r="BV112" s="361">
        <f t="shared" si="149"/>
        <v>1</v>
      </c>
      <c r="BW112" s="361">
        <f t="shared" si="150"/>
        <v>1</v>
      </c>
      <c r="BX112" s="361">
        <f t="shared" si="151"/>
        <v>1</v>
      </c>
      <c r="BY112" s="361">
        <f t="shared" si="152"/>
        <v>1</v>
      </c>
      <c r="BZ112" s="361">
        <f t="shared" si="153"/>
        <v>1</v>
      </c>
      <c r="CA112" s="361">
        <f t="shared" si="154"/>
        <v>1</v>
      </c>
      <c r="CB112" s="361">
        <f t="shared" si="155"/>
        <v>1</v>
      </c>
      <c r="CC112" s="361">
        <f t="shared" si="156"/>
        <v>1</v>
      </c>
      <c r="CH112" s="341">
        <f t="shared" si="114"/>
        <v>1</v>
      </c>
      <c r="CI112" s="341">
        <f t="shared" si="114"/>
        <v>2</v>
      </c>
      <c r="CJ112" s="341">
        <f t="shared" si="114"/>
        <v>3</v>
      </c>
      <c r="CK112" s="341">
        <f t="shared" si="114"/>
        <v>4</v>
      </c>
      <c r="CL112" s="341">
        <f t="shared" si="114"/>
        <v>5</v>
      </c>
      <c r="CM112" s="341">
        <f t="shared" si="112"/>
        <v>6</v>
      </c>
      <c r="CN112" s="341">
        <f t="shared" si="112"/>
        <v>7</v>
      </c>
      <c r="CO112" s="341">
        <f t="shared" si="112"/>
        <v>8</v>
      </c>
      <c r="CP112" s="341">
        <f t="shared" si="112"/>
        <v>9</v>
      </c>
      <c r="CQ112" s="341">
        <f t="shared" si="112"/>
        <v>10</v>
      </c>
      <c r="CT112" s="353"/>
      <c r="CU112" s="353"/>
      <c r="CV112" s="353"/>
      <c r="CW112" s="353" t="b">
        <f t="shared" si="157"/>
        <v>1</v>
      </c>
      <c r="CX112" s="353" t="b">
        <f t="shared" si="158"/>
        <v>0</v>
      </c>
      <c r="CY112" s="353" t="b">
        <f t="shared" si="159"/>
        <v>1</v>
      </c>
      <c r="DC112" s="347">
        <f t="shared" si="115"/>
        <v>2</v>
      </c>
      <c r="DD112" s="353" t="b">
        <f t="shared" si="160"/>
        <v>1</v>
      </c>
      <c r="DE112" s="353" t="b">
        <f t="shared" si="161"/>
        <v>0</v>
      </c>
      <c r="DF112" s="353" t="b">
        <f t="shared" si="162"/>
        <v>1</v>
      </c>
      <c r="DG112" s="353"/>
      <c r="DH112" s="353"/>
      <c r="DI112" s="353"/>
      <c r="DJ112" s="353"/>
      <c r="DK112" s="353">
        <f t="shared" si="116"/>
        <v>2</v>
      </c>
      <c r="DM112" s="341">
        <f t="shared" si="163"/>
        <v>0</v>
      </c>
    </row>
    <row r="113" spans="2:117" x14ac:dyDescent="0.25">
      <c r="B113" s="373" t="str">
        <f t="shared" si="113"/>
        <v/>
      </c>
      <c r="C113" s="373"/>
      <c r="D113" s="373"/>
      <c r="E113" s="373"/>
      <c r="F113" s="374"/>
      <c r="G113" s="375"/>
      <c r="H113" s="375"/>
      <c r="I113" s="375"/>
      <c r="J113" s="375"/>
      <c r="K113" s="375"/>
      <c r="L113" s="375"/>
      <c r="M113" s="375"/>
      <c r="N113" s="375"/>
      <c r="O113" s="375"/>
      <c r="P113" s="375"/>
      <c r="Q113" s="375"/>
      <c r="R113" s="375"/>
      <c r="S113" s="375"/>
      <c r="T113" s="375"/>
      <c r="U113" s="375"/>
      <c r="V113" s="375"/>
      <c r="W113" s="375"/>
      <c r="X113" s="375"/>
      <c r="Y113" s="375"/>
      <c r="Z113" s="376"/>
      <c r="AA113" s="376"/>
      <c r="AB113" s="376"/>
      <c r="AC113" s="376" t="s">
        <v>194</v>
      </c>
      <c r="AD113" s="376"/>
      <c r="AE113" s="376"/>
      <c r="AF113" s="376" t="str">
        <f t="shared" si="118"/>
        <v/>
      </c>
      <c r="AG113" s="376"/>
      <c r="AH113" s="376" t="str">
        <f t="shared" si="119"/>
        <v/>
      </c>
      <c r="AI113" s="376"/>
      <c r="AJ113" s="376"/>
      <c r="AK113" s="373" t="str">
        <f t="shared" si="120"/>
        <v/>
      </c>
      <c r="AL113" s="373"/>
      <c r="AM113" s="373"/>
      <c r="AN113" s="373"/>
      <c r="AO113" s="373"/>
      <c r="AP113" s="377" t="str">
        <f t="shared" si="164"/>
        <v/>
      </c>
      <c r="AQ113" s="378"/>
      <c r="AR113" s="341">
        <f t="shared" si="121"/>
        <v>0</v>
      </c>
      <c r="AS113" s="341" t="str">
        <f t="shared" si="110"/>
        <v/>
      </c>
      <c r="AT113" s="341" t="str">
        <f t="shared" si="110"/>
        <v/>
      </c>
      <c r="AU113" s="361">
        <f t="shared" si="122"/>
        <v>0</v>
      </c>
      <c r="AV113" s="361">
        <f t="shared" si="123"/>
        <v>0</v>
      </c>
      <c r="AW113" s="361">
        <f t="shared" si="124"/>
        <v>0</v>
      </c>
      <c r="AX113" s="361">
        <f t="shared" si="125"/>
        <v>0</v>
      </c>
      <c r="AY113" s="361">
        <f t="shared" si="126"/>
        <v>0</v>
      </c>
      <c r="AZ113" s="361">
        <f t="shared" si="127"/>
        <v>0</v>
      </c>
      <c r="BA113" s="361">
        <f t="shared" si="128"/>
        <v>0</v>
      </c>
      <c r="BB113" s="361">
        <f t="shared" si="129"/>
        <v>0</v>
      </c>
      <c r="BC113" s="361">
        <f t="shared" si="130"/>
        <v>0</v>
      </c>
      <c r="BD113" s="361">
        <f t="shared" si="131"/>
        <v>0</v>
      </c>
      <c r="BE113" s="361">
        <f t="shared" si="132"/>
        <v>0</v>
      </c>
      <c r="BF113" s="361">
        <f t="shared" si="133"/>
        <v>0</v>
      </c>
      <c r="BG113" s="361">
        <f t="shared" si="134"/>
        <v>0</v>
      </c>
      <c r="BH113" s="361">
        <f t="shared" si="135"/>
        <v>0</v>
      </c>
      <c r="BI113" s="361">
        <f t="shared" si="136"/>
        <v>0</v>
      </c>
      <c r="BJ113" s="361">
        <f t="shared" si="137"/>
        <v>0</v>
      </c>
      <c r="BK113" s="361">
        <f t="shared" si="138"/>
        <v>0</v>
      </c>
      <c r="BL113" s="361">
        <f t="shared" si="139"/>
        <v>0</v>
      </c>
      <c r="BM113" s="361">
        <f t="shared" si="140"/>
        <v>0</v>
      </c>
      <c r="BN113" s="361">
        <f t="shared" si="141"/>
        <v>1</v>
      </c>
      <c r="BO113" s="361">
        <f t="shared" si="142"/>
        <v>0</v>
      </c>
      <c r="BP113" s="361">
        <f t="shared" si="143"/>
        <v>1</v>
      </c>
      <c r="BQ113" s="361">
        <f t="shared" si="144"/>
        <v>1</v>
      </c>
      <c r="BR113" s="361">
        <f t="shared" si="145"/>
        <v>1</v>
      </c>
      <c r="BS113" s="361">
        <f t="shared" si="146"/>
        <v>1</v>
      </c>
      <c r="BT113" s="361">
        <f t="shared" si="147"/>
        <v>1</v>
      </c>
      <c r="BU113" s="361">
        <f t="shared" si="148"/>
        <v>1</v>
      </c>
      <c r="BV113" s="361">
        <f t="shared" si="149"/>
        <v>1</v>
      </c>
      <c r="BW113" s="361">
        <f t="shared" si="150"/>
        <v>1</v>
      </c>
      <c r="BX113" s="361">
        <f t="shared" si="151"/>
        <v>1</v>
      </c>
      <c r="BY113" s="361">
        <f t="shared" si="152"/>
        <v>1</v>
      </c>
      <c r="BZ113" s="361">
        <f t="shared" si="153"/>
        <v>1</v>
      </c>
      <c r="CA113" s="361">
        <f t="shared" si="154"/>
        <v>1</v>
      </c>
      <c r="CB113" s="361">
        <f t="shared" si="155"/>
        <v>1</v>
      </c>
      <c r="CC113" s="361">
        <f t="shared" si="156"/>
        <v>1</v>
      </c>
      <c r="CH113" s="341" t="str">
        <f t="shared" si="114"/>
        <v/>
      </c>
      <c r="CI113" s="341" t="str">
        <f t="shared" si="114"/>
        <v/>
      </c>
      <c r="CJ113" s="341" t="str">
        <f t="shared" si="114"/>
        <v/>
      </c>
      <c r="CK113" s="341" t="str">
        <f t="shared" si="114"/>
        <v/>
      </c>
      <c r="CL113" s="341" t="str">
        <f t="shared" si="114"/>
        <v/>
      </c>
      <c r="CM113" s="341" t="str">
        <f t="shared" si="112"/>
        <v/>
      </c>
      <c r="CN113" s="341" t="str">
        <f t="shared" si="112"/>
        <v/>
      </c>
      <c r="CO113" s="341" t="str">
        <f t="shared" si="112"/>
        <v/>
      </c>
      <c r="CP113" s="341" t="str">
        <f t="shared" si="112"/>
        <v/>
      </c>
      <c r="CQ113" s="341" t="str">
        <f t="shared" si="112"/>
        <v/>
      </c>
      <c r="CT113" s="353"/>
      <c r="CU113" s="353"/>
      <c r="CV113" s="353"/>
      <c r="CW113" s="353" t="b">
        <f t="shared" si="157"/>
        <v>0</v>
      </c>
      <c r="CX113" s="353" t="b">
        <f t="shared" si="158"/>
        <v>0</v>
      </c>
      <c r="CY113" s="353" t="b">
        <f t="shared" si="159"/>
        <v>1</v>
      </c>
      <c r="DC113" s="347">
        <f t="shared" si="115"/>
        <v>1</v>
      </c>
      <c r="DD113" s="353" t="b">
        <f t="shared" si="160"/>
        <v>0</v>
      </c>
      <c r="DE113" s="353" t="b">
        <f t="shared" si="161"/>
        <v>0</v>
      </c>
      <c r="DF113" s="353" t="b">
        <f t="shared" si="162"/>
        <v>1</v>
      </c>
      <c r="DG113" s="353"/>
      <c r="DH113" s="353"/>
      <c r="DI113" s="353"/>
      <c r="DJ113" s="353"/>
      <c r="DK113" s="353">
        <f t="shared" si="116"/>
        <v>1</v>
      </c>
      <c r="DM113" s="341" t="str">
        <f t="shared" si="163"/>
        <v/>
      </c>
    </row>
    <row r="114" spans="2:117" x14ac:dyDescent="0.25">
      <c r="B114" s="373">
        <f t="shared" si="113"/>
        <v>84</v>
      </c>
      <c r="C114" s="373"/>
      <c r="D114" s="373"/>
      <c r="E114" s="373"/>
      <c r="F114" s="374" t="s">
        <v>1037</v>
      </c>
      <c r="G114" s="375">
        <v>1</v>
      </c>
      <c r="H114" s="375">
        <v>1</v>
      </c>
      <c r="I114" s="375">
        <v>1</v>
      </c>
      <c r="J114" s="375">
        <v>1</v>
      </c>
      <c r="K114" s="375">
        <v>1</v>
      </c>
      <c r="L114" s="375">
        <v>1</v>
      </c>
      <c r="M114" s="375">
        <v>1</v>
      </c>
      <c r="N114" s="375">
        <v>1</v>
      </c>
      <c r="O114" s="375">
        <v>1</v>
      </c>
      <c r="P114" s="375">
        <v>1</v>
      </c>
      <c r="Q114" s="375">
        <v>1</v>
      </c>
      <c r="R114" s="375">
        <v>1</v>
      </c>
      <c r="S114" s="375">
        <v>0</v>
      </c>
      <c r="T114" s="375">
        <v>1</v>
      </c>
      <c r="U114" s="375">
        <v>1</v>
      </c>
      <c r="V114" s="375">
        <v>1</v>
      </c>
      <c r="W114" s="375">
        <v>1</v>
      </c>
      <c r="X114" s="375">
        <v>1</v>
      </c>
      <c r="Y114" s="375">
        <v>1</v>
      </c>
      <c r="Z114" s="376">
        <f t="shared" si="166"/>
        <v>1</v>
      </c>
      <c r="AA114" s="376">
        <v>0</v>
      </c>
      <c r="AB114" s="376" t="s">
        <v>418</v>
      </c>
      <c r="AC114" s="376">
        <v>1</v>
      </c>
      <c r="AD114" s="376">
        <v>1</v>
      </c>
      <c r="AE114" s="376">
        <v>1</v>
      </c>
      <c r="AF114" s="376">
        <f t="shared" si="118"/>
        <v>0</v>
      </c>
      <c r="AG114" s="376">
        <v>1</v>
      </c>
      <c r="AH114" s="376">
        <f t="shared" si="119"/>
        <v>1</v>
      </c>
      <c r="AI114" s="376"/>
      <c r="AJ114" s="376"/>
      <c r="AK114" s="373">
        <f t="shared" si="120"/>
        <v>1</v>
      </c>
      <c r="AL114" s="373"/>
      <c r="AM114" s="373"/>
      <c r="AN114" s="373"/>
      <c r="AO114" s="373"/>
      <c r="AP114" s="377">
        <f t="shared" si="164"/>
        <v>1</v>
      </c>
      <c r="AQ114" s="378"/>
      <c r="AR114" s="341">
        <f t="shared" si="121"/>
        <v>1</v>
      </c>
      <c r="AS114" s="341">
        <f t="shared" si="110"/>
        <v>0</v>
      </c>
      <c r="AT114" s="341">
        <f t="shared" si="110"/>
        <v>1</v>
      </c>
      <c r="AU114" s="361">
        <f t="shared" si="122"/>
        <v>1</v>
      </c>
      <c r="AV114" s="361">
        <f t="shared" si="123"/>
        <v>1</v>
      </c>
      <c r="AW114" s="361">
        <f t="shared" si="124"/>
        <v>1</v>
      </c>
      <c r="AX114" s="361">
        <f t="shared" si="125"/>
        <v>1</v>
      </c>
      <c r="AY114" s="361">
        <f t="shared" si="126"/>
        <v>1</v>
      </c>
      <c r="AZ114" s="361">
        <f t="shared" si="127"/>
        <v>1</v>
      </c>
      <c r="BA114" s="361">
        <f t="shared" si="128"/>
        <v>1</v>
      </c>
      <c r="BB114" s="361">
        <f t="shared" si="129"/>
        <v>1</v>
      </c>
      <c r="BC114" s="361">
        <f t="shared" si="130"/>
        <v>1</v>
      </c>
      <c r="BD114" s="361">
        <f t="shared" si="131"/>
        <v>1</v>
      </c>
      <c r="BE114" s="361">
        <f t="shared" si="132"/>
        <v>1</v>
      </c>
      <c r="BF114" s="361">
        <f t="shared" si="133"/>
        <v>1</v>
      </c>
      <c r="BG114" s="361">
        <f t="shared" si="134"/>
        <v>1</v>
      </c>
      <c r="BH114" s="361">
        <f t="shared" si="135"/>
        <v>1</v>
      </c>
      <c r="BI114" s="361">
        <f t="shared" si="136"/>
        <v>1</v>
      </c>
      <c r="BJ114" s="361">
        <f t="shared" si="137"/>
        <v>1</v>
      </c>
      <c r="BK114" s="361">
        <f t="shared" si="138"/>
        <v>1</v>
      </c>
      <c r="BL114" s="361">
        <f t="shared" si="139"/>
        <v>1</v>
      </c>
      <c r="BM114" s="361">
        <f t="shared" si="140"/>
        <v>1</v>
      </c>
      <c r="BN114" s="361">
        <f t="shared" si="141"/>
        <v>1</v>
      </c>
      <c r="BO114" s="361">
        <f t="shared" si="142"/>
        <v>1</v>
      </c>
      <c r="BP114" s="361">
        <f t="shared" si="143"/>
        <v>1</v>
      </c>
      <c r="BQ114" s="361">
        <f t="shared" si="144"/>
        <v>1</v>
      </c>
      <c r="BR114" s="361">
        <f t="shared" si="145"/>
        <v>1</v>
      </c>
      <c r="BS114" s="361">
        <f t="shared" si="146"/>
        <v>1</v>
      </c>
      <c r="BT114" s="361">
        <f t="shared" si="147"/>
        <v>1</v>
      </c>
      <c r="BU114" s="361">
        <f t="shared" si="148"/>
        <v>1</v>
      </c>
      <c r="BV114" s="361">
        <f t="shared" si="149"/>
        <v>1</v>
      </c>
      <c r="BW114" s="361">
        <f t="shared" si="150"/>
        <v>1</v>
      </c>
      <c r="BX114" s="361">
        <f t="shared" si="151"/>
        <v>1</v>
      </c>
      <c r="BY114" s="361">
        <f t="shared" si="152"/>
        <v>1</v>
      </c>
      <c r="BZ114" s="361">
        <f t="shared" si="153"/>
        <v>1</v>
      </c>
      <c r="CA114" s="361">
        <f t="shared" si="154"/>
        <v>1</v>
      </c>
      <c r="CB114" s="361">
        <f t="shared" si="155"/>
        <v>1</v>
      </c>
      <c r="CC114" s="361">
        <f t="shared" si="156"/>
        <v>1</v>
      </c>
      <c r="CH114" s="341">
        <f t="shared" si="114"/>
        <v>1</v>
      </c>
      <c r="CI114" s="341">
        <f t="shared" si="114"/>
        <v>2</v>
      </c>
      <c r="CJ114" s="341">
        <f t="shared" si="114"/>
        <v>3</v>
      </c>
      <c r="CK114" s="341">
        <f t="shared" si="114"/>
        <v>4</v>
      </c>
      <c r="CL114" s="341">
        <f t="shared" si="114"/>
        <v>5</v>
      </c>
      <c r="CM114" s="341">
        <f t="shared" si="112"/>
        <v>6</v>
      </c>
      <c r="CN114" s="341">
        <f t="shared" si="112"/>
        <v>7</v>
      </c>
      <c r="CO114" s="341">
        <f t="shared" si="112"/>
        <v>8</v>
      </c>
      <c r="CP114" s="341">
        <f t="shared" si="112"/>
        <v>9</v>
      </c>
      <c r="CQ114" s="341">
        <f t="shared" si="112"/>
        <v>10</v>
      </c>
      <c r="CT114" s="353"/>
      <c r="CU114" s="353"/>
      <c r="CV114" s="353"/>
      <c r="CW114" s="353" t="b">
        <f t="shared" si="157"/>
        <v>1</v>
      </c>
      <c r="CX114" s="353" t="b">
        <f t="shared" si="158"/>
        <v>0</v>
      </c>
      <c r="CY114" s="353" t="b">
        <f t="shared" si="159"/>
        <v>1</v>
      </c>
      <c r="DC114" s="347">
        <f t="shared" si="115"/>
        <v>2</v>
      </c>
      <c r="DD114" s="353" t="b">
        <f t="shared" si="160"/>
        <v>1</v>
      </c>
      <c r="DE114" s="353" t="b">
        <f t="shared" si="161"/>
        <v>0</v>
      </c>
      <c r="DF114" s="353" t="b">
        <f t="shared" si="162"/>
        <v>1</v>
      </c>
      <c r="DG114" s="353"/>
      <c r="DH114" s="353"/>
      <c r="DI114" s="353"/>
      <c r="DJ114" s="353"/>
      <c r="DK114" s="353">
        <f t="shared" si="116"/>
        <v>2</v>
      </c>
      <c r="DM114" s="341">
        <f t="shared" si="163"/>
        <v>0</v>
      </c>
    </row>
    <row r="115" spans="2:117" x14ac:dyDescent="0.25">
      <c r="B115" s="373">
        <f t="shared" si="113"/>
        <v>85</v>
      </c>
      <c r="C115" s="373"/>
      <c r="D115" s="373"/>
      <c r="E115" s="373"/>
      <c r="F115" s="374" t="s">
        <v>188</v>
      </c>
      <c r="G115" s="375">
        <v>1</v>
      </c>
      <c r="H115" s="375">
        <v>1</v>
      </c>
      <c r="I115" s="375">
        <v>1</v>
      </c>
      <c r="J115" s="375">
        <v>1</v>
      </c>
      <c r="K115" s="375">
        <v>1</v>
      </c>
      <c r="L115" s="375">
        <v>1</v>
      </c>
      <c r="M115" s="375">
        <v>1</v>
      </c>
      <c r="N115" s="375">
        <v>1</v>
      </c>
      <c r="O115" s="375">
        <v>1</v>
      </c>
      <c r="P115" s="375">
        <v>1</v>
      </c>
      <c r="Q115" s="375">
        <v>1</v>
      </c>
      <c r="R115" s="375">
        <v>1</v>
      </c>
      <c r="S115" s="375">
        <v>0</v>
      </c>
      <c r="T115" s="375">
        <v>1</v>
      </c>
      <c r="U115" s="375">
        <v>1</v>
      </c>
      <c r="V115" s="375">
        <v>1</v>
      </c>
      <c r="W115" s="375">
        <v>1</v>
      </c>
      <c r="X115" s="375">
        <v>1</v>
      </c>
      <c r="Y115" s="375">
        <v>1</v>
      </c>
      <c r="Z115" s="376">
        <f t="shared" ref="Z115:Z124" si="167">IF(F115="","",IF(AND(S115=1,T115=1),$AS$1,IF(OR(S115=1,AND(T115=1,U115=1,V115=1,W115=1,X115=1,Y115=1)),1,0)))</f>
        <v>1</v>
      </c>
      <c r="AA115" s="376">
        <v>1</v>
      </c>
      <c r="AB115" s="376"/>
      <c r="AC115" s="376"/>
      <c r="AD115" s="376"/>
      <c r="AE115" s="376"/>
      <c r="AF115" s="376">
        <f t="shared" si="118"/>
        <v>0</v>
      </c>
      <c r="AG115" s="376">
        <v>1</v>
      </c>
      <c r="AH115" s="376">
        <f t="shared" si="119"/>
        <v>1</v>
      </c>
      <c r="AI115" s="376"/>
      <c r="AJ115" s="376"/>
      <c r="AK115" s="373">
        <f t="shared" si="120"/>
        <v>1</v>
      </c>
      <c r="AL115" s="373"/>
      <c r="AM115" s="373"/>
      <c r="AN115" s="373"/>
      <c r="AO115" s="373"/>
      <c r="AP115" s="377">
        <f t="shared" si="164"/>
        <v>1</v>
      </c>
      <c r="AQ115" s="378"/>
      <c r="AR115" s="341">
        <f t="shared" si="121"/>
        <v>1</v>
      </c>
      <c r="AS115" s="341">
        <f t="shared" si="110"/>
        <v>0</v>
      </c>
      <c r="AT115" s="341">
        <f t="shared" si="110"/>
        <v>1</v>
      </c>
      <c r="AU115" s="361">
        <f t="shared" si="122"/>
        <v>1</v>
      </c>
      <c r="AV115" s="361">
        <f t="shared" si="123"/>
        <v>1</v>
      </c>
      <c r="AW115" s="361">
        <f t="shared" si="124"/>
        <v>1</v>
      </c>
      <c r="AX115" s="361">
        <f t="shared" si="125"/>
        <v>1</v>
      </c>
      <c r="AY115" s="361">
        <f t="shared" si="126"/>
        <v>1</v>
      </c>
      <c r="AZ115" s="361">
        <f t="shared" si="127"/>
        <v>1</v>
      </c>
      <c r="BA115" s="361">
        <f t="shared" si="128"/>
        <v>1</v>
      </c>
      <c r="BB115" s="361">
        <f t="shared" si="129"/>
        <v>1</v>
      </c>
      <c r="BC115" s="361">
        <f t="shared" si="130"/>
        <v>1</v>
      </c>
      <c r="BD115" s="361">
        <f t="shared" si="131"/>
        <v>1</v>
      </c>
      <c r="BE115" s="361">
        <f t="shared" si="132"/>
        <v>1</v>
      </c>
      <c r="BF115" s="361">
        <f t="shared" si="133"/>
        <v>1</v>
      </c>
      <c r="BG115" s="361">
        <f t="shared" si="134"/>
        <v>1</v>
      </c>
      <c r="BH115" s="361">
        <f t="shared" si="135"/>
        <v>1</v>
      </c>
      <c r="BI115" s="361">
        <f t="shared" si="136"/>
        <v>1</v>
      </c>
      <c r="BJ115" s="361">
        <f t="shared" si="137"/>
        <v>1</v>
      </c>
      <c r="BK115" s="361">
        <f t="shared" si="138"/>
        <v>1</v>
      </c>
      <c r="BL115" s="361">
        <f t="shared" si="139"/>
        <v>1</v>
      </c>
      <c r="BM115" s="361">
        <f t="shared" si="140"/>
        <v>1</v>
      </c>
      <c r="BN115" s="361">
        <f t="shared" si="141"/>
        <v>1</v>
      </c>
      <c r="BO115" s="361">
        <f t="shared" si="142"/>
        <v>1</v>
      </c>
      <c r="BP115" s="361">
        <f t="shared" si="143"/>
        <v>1</v>
      </c>
      <c r="BQ115" s="361">
        <f t="shared" si="144"/>
        <v>1</v>
      </c>
      <c r="BR115" s="361">
        <f t="shared" si="145"/>
        <v>1</v>
      </c>
      <c r="BS115" s="361">
        <f t="shared" si="146"/>
        <v>1</v>
      </c>
      <c r="BT115" s="361">
        <f t="shared" si="147"/>
        <v>1</v>
      </c>
      <c r="BU115" s="361">
        <f t="shared" si="148"/>
        <v>1</v>
      </c>
      <c r="BV115" s="361">
        <f t="shared" si="149"/>
        <v>1</v>
      </c>
      <c r="BW115" s="361">
        <f t="shared" si="150"/>
        <v>1</v>
      </c>
      <c r="BX115" s="361">
        <f t="shared" si="151"/>
        <v>1</v>
      </c>
      <c r="BY115" s="361">
        <f t="shared" si="152"/>
        <v>1</v>
      </c>
      <c r="BZ115" s="361">
        <f t="shared" si="153"/>
        <v>1</v>
      </c>
      <c r="CA115" s="361">
        <f t="shared" si="154"/>
        <v>1</v>
      </c>
      <c r="CB115" s="361">
        <f t="shared" si="155"/>
        <v>1</v>
      </c>
      <c r="CC115" s="361">
        <f t="shared" si="156"/>
        <v>1</v>
      </c>
      <c r="CH115" s="341">
        <f t="shared" si="114"/>
        <v>1</v>
      </c>
      <c r="CI115" s="341">
        <f t="shared" si="114"/>
        <v>2</v>
      </c>
      <c r="CJ115" s="341">
        <f t="shared" si="114"/>
        <v>3</v>
      </c>
      <c r="CK115" s="341">
        <f t="shared" si="114"/>
        <v>4</v>
      </c>
      <c r="CL115" s="341">
        <f t="shared" si="114"/>
        <v>5</v>
      </c>
      <c r="CM115" s="341">
        <f t="shared" si="112"/>
        <v>6</v>
      </c>
      <c r="CN115" s="341">
        <f t="shared" si="112"/>
        <v>7</v>
      </c>
      <c r="CO115" s="341">
        <f t="shared" si="112"/>
        <v>8</v>
      </c>
      <c r="CP115" s="341">
        <f t="shared" si="112"/>
        <v>9</v>
      </c>
      <c r="CQ115" s="341">
        <f t="shared" si="112"/>
        <v>10</v>
      </c>
      <c r="CT115" s="353"/>
      <c r="CU115" s="353"/>
      <c r="CV115" s="353"/>
      <c r="CW115" s="353" t="b">
        <f t="shared" si="157"/>
        <v>1</v>
      </c>
      <c r="CX115" s="353" t="b">
        <f t="shared" si="158"/>
        <v>0</v>
      </c>
      <c r="CY115" s="353" t="b">
        <f t="shared" si="159"/>
        <v>1</v>
      </c>
      <c r="DC115" s="347">
        <f t="shared" si="115"/>
        <v>2</v>
      </c>
      <c r="DD115" s="353" t="b">
        <f t="shared" si="160"/>
        <v>1</v>
      </c>
      <c r="DE115" s="353" t="b">
        <f t="shared" si="161"/>
        <v>0</v>
      </c>
      <c r="DF115" s="353" t="b">
        <f t="shared" si="162"/>
        <v>1</v>
      </c>
      <c r="DG115" s="353"/>
      <c r="DH115" s="353"/>
      <c r="DI115" s="353"/>
      <c r="DJ115" s="353"/>
      <c r="DK115" s="353">
        <f t="shared" si="116"/>
        <v>2</v>
      </c>
      <c r="DM115" s="341">
        <f t="shared" si="163"/>
        <v>0</v>
      </c>
    </row>
    <row r="116" spans="2:117" x14ac:dyDescent="0.25">
      <c r="B116" s="373">
        <f t="shared" si="113"/>
        <v>86</v>
      </c>
      <c r="C116" s="373"/>
      <c r="D116" s="373"/>
      <c r="E116" s="373"/>
      <c r="F116" s="374" t="s">
        <v>189</v>
      </c>
      <c r="G116" s="375">
        <v>1</v>
      </c>
      <c r="H116" s="375">
        <v>1</v>
      </c>
      <c r="I116" s="375">
        <v>1</v>
      </c>
      <c r="J116" s="375">
        <v>1</v>
      </c>
      <c r="K116" s="375">
        <v>1</v>
      </c>
      <c r="L116" s="375">
        <v>1</v>
      </c>
      <c r="M116" s="375">
        <v>1</v>
      </c>
      <c r="N116" s="375">
        <v>1</v>
      </c>
      <c r="O116" s="375">
        <v>1</v>
      </c>
      <c r="P116" s="375">
        <v>1</v>
      </c>
      <c r="Q116" s="375">
        <v>1</v>
      </c>
      <c r="R116" s="375">
        <v>1</v>
      </c>
      <c r="S116" s="375">
        <v>0</v>
      </c>
      <c r="T116" s="375">
        <v>1</v>
      </c>
      <c r="U116" s="375">
        <v>1</v>
      </c>
      <c r="V116" s="375">
        <v>1</v>
      </c>
      <c r="W116" s="375">
        <v>1</v>
      </c>
      <c r="X116" s="375">
        <v>1</v>
      </c>
      <c r="Y116" s="375">
        <v>1</v>
      </c>
      <c r="Z116" s="376">
        <f t="shared" si="167"/>
        <v>1</v>
      </c>
      <c r="AA116" s="376">
        <v>1</v>
      </c>
      <c r="AB116" s="376"/>
      <c r="AC116" s="376"/>
      <c r="AD116" s="376"/>
      <c r="AE116" s="376"/>
      <c r="AF116" s="376">
        <f t="shared" si="118"/>
        <v>0</v>
      </c>
      <c r="AG116" s="376">
        <v>1</v>
      </c>
      <c r="AH116" s="376">
        <f t="shared" si="119"/>
        <v>1</v>
      </c>
      <c r="AI116" s="376"/>
      <c r="AJ116" s="376"/>
      <c r="AK116" s="373">
        <f t="shared" si="120"/>
        <v>1</v>
      </c>
      <c r="AL116" s="373"/>
      <c r="AM116" s="373"/>
      <c r="AN116" s="373"/>
      <c r="AO116" s="373"/>
      <c r="AP116" s="377">
        <f t="shared" si="164"/>
        <v>1</v>
      </c>
      <c r="AQ116" s="378"/>
      <c r="AR116" s="341">
        <f t="shared" si="121"/>
        <v>1</v>
      </c>
      <c r="AS116" s="341">
        <f t="shared" si="110"/>
        <v>0</v>
      </c>
      <c r="AT116" s="341">
        <f t="shared" si="110"/>
        <v>1</v>
      </c>
      <c r="AU116" s="361">
        <f t="shared" si="122"/>
        <v>1</v>
      </c>
      <c r="AV116" s="361">
        <f t="shared" si="123"/>
        <v>1</v>
      </c>
      <c r="AW116" s="361">
        <f t="shared" si="124"/>
        <v>1</v>
      </c>
      <c r="AX116" s="361">
        <f t="shared" si="125"/>
        <v>1</v>
      </c>
      <c r="AY116" s="361">
        <f t="shared" si="126"/>
        <v>1</v>
      </c>
      <c r="AZ116" s="361">
        <f t="shared" si="127"/>
        <v>1</v>
      </c>
      <c r="BA116" s="361">
        <f t="shared" si="128"/>
        <v>1</v>
      </c>
      <c r="BB116" s="361">
        <f t="shared" si="129"/>
        <v>1</v>
      </c>
      <c r="BC116" s="361">
        <f t="shared" si="130"/>
        <v>1</v>
      </c>
      <c r="BD116" s="361">
        <f t="shared" si="131"/>
        <v>1</v>
      </c>
      <c r="BE116" s="361">
        <f t="shared" si="132"/>
        <v>1</v>
      </c>
      <c r="BF116" s="361">
        <f t="shared" si="133"/>
        <v>1</v>
      </c>
      <c r="BG116" s="361">
        <f t="shared" si="134"/>
        <v>1</v>
      </c>
      <c r="BH116" s="361">
        <f t="shared" si="135"/>
        <v>1</v>
      </c>
      <c r="BI116" s="361">
        <f t="shared" si="136"/>
        <v>1</v>
      </c>
      <c r="BJ116" s="361">
        <f t="shared" si="137"/>
        <v>1</v>
      </c>
      <c r="BK116" s="361">
        <f t="shared" si="138"/>
        <v>1</v>
      </c>
      <c r="BL116" s="361">
        <f t="shared" si="139"/>
        <v>1</v>
      </c>
      <c r="BM116" s="361">
        <f t="shared" si="140"/>
        <v>1</v>
      </c>
      <c r="BN116" s="361">
        <f t="shared" si="141"/>
        <v>1</v>
      </c>
      <c r="BO116" s="361">
        <f t="shared" si="142"/>
        <v>1</v>
      </c>
      <c r="BP116" s="361">
        <f t="shared" si="143"/>
        <v>1</v>
      </c>
      <c r="BQ116" s="361">
        <f t="shared" si="144"/>
        <v>1</v>
      </c>
      <c r="BR116" s="361">
        <f t="shared" si="145"/>
        <v>1</v>
      </c>
      <c r="BS116" s="361">
        <f t="shared" si="146"/>
        <v>1</v>
      </c>
      <c r="BT116" s="361">
        <f t="shared" si="147"/>
        <v>1</v>
      </c>
      <c r="BU116" s="361">
        <f t="shared" si="148"/>
        <v>1</v>
      </c>
      <c r="BV116" s="361">
        <f t="shared" si="149"/>
        <v>1</v>
      </c>
      <c r="BW116" s="361">
        <f t="shared" si="150"/>
        <v>1</v>
      </c>
      <c r="BX116" s="361">
        <f t="shared" si="151"/>
        <v>1</v>
      </c>
      <c r="BY116" s="361">
        <f t="shared" si="152"/>
        <v>1</v>
      </c>
      <c r="BZ116" s="361">
        <f t="shared" si="153"/>
        <v>1</v>
      </c>
      <c r="CA116" s="361">
        <f t="shared" si="154"/>
        <v>1</v>
      </c>
      <c r="CB116" s="361">
        <f t="shared" si="155"/>
        <v>1</v>
      </c>
      <c r="CC116" s="361">
        <f t="shared" si="156"/>
        <v>1</v>
      </c>
      <c r="CH116" s="341">
        <f t="shared" si="114"/>
        <v>1</v>
      </c>
      <c r="CI116" s="341">
        <f t="shared" si="114"/>
        <v>2</v>
      </c>
      <c r="CJ116" s="341">
        <f t="shared" si="114"/>
        <v>3</v>
      </c>
      <c r="CK116" s="341">
        <f t="shared" si="114"/>
        <v>4</v>
      </c>
      <c r="CL116" s="341">
        <f t="shared" si="114"/>
        <v>5</v>
      </c>
      <c r="CM116" s="341">
        <f t="shared" si="112"/>
        <v>6</v>
      </c>
      <c r="CN116" s="341">
        <f t="shared" si="112"/>
        <v>7</v>
      </c>
      <c r="CO116" s="341">
        <f t="shared" si="112"/>
        <v>8</v>
      </c>
      <c r="CP116" s="341">
        <f t="shared" si="112"/>
        <v>9</v>
      </c>
      <c r="CQ116" s="341">
        <f t="shared" si="112"/>
        <v>10</v>
      </c>
      <c r="CT116" s="353"/>
      <c r="CU116" s="353"/>
      <c r="CV116" s="353"/>
      <c r="CW116" s="353" t="b">
        <f t="shared" si="157"/>
        <v>1</v>
      </c>
      <c r="CX116" s="353" t="b">
        <f t="shared" si="158"/>
        <v>0</v>
      </c>
      <c r="CY116" s="353" t="b">
        <f t="shared" si="159"/>
        <v>1</v>
      </c>
      <c r="DC116" s="347">
        <f t="shared" si="115"/>
        <v>2</v>
      </c>
      <c r="DD116" s="353" t="b">
        <f t="shared" si="160"/>
        <v>1</v>
      </c>
      <c r="DE116" s="353" t="b">
        <f t="shared" si="161"/>
        <v>0</v>
      </c>
      <c r="DF116" s="353" t="b">
        <f t="shared" si="162"/>
        <v>1</v>
      </c>
      <c r="DG116" s="353"/>
      <c r="DH116" s="353"/>
      <c r="DI116" s="353"/>
      <c r="DJ116" s="353"/>
      <c r="DK116" s="353">
        <f t="shared" si="116"/>
        <v>2</v>
      </c>
      <c r="DM116" s="341">
        <f t="shared" si="163"/>
        <v>0</v>
      </c>
    </row>
    <row r="117" spans="2:117" x14ac:dyDescent="0.25">
      <c r="B117" s="373">
        <f t="shared" si="113"/>
        <v>87</v>
      </c>
      <c r="C117" s="373"/>
      <c r="D117" s="373"/>
      <c r="E117" s="373"/>
      <c r="F117" s="374" t="s">
        <v>190</v>
      </c>
      <c r="G117" s="375">
        <v>1</v>
      </c>
      <c r="H117" s="375">
        <v>1</v>
      </c>
      <c r="I117" s="375">
        <v>1</v>
      </c>
      <c r="J117" s="375">
        <v>1</v>
      </c>
      <c r="K117" s="375">
        <v>1</v>
      </c>
      <c r="L117" s="375">
        <v>1</v>
      </c>
      <c r="M117" s="375">
        <v>1</v>
      </c>
      <c r="N117" s="375">
        <v>1</v>
      </c>
      <c r="O117" s="375">
        <v>1</v>
      </c>
      <c r="P117" s="375">
        <v>1</v>
      </c>
      <c r="Q117" s="375">
        <v>1</v>
      </c>
      <c r="R117" s="375">
        <v>1</v>
      </c>
      <c r="S117" s="375">
        <v>0</v>
      </c>
      <c r="T117" s="375">
        <v>1</v>
      </c>
      <c r="U117" s="375">
        <v>1</v>
      </c>
      <c r="V117" s="375">
        <v>1</v>
      </c>
      <c r="W117" s="375">
        <v>1</v>
      </c>
      <c r="X117" s="375">
        <v>1</v>
      </c>
      <c r="Y117" s="375">
        <v>1</v>
      </c>
      <c r="Z117" s="376">
        <f t="shared" si="167"/>
        <v>1</v>
      </c>
      <c r="AA117" s="376">
        <v>1</v>
      </c>
      <c r="AB117" s="376"/>
      <c r="AC117" s="376"/>
      <c r="AD117" s="376"/>
      <c r="AE117" s="376"/>
      <c r="AF117" s="376">
        <f t="shared" si="118"/>
        <v>0</v>
      </c>
      <c r="AG117" s="376">
        <v>1</v>
      </c>
      <c r="AH117" s="376">
        <f t="shared" si="119"/>
        <v>1</v>
      </c>
      <c r="AI117" s="376"/>
      <c r="AJ117" s="376"/>
      <c r="AK117" s="373">
        <f t="shared" si="120"/>
        <v>1</v>
      </c>
      <c r="AL117" s="373"/>
      <c r="AM117" s="373"/>
      <c r="AN117" s="373"/>
      <c r="AO117" s="373"/>
      <c r="AP117" s="377">
        <f t="shared" si="164"/>
        <v>1</v>
      </c>
      <c r="AQ117" s="378"/>
      <c r="AR117" s="341">
        <f t="shared" si="121"/>
        <v>1</v>
      </c>
      <c r="AS117" s="341">
        <f t="shared" si="110"/>
        <v>0</v>
      </c>
      <c r="AT117" s="341">
        <f t="shared" si="110"/>
        <v>1</v>
      </c>
      <c r="AU117" s="361">
        <f t="shared" si="122"/>
        <v>1</v>
      </c>
      <c r="AV117" s="361">
        <f t="shared" si="123"/>
        <v>1</v>
      </c>
      <c r="AW117" s="361">
        <f t="shared" si="124"/>
        <v>1</v>
      </c>
      <c r="AX117" s="361">
        <f t="shared" si="125"/>
        <v>1</v>
      </c>
      <c r="AY117" s="361">
        <f t="shared" si="126"/>
        <v>1</v>
      </c>
      <c r="AZ117" s="361">
        <f t="shared" si="127"/>
        <v>1</v>
      </c>
      <c r="BA117" s="361">
        <f t="shared" si="128"/>
        <v>1</v>
      </c>
      <c r="BB117" s="361">
        <f t="shared" si="129"/>
        <v>1</v>
      </c>
      <c r="BC117" s="361">
        <f t="shared" si="130"/>
        <v>1</v>
      </c>
      <c r="BD117" s="361">
        <f t="shared" si="131"/>
        <v>1</v>
      </c>
      <c r="BE117" s="361">
        <f t="shared" si="132"/>
        <v>1</v>
      </c>
      <c r="BF117" s="361">
        <f t="shared" si="133"/>
        <v>1</v>
      </c>
      <c r="BG117" s="361">
        <f t="shared" si="134"/>
        <v>1</v>
      </c>
      <c r="BH117" s="361">
        <f t="shared" si="135"/>
        <v>1</v>
      </c>
      <c r="BI117" s="361">
        <f t="shared" si="136"/>
        <v>1</v>
      </c>
      <c r="BJ117" s="361">
        <f t="shared" si="137"/>
        <v>1</v>
      </c>
      <c r="BK117" s="361">
        <f t="shared" si="138"/>
        <v>1</v>
      </c>
      <c r="BL117" s="361">
        <f t="shared" si="139"/>
        <v>1</v>
      </c>
      <c r="BM117" s="361">
        <f t="shared" si="140"/>
        <v>1</v>
      </c>
      <c r="BN117" s="361">
        <f t="shared" si="141"/>
        <v>1</v>
      </c>
      <c r="BO117" s="361">
        <f t="shared" si="142"/>
        <v>1</v>
      </c>
      <c r="BP117" s="361">
        <f t="shared" si="143"/>
        <v>1</v>
      </c>
      <c r="BQ117" s="361">
        <f t="shared" si="144"/>
        <v>1</v>
      </c>
      <c r="BR117" s="361">
        <f t="shared" si="145"/>
        <v>1</v>
      </c>
      <c r="BS117" s="361">
        <f t="shared" si="146"/>
        <v>1</v>
      </c>
      <c r="BT117" s="361">
        <f t="shared" si="147"/>
        <v>1</v>
      </c>
      <c r="BU117" s="361">
        <f t="shared" si="148"/>
        <v>1</v>
      </c>
      <c r="BV117" s="361">
        <f t="shared" si="149"/>
        <v>1</v>
      </c>
      <c r="BW117" s="361">
        <f t="shared" si="150"/>
        <v>1</v>
      </c>
      <c r="BX117" s="361">
        <f t="shared" si="151"/>
        <v>1</v>
      </c>
      <c r="BY117" s="361">
        <f t="shared" si="152"/>
        <v>1</v>
      </c>
      <c r="BZ117" s="361">
        <f t="shared" si="153"/>
        <v>1</v>
      </c>
      <c r="CA117" s="361">
        <f t="shared" si="154"/>
        <v>1</v>
      </c>
      <c r="CB117" s="361">
        <f t="shared" si="155"/>
        <v>1</v>
      </c>
      <c r="CC117" s="361">
        <f t="shared" si="156"/>
        <v>1</v>
      </c>
      <c r="CH117" s="341">
        <f t="shared" si="114"/>
        <v>1</v>
      </c>
      <c r="CI117" s="341">
        <f t="shared" si="114"/>
        <v>2</v>
      </c>
      <c r="CJ117" s="341">
        <f t="shared" si="114"/>
        <v>3</v>
      </c>
      <c r="CK117" s="341">
        <f t="shared" si="114"/>
        <v>4</v>
      </c>
      <c r="CL117" s="341">
        <f t="shared" si="114"/>
        <v>5</v>
      </c>
      <c r="CM117" s="341">
        <f t="shared" si="112"/>
        <v>6</v>
      </c>
      <c r="CN117" s="341">
        <f t="shared" si="112"/>
        <v>7</v>
      </c>
      <c r="CO117" s="341">
        <f t="shared" si="112"/>
        <v>8</v>
      </c>
      <c r="CP117" s="341">
        <f t="shared" si="112"/>
        <v>9</v>
      </c>
      <c r="CQ117" s="341">
        <f t="shared" si="112"/>
        <v>10</v>
      </c>
      <c r="CT117" s="353"/>
      <c r="CU117" s="353"/>
      <c r="CV117" s="353"/>
      <c r="CW117" s="353" t="b">
        <f t="shared" si="157"/>
        <v>1</v>
      </c>
      <c r="CX117" s="353" t="b">
        <f t="shared" si="158"/>
        <v>0</v>
      </c>
      <c r="CY117" s="353" t="b">
        <f t="shared" si="159"/>
        <v>1</v>
      </c>
      <c r="DC117" s="347">
        <f t="shared" si="115"/>
        <v>2</v>
      </c>
      <c r="DD117" s="353" t="b">
        <f t="shared" si="160"/>
        <v>1</v>
      </c>
      <c r="DE117" s="353" t="b">
        <f t="shared" si="161"/>
        <v>0</v>
      </c>
      <c r="DF117" s="353" t="b">
        <f t="shared" si="162"/>
        <v>1</v>
      </c>
      <c r="DG117" s="353"/>
      <c r="DH117" s="353"/>
      <c r="DI117" s="353"/>
      <c r="DJ117" s="353"/>
      <c r="DK117" s="353">
        <f t="shared" si="116"/>
        <v>2</v>
      </c>
      <c r="DM117" s="341">
        <f t="shared" si="163"/>
        <v>0</v>
      </c>
    </row>
    <row r="118" spans="2:117" x14ac:dyDescent="0.25">
      <c r="B118" s="373">
        <f t="shared" si="113"/>
        <v>88</v>
      </c>
      <c r="C118" s="373"/>
      <c r="D118" s="373"/>
      <c r="E118" s="373"/>
      <c r="F118" s="374" t="s">
        <v>191</v>
      </c>
      <c r="G118" s="375">
        <v>1</v>
      </c>
      <c r="H118" s="375">
        <v>1</v>
      </c>
      <c r="I118" s="375">
        <v>1</v>
      </c>
      <c r="J118" s="375">
        <v>1</v>
      </c>
      <c r="K118" s="375">
        <v>1</v>
      </c>
      <c r="L118" s="375">
        <v>1</v>
      </c>
      <c r="M118" s="375">
        <v>1</v>
      </c>
      <c r="N118" s="375">
        <v>1</v>
      </c>
      <c r="O118" s="375">
        <v>1</v>
      </c>
      <c r="P118" s="375">
        <v>1</v>
      </c>
      <c r="Q118" s="375">
        <v>1</v>
      </c>
      <c r="R118" s="375">
        <v>1</v>
      </c>
      <c r="S118" s="375">
        <v>0</v>
      </c>
      <c r="T118" s="375">
        <v>1</v>
      </c>
      <c r="U118" s="375">
        <v>1</v>
      </c>
      <c r="V118" s="375">
        <v>1</v>
      </c>
      <c r="W118" s="375">
        <v>1</v>
      </c>
      <c r="X118" s="375">
        <v>1</v>
      </c>
      <c r="Y118" s="375">
        <v>1</v>
      </c>
      <c r="Z118" s="376">
        <f t="shared" si="167"/>
        <v>1</v>
      </c>
      <c r="AA118" s="376">
        <v>1</v>
      </c>
      <c r="AB118" s="376"/>
      <c r="AC118" s="376"/>
      <c r="AD118" s="376"/>
      <c r="AE118" s="376"/>
      <c r="AF118" s="376">
        <f t="shared" si="118"/>
        <v>0</v>
      </c>
      <c r="AG118" s="376">
        <v>1</v>
      </c>
      <c r="AH118" s="376">
        <f t="shared" si="119"/>
        <v>1</v>
      </c>
      <c r="AI118" s="376"/>
      <c r="AJ118" s="376"/>
      <c r="AK118" s="373">
        <f t="shared" si="120"/>
        <v>1</v>
      </c>
      <c r="AL118" s="373"/>
      <c r="AM118" s="373"/>
      <c r="AN118" s="373"/>
      <c r="AO118" s="373"/>
      <c r="AP118" s="377">
        <f t="shared" si="164"/>
        <v>1</v>
      </c>
      <c r="AQ118" s="378"/>
      <c r="AR118" s="341">
        <f t="shared" si="121"/>
        <v>1</v>
      </c>
      <c r="AS118" s="341">
        <f t="shared" si="110"/>
        <v>0</v>
      </c>
      <c r="AT118" s="341">
        <f t="shared" si="110"/>
        <v>1</v>
      </c>
      <c r="AU118" s="361">
        <f t="shared" si="122"/>
        <v>1</v>
      </c>
      <c r="AV118" s="361">
        <f t="shared" si="123"/>
        <v>1</v>
      </c>
      <c r="AW118" s="361">
        <f t="shared" si="124"/>
        <v>1</v>
      </c>
      <c r="AX118" s="361">
        <f t="shared" si="125"/>
        <v>1</v>
      </c>
      <c r="AY118" s="361">
        <f t="shared" si="126"/>
        <v>1</v>
      </c>
      <c r="AZ118" s="361">
        <f t="shared" si="127"/>
        <v>1</v>
      </c>
      <c r="BA118" s="361">
        <f t="shared" si="128"/>
        <v>1</v>
      </c>
      <c r="BB118" s="361">
        <f t="shared" si="129"/>
        <v>1</v>
      </c>
      <c r="BC118" s="361">
        <f t="shared" si="130"/>
        <v>1</v>
      </c>
      <c r="BD118" s="361">
        <f t="shared" si="131"/>
        <v>1</v>
      </c>
      <c r="BE118" s="361">
        <f t="shared" si="132"/>
        <v>1</v>
      </c>
      <c r="BF118" s="361">
        <f t="shared" si="133"/>
        <v>1</v>
      </c>
      <c r="BG118" s="361">
        <f t="shared" si="134"/>
        <v>1</v>
      </c>
      <c r="BH118" s="361">
        <f t="shared" si="135"/>
        <v>1</v>
      </c>
      <c r="BI118" s="361">
        <f t="shared" si="136"/>
        <v>1</v>
      </c>
      <c r="BJ118" s="361">
        <f t="shared" si="137"/>
        <v>1</v>
      </c>
      <c r="BK118" s="361">
        <f t="shared" si="138"/>
        <v>1</v>
      </c>
      <c r="BL118" s="361">
        <f t="shared" si="139"/>
        <v>1</v>
      </c>
      <c r="BM118" s="361">
        <f t="shared" si="140"/>
        <v>1</v>
      </c>
      <c r="BN118" s="361">
        <f t="shared" si="141"/>
        <v>1</v>
      </c>
      <c r="BO118" s="361">
        <f t="shared" si="142"/>
        <v>1</v>
      </c>
      <c r="BP118" s="361">
        <f t="shared" si="143"/>
        <v>1</v>
      </c>
      <c r="BQ118" s="361">
        <f t="shared" si="144"/>
        <v>1</v>
      </c>
      <c r="BR118" s="361">
        <f t="shared" si="145"/>
        <v>1</v>
      </c>
      <c r="BS118" s="361">
        <f t="shared" si="146"/>
        <v>1</v>
      </c>
      <c r="BT118" s="361">
        <f t="shared" si="147"/>
        <v>1</v>
      </c>
      <c r="BU118" s="361">
        <f t="shared" si="148"/>
        <v>1</v>
      </c>
      <c r="BV118" s="361">
        <f t="shared" si="149"/>
        <v>1</v>
      </c>
      <c r="BW118" s="361">
        <f t="shared" si="150"/>
        <v>1</v>
      </c>
      <c r="BX118" s="361">
        <f t="shared" si="151"/>
        <v>1</v>
      </c>
      <c r="BY118" s="361">
        <f t="shared" si="152"/>
        <v>1</v>
      </c>
      <c r="BZ118" s="361">
        <f t="shared" si="153"/>
        <v>1</v>
      </c>
      <c r="CA118" s="361">
        <f t="shared" si="154"/>
        <v>1</v>
      </c>
      <c r="CB118" s="361">
        <f t="shared" si="155"/>
        <v>1</v>
      </c>
      <c r="CC118" s="361">
        <f t="shared" si="156"/>
        <v>1</v>
      </c>
      <c r="CH118" s="341">
        <f t="shared" si="114"/>
        <v>1</v>
      </c>
      <c r="CI118" s="341">
        <f t="shared" si="114"/>
        <v>2</v>
      </c>
      <c r="CJ118" s="341">
        <f t="shared" si="114"/>
        <v>3</v>
      </c>
      <c r="CK118" s="341">
        <f t="shared" si="114"/>
        <v>4</v>
      </c>
      <c r="CL118" s="341">
        <f t="shared" si="114"/>
        <v>5</v>
      </c>
      <c r="CM118" s="341">
        <f t="shared" si="112"/>
        <v>6</v>
      </c>
      <c r="CN118" s="341">
        <f t="shared" si="112"/>
        <v>7</v>
      </c>
      <c r="CO118" s="341">
        <f t="shared" si="112"/>
        <v>8</v>
      </c>
      <c r="CP118" s="341">
        <f t="shared" si="112"/>
        <v>9</v>
      </c>
      <c r="CQ118" s="341">
        <f t="shared" si="112"/>
        <v>10</v>
      </c>
      <c r="CT118" s="353"/>
      <c r="CU118" s="353"/>
      <c r="CV118" s="353"/>
      <c r="CW118" s="353" t="b">
        <f t="shared" si="157"/>
        <v>1</v>
      </c>
      <c r="CX118" s="353" t="b">
        <f t="shared" si="158"/>
        <v>0</v>
      </c>
      <c r="CY118" s="353" t="b">
        <f t="shared" si="159"/>
        <v>1</v>
      </c>
      <c r="DC118" s="347">
        <f t="shared" si="115"/>
        <v>2</v>
      </c>
      <c r="DD118" s="353" t="b">
        <f t="shared" si="160"/>
        <v>1</v>
      </c>
      <c r="DE118" s="353" t="b">
        <f t="shared" si="161"/>
        <v>0</v>
      </c>
      <c r="DF118" s="353" t="b">
        <f t="shared" si="162"/>
        <v>1</v>
      </c>
      <c r="DG118" s="353"/>
      <c r="DH118" s="353"/>
      <c r="DI118" s="353"/>
      <c r="DJ118" s="353"/>
      <c r="DK118" s="353">
        <f t="shared" si="116"/>
        <v>2</v>
      </c>
      <c r="DM118" s="341">
        <f t="shared" si="163"/>
        <v>0</v>
      </c>
    </row>
    <row r="119" spans="2:117" x14ac:dyDescent="0.25">
      <c r="B119" s="373">
        <f t="shared" si="113"/>
        <v>89</v>
      </c>
      <c r="C119" s="373"/>
      <c r="D119" s="373"/>
      <c r="E119" s="373"/>
      <c r="F119" s="374" t="s">
        <v>192</v>
      </c>
      <c r="G119" s="375">
        <v>1</v>
      </c>
      <c r="H119" s="375">
        <v>1</v>
      </c>
      <c r="I119" s="375">
        <v>1</v>
      </c>
      <c r="J119" s="375">
        <v>1</v>
      </c>
      <c r="K119" s="375">
        <v>1</v>
      </c>
      <c r="L119" s="375">
        <v>1</v>
      </c>
      <c r="M119" s="375">
        <v>1</v>
      </c>
      <c r="N119" s="375">
        <v>1</v>
      </c>
      <c r="O119" s="375">
        <v>1</v>
      </c>
      <c r="P119" s="375">
        <v>1</v>
      </c>
      <c r="Q119" s="375">
        <v>1</v>
      </c>
      <c r="R119" s="375">
        <v>1</v>
      </c>
      <c r="S119" s="375">
        <v>0</v>
      </c>
      <c r="T119" s="376">
        <v>1</v>
      </c>
      <c r="U119" s="376">
        <v>1</v>
      </c>
      <c r="V119" s="376">
        <v>1</v>
      </c>
      <c r="W119" s="376">
        <v>1</v>
      </c>
      <c r="X119" s="376">
        <v>1</v>
      </c>
      <c r="Y119" s="376">
        <v>1</v>
      </c>
      <c r="Z119" s="376">
        <f t="shared" si="167"/>
        <v>1</v>
      </c>
      <c r="AA119" s="376">
        <v>1</v>
      </c>
      <c r="AB119" s="376"/>
      <c r="AC119" s="376"/>
      <c r="AD119" s="376"/>
      <c r="AE119" s="376"/>
      <c r="AF119" s="376">
        <f t="shared" si="118"/>
        <v>0</v>
      </c>
      <c r="AG119" s="376">
        <v>1</v>
      </c>
      <c r="AH119" s="376">
        <f t="shared" si="119"/>
        <v>1</v>
      </c>
      <c r="AI119" s="376"/>
      <c r="AJ119" s="376"/>
      <c r="AK119" s="373">
        <f t="shared" si="120"/>
        <v>1</v>
      </c>
      <c r="AL119" s="373"/>
      <c r="AM119" s="373"/>
      <c r="AN119" s="373"/>
      <c r="AO119" s="373"/>
      <c r="AP119" s="377">
        <f t="shared" si="164"/>
        <v>1</v>
      </c>
      <c r="AQ119" s="378"/>
      <c r="AR119" s="341">
        <f t="shared" si="121"/>
        <v>1</v>
      </c>
      <c r="AS119" s="341">
        <f t="shared" si="110"/>
        <v>0</v>
      </c>
      <c r="AT119" s="341">
        <f t="shared" si="110"/>
        <v>1</v>
      </c>
      <c r="AU119" s="361">
        <f t="shared" si="122"/>
        <v>1</v>
      </c>
      <c r="AV119" s="361">
        <f t="shared" si="123"/>
        <v>1</v>
      </c>
      <c r="AW119" s="361">
        <f t="shared" si="124"/>
        <v>1</v>
      </c>
      <c r="AX119" s="361">
        <f t="shared" si="125"/>
        <v>1</v>
      </c>
      <c r="AY119" s="361">
        <f t="shared" si="126"/>
        <v>1</v>
      </c>
      <c r="AZ119" s="361">
        <f t="shared" si="127"/>
        <v>1</v>
      </c>
      <c r="BA119" s="361">
        <f t="shared" si="128"/>
        <v>1</v>
      </c>
      <c r="BB119" s="361">
        <f t="shared" si="129"/>
        <v>1</v>
      </c>
      <c r="BC119" s="361">
        <f t="shared" si="130"/>
        <v>1</v>
      </c>
      <c r="BD119" s="361">
        <f t="shared" si="131"/>
        <v>1</v>
      </c>
      <c r="BE119" s="361">
        <f t="shared" si="132"/>
        <v>1</v>
      </c>
      <c r="BF119" s="361">
        <f t="shared" si="133"/>
        <v>1</v>
      </c>
      <c r="BG119" s="361">
        <f t="shared" si="134"/>
        <v>1</v>
      </c>
      <c r="BH119" s="361">
        <f t="shared" si="135"/>
        <v>1</v>
      </c>
      <c r="BI119" s="361">
        <f t="shared" si="136"/>
        <v>1</v>
      </c>
      <c r="BJ119" s="361">
        <f t="shared" si="137"/>
        <v>1</v>
      </c>
      <c r="BK119" s="361">
        <f t="shared" si="138"/>
        <v>1</v>
      </c>
      <c r="BL119" s="361">
        <f t="shared" si="139"/>
        <v>1</v>
      </c>
      <c r="BM119" s="361">
        <f t="shared" si="140"/>
        <v>1</v>
      </c>
      <c r="BN119" s="361">
        <f t="shared" si="141"/>
        <v>1</v>
      </c>
      <c r="BO119" s="361">
        <f t="shared" si="142"/>
        <v>1</v>
      </c>
      <c r="BP119" s="361">
        <f t="shared" si="143"/>
        <v>1</v>
      </c>
      <c r="BQ119" s="361">
        <f t="shared" si="144"/>
        <v>1</v>
      </c>
      <c r="BR119" s="361">
        <f t="shared" si="145"/>
        <v>1</v>
      </c>
      <c r="BS119" s="361">
        <f t="shared" si="146"/>
        <v>1</v>
      </c>
      <c r="BT119" s="361">
        <f t="shared" si="147"/>
        <v>1</v>
      </c>
      <c r="BU119" s="361">
        <f t="shared" si="148"/>
        <v>1</v>
      </c>
      <c r="BV119" s="361">
        <f t="shared" si="149"/>
        <v>1</v>
      </c>
      <c r="BW119" s="361">
        <f t="shared" si="150"/>
        <v>1</v>
      </c>
      <c r="BX119" s="361">
        <f t="shared" si="151"/>
        <v>1</v>
      </c>
      <c r="BY119" s="361">
        <f t="shared" si="152"/>
        <v>1</v>
      </c>
      <c r="BZ119" s="361">
        <f t="shared" si="153"/>
        <v>1</v>
      </c>
      <c r="CA119" s="361">
        <f t="shared" si="154"/>
        <v>1</v>
      </c>
      <c r="CB119" s="361">
        <f t="shared" si="155"/>
        <v>1</v>
      </c>
      <c r="CC119" s="361">
        <f t="shared" si="156"/>
        <v>1</v>
      </c>
      <c r="CH119" s="341">
        <f t="shared" si="114"/>
        <v>1</v>
      </c>
      <c r="CI119" s="341">
        <f t="shared" si="114"/>
        <v>2</v>
      </c>
      <c r="CJ119" s="341">
        <f t="shared" si="114"/>
        <v>3</v>
      </c>
      <c r="CK119" s="341">
        <f t="shared" si="114"/>
        <v>4</v>
      </c>
      <c r="CL119" s="341">
        <f t="shared" si="114"/>
        <v>5</v>
      </c>
      <c r="CM119" s="341">
        <f t="shared" si="112"/>
        <v>6</v>
      </c>
      <c r="CN119" s="341">
        <f t="shared" si="112"/>
        <v>7</v>
      </c>
      <c r="CO119" s="341">
        <f t="shared" si="112"/>
        <v>8</v>
      </c>
      <c r="CP119" s="341">
        <f t="shared" si="112"/>
        <v>9</v>
      </c>
      <c r="CQ119" s="341">
        <f t="shared" si="112"/>
        <v>10</v>
      </c>
      <c r="CT119" s="353"/>
      <c r="CU119" s="353"/>
      <c r="CV119" s="353"/>
      <c r="CW119" s="353" t="b">
        <f t="shared" si="157"/>
        <v>1</v>
      </c>
      <c r="CX119" s="353" t="b">
        <f t="shared" si="158"/>
        <v>0</v>
      </c>
      <c r="CY119" s="353" t="b">
        <f t="shared" si="159"/>
        <v>1</v>
      </c>
      <c r="DC119" s="347">
        <f t="shared" si="115"/>
        <v>2</v>
      </c>
      <c r="DD119" s="353" t="b">
        <f t="shared" si="160"/>
        <v>1</v>
      </c>
      <c r="DE119" s="353" t="b">
        <f t="shared" si="161"/>
        <v>0</v>
      </c>
      <c r="DF119" s="353" t="b">
        <f t="shared" si="162"/>
        <v>1</v>
      </c>
      <c r="DG119" s="353"/>
      <c r="DH119" s="353"/>
      <c r="DI119" s="353"/>
      <c r="DJ119" s="353"/>
      <c r="DK119" s="353">
        <f t="shared" si="116"/>
        <v>2</v>
      </c>
      <c r="DM119" s="341">
        <f t="shared" si="163"/>
        <v>0</v>
      </c>
    </row>
    <row r="120" spans="2:117" x14ac:dyDescent="0.25">
      <c r="B120" s="373">
        <f t="shared" si="113"/>
        <v>90</v>
      </c>
      <c r="C120" s="373"/>
      <c r="D120" s="373"/>
      <c r="E120" s="373"/>
      <c r="F120" s="374" t="s">
        <v>193</v>
      </c>
      <c r="G120" s="375">
        <v>1</v>
      </c>
      <c r="H120" s="375">
        <v>1</v>
      </c>
      <c r="I120" s="375">
        <v>1</v>
      </c>
      <c r="J120" s="375">
        <v>1</v>
      </c>
      <c r="K120" s="375">
        <v>1</v>
      </c>
      <c r="L120" s="375">
        <v>1</v>
      </c>
      <c r="M120" s="375">
        <v>1</v>
      </c>
      <c r="N120" s="375">
        <v>1</v>
      </c>
      <c r="O120" s="375">
        <v>1</v>
      </c>
      <c r="P120" s="375">
        <v>1</v>
      </c>
      <c r="Q120" s="375">
        <v>1</v>
      </c>
      <c r="R120" s="375">
        <v>1</v>
      </c>
      <c r="S120" s="375">
        <v>0</v>
      </c>
      <c r="T120" s="376">
        <v>1</v>
      </c>
      <c r="U120" s="376">
        <v>1</v>
      </c>
      <c r="V120" s="376">
        <v>1</v>
      </c>
      <c r="W120" s="376">
        <v>1</v>
      </c>
      <c r="X120" s="376">
        <v>1</v>
      </c>
      <c r="Y120" s="376">
        <v>1</v>
      </c>
      <c r="Z120" s="376">
        <f t="shared" si="167"/>
        <v>1</v>
      </c>
      <c r="AA120" s="376">
        <v>1</v>
      </c>
      <c r="AB120" s="376" t="s">
        <v>419</v>
      </c>
      <c r="AC120" s="376"/>
      <c r="AD120" s="376"/>
      <c r="AE120" s="376"/>
      <c r="AF120" s="376">
        <f t="shared" si="118"/>
        <v>0</v>
      </c>
      <c r="AG120" s="376">
        <v>1</v>
      </c>
      <c r="AH120" s="376">
        <f t="shared" si="119"/>
        <v>1</v>
      </c>
      <c r="AI120" s="376"/>
      <c r="AJ120" s="376"/>
      <c r="AK120" s="373">
        <f t="shared" si="120"/>
        <v>1</v>
      </c>
      <c r="AL120" s="373"/>
      <c r="AM120" s="373"/>
      <c r="AN120" s="373"/>
      <c r="AO120" s="373"/>
      <c r="AP120" s="377">
        <f t="shared" si="164"/>
        <v>1</v>
      </c>
      <c r="AQ120" s="378"/>
      <c r="AR120" s="341">
        <f t="shared" si="121"/>
        <v>1</v>
      </c>
      <c r="AS120" s="341">
        <f t="shared" si="110"/>
        <v>0</v>
      </c>
      <c r="AT120" s="341">
        <f t="shared" si="110"/>
        <v>1</v>
      </c>
      <c r="AU120" s="361">
        <f t="shared" si="122"/>
        <v>1</v>
      </c>
      <c r="AV120" s="361">
        <f t="shared" si="123"/>
        <v>1</v>
      </c>
      <c r="AW120" s="361">
        <f t="shared" si="124"/>
        <v>1</v>
      </c>
      <c r="AX120" s="361">
        <f t="shared" si="125"/>
        <v>1</v>
      </c>
      <c r="AY120" s="361">
        <f t="shared" si="126"/>
        <v>1</v>
      </c>
      <c r="AZ120" s="361">
        <f t="shared" si="127"/>
        <v>1</v>
      </c>
      <c r="BA120" s="361">
        <f t="shared" si="128"/>
        <v>1</v>
      </c>
      <c r="BB120" s="361">
        <f t="shared" si="129"/>
        <v>1</v>
      </c>
      <c r="BC120" s="361">
        <f t="shared" si="130"/>
        <v>1</v>
      </c>
      <c r="BD120" s="361">
        <f t="shared" si="131"/>
        <v>1</v>
      </c>
      <c r="BE120" s="361">
        <f t="shared" si="132"/>
        <v>1</v>
      </c>
      <c r="BF120" s="361">
        <f t="shared" si="133"/>
        <v>1</v>
      </c>
      <c r="BG120" s="361">
        <f t="shared" si="134"/>
        <v>1</v>
      </c>
      <c r="BH120" s="361">
        <f t="shared" si="135"/>
        <v>1</v>
      </c>
      <c r="BI120" s="361">
        <f t="shared" si="136"/>
        <v>1</v>
      </c>
      <c r="BJ120" s="361">
        <f t="shared" si="137"/>
        <v>1</v>
      </c>
      <c r="BK120" s="361">
        <f t="shared" si="138"/>
        <v>1</v>
      </c>
      <c r="BL120" s="361">
        <f t="shared" si="139"/>
        <v>1</v>
      </c>
      <c r="BM120" s="361">
        <f t="shared" si="140"/>
        <v>1</v>
      </c>
      <c r="BN120" s="361">
        <f t="shared" si="141"/>
        <v>1</v>
      </c>
      <c r="BO120" s="361">
        <f t="shared" si="142"/>
        <v>1</v>
      </c>
      <c r="BP120" s="361">
        <f t="shared" si="143"/>
        <v>1</v>
      </c>
      <c r="BQ120" s="361">
        <f t="shared" si="144"/>
        <v>1</v>
      </c>
      <c r="BR120" s="361">
        <f t="shared" si="145"/>
        <v>1</v>
      </c>
      <c r="BS120" s="361">
        <f t="shared" si="146"/>
        <v>1</v>
      </c>
      <c r="BT120" s="361">
        <f t="shared" si="147"/>
        <v>1</v>
      </c>
      <c r="BU120" s="361">
        <f t="shared" si="148"/>
        <v>1</v>
      </c>
      <c r="BV120" s="361">
        <f t="shared" si="149"/>
        <v>1</v>
      </c>
      <c r="BW120" s="361">
        <f t="shared" si="150"/>
        <v>1</v>
      </c>
      <c r="BX120" s="361">
        <f t="shared" si="151"/>
        <v>1</v>
      </c>
      <c r="BY120" s="361">
        <f t="shared" si="152"/>
        <v>1</v>
      </c>
      <c r="BZ120" s="361">
        <f t="shared" si="153"/>
        <v>1</v>
      </c>
      <c r="CA120" s="361">
        <f t="shared" si="154"/>
        <v>1</v>
      </c>
      <c r="CB120" s="361">
        <f t="shared" si="155"/>
        <v>1</v>
      </c>
      <c r="CC120" s="361">
        <f t="shared" si="156"/>
        <v>1</v>
      </c>
      <c r="CH120" s="341">
        <f t="shared" si="114"/>
        <v>1</v>
      </c>
      <c r="CI120" s="341">
        <f t="shared" si="114"/>
        <v>2</v>
      </c>
      <c r="CJ120" s="341">
        <f t="shared" si="114"/>
        <v>3</v>
      </c>
      <c r="CK120" s="341">
        <f t="shared" si="114"/>
        <v>4</v>
      </c>
      <c r="CL120" s="341">
        <f t="shared" si="114"/>
        <v>5</v>
      </c>
      <c r="CM120" s="341">
        <f t="shared" si="112"/>
        <v>6</v>
      </c>
      <c r="CN120" s="341">
        <f t="shared" si="112"/>
        <v>7</v>
      </c>
      <c r="CO120" s="341">
        <f t="shared" si="112"/>
        <v>8</v>
      </c>
      <c r="CP120" s="341">
        <f t="shared" si="112"/>
        <v>9</v>
      </c>
      <c r="CQ120" s="341">
        <f t="shared" si="112"/>
        <v>10</v>
      </c>
      <c r="CT120" s="353"/>
      <c r="CU120" s="353"/>
      <c r="CV120" s="353"/>
      <c r="CW120" s="353" t="b">
        <f t="shared" si="157"/>
        <v>1</v>
      </c>
      <c r="CX120" s="353" t="b">
        <f t="shared" si="158"/>
        <v>0</v>
      </c>
      <c r="CY120" s="353" t="b">
        <f t="shared" si="159"/>
        <v>1</v>
      </c>
      <c r="DC120" s="347">
        <f t="shared" si="115"/>
        <v>2</v>
      </c>
      <c r="DD120" s="353" t="b">
        <f t="shared" si="160"/>
        <v>1</v>
      </c>
      <c r="DE120" s="353" t="b">
        <f t="shared" si="161"/>
        <v>0</v>
      </c>
      <c r="DF120" s="353" t="b">
        <f t="shared" si="162"/>
        <v>1</v>
      </c>
      <c r="DG120" s="353"/>
      <c r="DH120" s="353"/>
      <c r="DI120" s="353"/>
      <c r="DJ120" s="353"/>
      <c r="DK120" s="353">
        <f t="shared" si="116"/>
        <v>2</v>
      </c>
      <c r="DM120" s="341">
        <f t="shared" si="163"/>
        <v>0</v>
      </c>
    </row>
    <row r="121" spans="2:117" x14ac:dyDescent="0.25">
      <c r="B121" s="373">
        <f t="shared" si="113"/>
        <v>91</v>
      </c>
      <c r="C121" s="373"/>
      <c r="D121" s="373"/>
      <c r="E121" s="373"/>
      <c r="F121" s="374" t="s">
        <v>480</v>
      </c>
      <c r="G121" s="375">
        <v>1</v>
      </c>
      <c r="H121" s="375">
        <v>1</v>
      </c>
      <c r="I121" s="375">
        <v>1</v>
      </c>
      <c r="J121" s="375">
        <v>1</v>
      </c>
      <c r="K121" s="375">
        <v>1</v>
      </c>
      <c r="L121" s="375">
        <v>1</v>
      </c>
      <c r="M121" s="375">
        <v>1</v>
      </c>
      <c r="N121" s="375">
        <v>1</v>
      </c>
      <c r="O121" s="375">
        <v>1</v>
      </c>
      <c r="P121" s="375">
        <v>1</v>
      </c>
      <c r="Q121" s="375">
        <v>1</v>
      </c>
      <c r="R121" s="375">
        <v>1</v>
      </c>
      <c r="S121" s="375">
        <v>0</v>
      </c>
      <c r="T121" s="376">
        <v>1</v>
      </c>
      <c r="U121" s="376">
        <v>1</v>
      </c>
      <c r="V121" s="376">
        <v>1</v>
      </c>
      <c r="W121" s="376">
        <v>1</v>
      </c>
      <c r="X121" s="376">
        <v>1</v>
      </c>
      <c r="Y121" s="376">
        <v>1</v>
      </c>
      <c r="Z121" s="376">
        <f t="shared" si="167"/>
        <v>1</v>
      </c>
      <c r="AA121" s="376">
        <v>1</v>
      </c>
      <c r="AB121" s="376" t="s">
        <v>418</v>
      </c>
      <c r="AC121" s="376">
        <v>1</v>
      </c>
      <c r="AD121" s="376">
        <v>1</v>
      </c>
      <c r="AE121" s="376">
        <v>1</v>
      </c>
      <c r="AF121" s="376">
        <f t="shared" si="118"/>
        <v>0</v>
      </c>
      <c r="AG121" s="376">
        <v>1</v>
      </c>
      <c r="AH121" s="376">
        <f t="shared" si="119"/>
        <v>1</v>
      </c>
      <c r="AI121" s="376"/>
      <c r="AJ121" s="376"/>
      <c r="AK121" s="373">
        <f t="shared" si="120"/>
        <v>1</v>
      </c>
      <c r="AL121" s="373"/>
      <c r="AM121" s="373"/>
      <c r="AN121" s="373"/>
      <c r="AO121" s="373"/>
      <c r="AP121" s="377">
        <f t="shared" si="164"/>
        <v>1</v>
      </c>
      <c r="AQ121" s="378"/>
      <c r="AR121" s="341">
        <f t="shared" si="121"/>
        <v>1</v>
      </c>
      <c r="AS121" s="341">
        <f t="shared" si="110"/>
        <v>0</v>
      </c>
      <c r="AT121" s="341">
        <f t="shared" si="110"/>
        <v>1</v>
      </c>
      <c r="AU121" s="361">
        <f t="shared" si="122"/>
        <v>1</v>
      </c>
      <c r="AV121" s="361">
        <f t="shared" si="123"/>
        <v>1</v>
      </c>
      <c r="AW121" s="361">
        <f t="shared" si="124"/>
        <v>1</v>
      </c>
      <c r="AX121" s="361">
        <f t="shared" si="125"/>
        <v>1</v>
      </c>
      <c r="AY121" s="361">
        <f t="shared" si="126"/>
        <v>1</v>
      </c>
      <c r="AZ121" s="361">
        <f t="shared" si="127"/>
        <v>1</v>
      </c>
      <c r="BA121" s="361">
        <f t="shared" si="128"/>
        <v>1</v>
      </c>
      <c r="BB121" s="361">
        <f t="shared" si="129"/>
        <v>1</v>
      </c>
      <c r="BC121" s="361">
        <f t="shared" si="130"/>
        <v>1</v>
      </c>
      <c r="BD121" s="361">
        <f t="shared" si="131"/>
        <v>1</v>
      </c>
      <c r="BE121" s="361">
        <f t="shared" si="132"/>
        <v>1</v>
      </c>
      <c r="BF121" s="361">
        <f t="shared" si="133"/>
        <v>1</v>
      </c>
      <c r="BG121" s="361">
        <f t="shared" si="134"/>
        <v>1</v>
      </c>
      <c r="BH121" s="361">
        <f t="shared" si="135"/>
        <v>1</v>
      </c>
      <c r="BI121" s="361">
        <f t="shared" si="136"/>
        <v>1</v>
      </c>
      <c r="BJ121" s="361">
        <f t="shared" si="137"/>
        <v>1</v>
      </c>
      <c r="BK121" s="361">
        <f t="shared" si="138"/>
        <v>1</v>
      </c>
      <c r="BL121" s="361">
        <f t="shared" si="139"/>
        <v>1</v>
      </c>
      <c r="BM121" s="361">
        <f t="shared" si="140"/>
        <v>1</v>
      </c>
      <c r="BN121" s="361">
        <f t="shared" si="141"/>
        <v>1</v>
      </c>
      <c r="BO121" s="361">
        <f t="shared" si="142"/>
        <v>1</v>
      </c>
      <c r="BP121" s="361">
        <f t="shared" si="143"/>
        <v>1</v>
      </c>
      <c r="BQ121" s="361">
        <f t="shared" si="144"/>
        <v>1</v>
      </c>
      <c r="BR121" s="361">
        <f t="shared" si="145"/>
        <v>1</v>
      </c>
      <c r="BS121" s="361">
        <f t="shared" si="146"/>
        <v>1</v>
      </c>
      <c r="BT121" s="361">
        <f t="shared" si="147"/>
        <v>1</v>
      </c>
      <c r="BU121" s="361">
        <f t="shared" si="148"/>
        <v>1</v>
      </c>
      <c r="BV121" s="361">
        <f t="shared" si="149"/>
        <v>1</v>
      </c>
      <c r="BW121" s="361">
        <f t="shared" si="150"/>
        <v>1</v>
      </c>
      <c r="BX121" s="361">
        <f t="shared" si="151"/>
        <v>1</v>
      </c>
      <c r="BY121" s="361">
        <f t="shared" si="152"/>
        <v>1</v>
      </c>
      <c r="BZ121" s="361">
        <f t="shared" si="153"/>
        <v>1</v>
      </c>
      <c r="CA121" s="361">
        <f t="shared" si="154"/>
        <v>1</v>
      </c>
      <c r="CB121" s="361">
        <f t="shared" si="155"/>
        <v>1</v>
      </c>
      <c r="CC121" s="361">
        <f t="shared" si="156"/>
        <v>1</v>
      </c>
      <c r="CH121" s="341">
        <f t="shared" si="114"/>
        <v>1</v>
      </c>
      <c r="CI121" s="341">
        <f t="shared" si="114"/>
        <v>2</v>
      </c>
      <c r="CJ121" s="341">
        <f t="shared" si="114"/>
        <v>3</v>
      </c>
      <c r="CK121" s="341">
        <f t="shared" si="114"/>
        <v>4</v>
      </c>
      <c r="CL121" s="341">
        <f t="shared" si="114"/>
        <v>5</v>
      </c>
      <c r="CM121" s="341">
        <f t="shared" si="112"/>
        <v>6</v>
      </c>
      <c r="CN121" s="341">
        <f t="shared" si="112"/>
        <v>7</v>
      </c>
      <c r="CO121" s="341">
        <f t="shared" si="112"/>
        <v>8</v>
      </c>
      <c r="CP121" s="341">
        <f t="shared" si="112"/>
        <v>9</v>
      </c>
      <c r="CQ121" s="341">
        <f t="shared" si="112"/>
        <v>10</v>
      </c>
      <c r="CT121" s="353"/>
      <c r="CU121" s="353"/>
      <c r="CV121" s="353"/>
      <c r="CW121" s="353" t="b">
        <f t="shared" si="157"/>
        <v>1</v>
      </c>
      <c r="CX121" s="353" t="b">
        <f t="shared" si="158"/>
        <v>0</v>
      </c>
      <c r="CY121" s="353" t="b">
        <f t="shared" si="159"/>
        <v>1</v>
      </c>
      <c r="DC121" s="347">
        <f t="shared" si="115"/>
        <v>2</v>
      </c>
      <c r="DD121" s="353" t="b">
        <f t="shared" si="160"/>
        <v>1</v>
      </c>
      <c r="DE121" s="353" t="b">
        <f t="shared" si="161"/>
        <v>0</v>
      </c>
      <c r="DF121" s="353" t="b">
        <f t="shared" si="162"/>
        <v>1</v>
      </c>
      <c r="DG121" s="353"/>
      <c r="DH121" s="353"/>
      <c r="DI121" s="353"/>
      <c r="DJ121" s="353"/>
      <c r="DK121" s="353">
        <f t="shared" si="116"/>
        <v>2</v>
      </c>
      <c r="DM121" s="341">
        <f t="shared" si="163"/>
        <v>0</v>
      </c>
    </row>
    <row r="122" spans="2:117" x14ac:dyDescent="0.25">
      <c r="B122" s="373">
        <f t="shared" si="113"/>
        <v>92</v>
      </c>
      <c r="C122" s="373"/>
      <c r="D122" s="373"/>
      <c r="E122" s="373"/>
      <c r="F122" s="374" t="s">
        <v>481</v>
      </c>
      <c r="G122" s="375">
        <v>1</v>
      </c>
      <c r="H122" s="375">
        <v>1</v>
      </c>
      <c r="I122" s="375">
        <v>1</v>
      </c>
      <c r="J122" s="375">
        <v>1</v>
      </c>
      <c r="K122" s="375">
        <v>1</v>
      </c>
      <c r="L122" s="375">
        <v>1</v>
      </c>
      <c r="M122" s="375">
        <v>1</v>
      </c>
      <c r="N122" s="375">
        <v>1</v>
      </c>
      <c r="O122" s="375">
        <v>1</v>
      </c>
      <c r="P122" s="375">
        <v>1</v>
      </c>
      <c r="Q122" s="375">
        <v>1</v>
      </c>
      <c r="R122" s="375">
        <v>1</v>
      </c>
      <c r="S122" s="375">
        <v>0</v>
      </c>
      <c r="T122" s="376">
        <v>1</v>
      </c>
      <c r="U122" s="376">
        <v>1</v>
      </c>
      <c r="V122" s="376">
        <v>1</v>
      </c>
      <c r="W122" s="376">
        <v>1</v>
      </c>
      <c r="X122" s="376">
        <v>1</v>
      </c>
      <c r="Y122" s="376">
        <v>1</v>
      </c>
      <c r="Z122" s="376">
        <f t="shared" si="167"/>
        <v>1</v>
      </c>
      <c r="AA122" s="376">
        <v>1</v>
      </c>
      <c r="AB122" s="376"/>
      <c r="AC122" s="376"/>
      <c r="AD122" s="376"/>
      <c r="AE122" s="376"/>
      <c r="AF122" s="376">
        <f t="shared" si="118"/>
        <v>0</v>
      </c>
      <c r="AG122" s="376">
        <v>1</v>
      </c>
      <c r="AH122" s="376">
        <f t="shared" si="119"/>
        <v>1</v>
      </c>
      <c r="AI122" s="376"/>
      <c r="AJ122" s="376"/>
      <c r="AK122" s="373">
        <f t="shared" si="120"/>
        <v>1</v>
      </c>
      <c r="AL122" s="373"/>
      <c r="AM122" s="373"/>
      <c r="AN122" s="373"/>
      <c r="AO122" s="373"/>
      <c r="AP122" s="377">
        <f t="shared" si="164"/>
        <v>1</v>
      </c>
      <c r="AQ122" s="378"/>
      <c r="AR122" s="341">
        <f t="shared" si="121"/>
        <v>1</v>
      </c>
      <c r="AS122" s="341">
        <f t="shared" si="110"/>
        <v>0</v>
      </c>
      <c r="AT122" s="341">
        <f t="shared" si="110"/>
        <v>1</v>
      </c>
      <c r="AU122" s="361">
        <f t="shared" si="122"/>
        <v>1</v>
      </c>
      <c r="AV122" s="361">
        <f t="shared" si="123"/>
        <v>1</v>
      </c>
      <c r="AW122" s="361">
        <f t="shared" si="124"/>
        <v>1</v>
      </c>
      <c r="AX122" s="361">
        <f t="shared" si="125"/>
        <v>1</v>
      </c>
      <c r="AY122" s="361">
        <f t="shared" si="126"/>
        <v>1</v>
      </c>
      <c r="AZ122" s="361">
        <f t="shared" si="127"/>
        <v>1</v>
      </c>
      <c r="BA122" s="361">
        <f t="shared" si="128"/>
        <v>1</v>
      </c>
      <c r="BB122" s="361">
        <f t="shared" si="129"/>
        <v>1</v>
      </c>
      <c r="BC122" s="361">
        <f t="shared" si="130"/>
        <v>1</v>
      </c>
      <c r="BD122" s="361">
        <f t="shared" si="131"/>
        <v>1</v>
      </c>
      <c r="BE122" s="361">
        <f t="shared" si="132"/>
        <v>1</v>
      </c>
      <c r="BF122" s="361">
        <f t="shared" si="133"/>
        <v>1</v>
      </c>
      <c r="BG122" s="361">
        <f t="shared" si="134"/>
        <v>1</v>
      </c>
      <c r="BH122" s="361">
        <f t="shared" si="135"/>
        <v>1</v>
      </c>
      <c r="BI122" s="361">
        <f t="shared" si="136"/>
        <v>1</v>
      </c>
      <c r="BJ122" s="361">
        <f t="shared" si="137"/>
        <v>1</v>
      </c>
      <c r="BK122" s="361">
        <f t="shared" si="138"/>
        <v>1</v>
      </c>
      <c r="BL122" s="361">
        <f t="shared" si="139"/>
        <v>1</v>
      </c>
      <c r="BM122" s="361">
        <f t="shared" si="140"/>
        <v>1</v>
      </c>
      <c r="BN122" s="361">
        <f t="shared" si="141"/>
        <v>1</v>
      </c>
      <c r="BO122" s="361">
        <f t="shared" si="142"/>
        <v>1</v>
      </c>
      <c r="BP122" s="361">
        <f t="shared" si="143"/>
        <v>1</v>
      </c>
      <c r="BQ122" s="361">
        <f t="shared" si="144"/>
        <v>1</v>
      </c>
      <c r="BR122" s="361">
        <f t="shared" si="145"/>
        <v>1</v>
      </c>
      <c r="BS122" s="361">
        <f t="shared" si="146"/>
        <v>1</v>
      </c>
      <c r="BT122" s="361">
        <f t="shared" si="147"/>
        <v>1</v>
      </c>
      <c r="BU122" s="361">
        <f t="shared" si="148"/>
        <v>1</v>
      </c>
      <c r="BV122" s="361">
        <f t="shared" si="149"/>
        <v>1</v>
      </c>
      <c r="BW122" s="361">
        <f t="shared" si="150"/>
        <v>1</v>
      </c>
      <c r="BX122" s="361">
        <f t="shared" si="151"/>
        <v>1</v>
      </c>
      <c r="BY122" s="361">
        <f t="shared" si="152"/>
        <v>1</v>
      </c>
      <c r="BZ122" s="361">
        <f t="shared" si="153"/>
        <v>1</v>
      </c>
      <c r="CA122" s="361">
        <f t="shared" si="154"/>
        <v>1</v>
      </c>
      <c r="CB122" s="361">
        <f t="shared" si="155"/>
        <v>1</v>
      </c>
      <c r="CC122" s="361">
        <f t="shared" si="156"/>
        <v>1</v>
      </c>
      <c r="CH122" s="341">
        <f t="shared" si="114"/>
        <v>1</v>
      </c>
      <c r="CI122" s="341">
        <f t="shared" si="114"/>
        <v>2</v>
      </c>
      <c r="CJ122" s="341">
        <f t="shared" si="114"/>
        <v>3</v>
      </c>
      <c r="CK122" s="341">
        <f t="shared" si="114"/>
        <v>4</v>
      </c>
      <c r="CL122" s="341">
        <f t="shared" si="114"/>
        <v>5</v>
      </c>
      <c r="CM122" s="341">
        <f t="shared" si="112"/>
        <v>6</v>
      </c>
      <c r="CN122" s="341">
        <f t="shared" si="112"/>
        <v>7</v>
      </c>
      <c r="CO122" s="341">
        <f t="shared" si="112"/>
        <v>8</v>
      </c>
      <c r="CP122" s="341">
        <f t="shared" si="112"/>
        <v>9</v>
      </c>
      <c r="CQ122" s="341">
        <f t="shared" si="112"/>
        <v>10</v>
      </c>
      <c r="CT122" s="353"/>
      <c r="CU122" s="353"/>
      <c r="CV122" s="353"/>
      <c r="CW122" s="353" t="b">
        <f t="shared" si="157"/>
        <v>1</v>
      </c>
      <c r="CX122" s="353" t="b">
        <f t="shared" si="158"/>
        <v>0</v>
      </c>
      <c r="CY122" s="353" t="b">
        <f t="shared" si="159"/>
        <v>1</v>
      </c>
      <c r="DC122" s="347">
        <f t="shared" si="115"/>
        <v>2</v>
      </c>
      <c r="DD122" s="353" t="b">
        <f t="shared" si="160"/>
        <v>1</v>
      </c>
      <c r="DE122" s="353" t="b">
        <f t="shared" si="161"/>
        <v>0</v>
      </c>
      <c r="DF122" s="353" t="b">
        <f t="shared" si="162"/>
        <v>1</v>
      </c>
      <c r="DG122" s="353"/>
      <c r="DH122" s="353"/>
      <c r="DI122" s="353"/>
      <c r="DJ122" s="353"/>
      <c r="DK122" s="353">
        <f t="shared" si="116"/>
        <v>2</v>
      </c>
      <c r="DM122" s="341">
        <f t="shared" si="163"/>
        <v>0</v>
      </c>
    </row>
    <row r="123" spans="2:117" x14ac:dyDescent="0.25">
      <c r="B123" s="373">
        <f t="shared" si="113"/>
        <v>93</v>
      </c>
      <c r="C123" s="373"/>
      <c r="D123" s="373"/>
      <c r="E123" s="373"/>
      <c r="F123" s="374" t="s">
        <v>526</v>
      </c>
      <c r="G123" s="375">
        <v>1</v>
      </c>
      <c r="H123" s="375">
        <v>1</v>
      </c>
      <c r="I123" s="375">
        <v>1</v>
      </c>
      <c r="J123" s="375">
        <v>1</v>
      </c>
      <c r="K123" s="375">
        <v>1</v>
      </c>
      <c r="L123" s="375">
        <v>1</v>
      </c>
      <c r="M123" s="375">
        <v>1</v>
      </c>
      <c r="N123" s="375">
        <v>1</v>
      </c>
      <c r="O123" s="375">
        <v>1</v>
      </c>
      <c r="P123" s="375">
        <v>1</v>
      </c>
      <c r="Q123" s="375">
        <v>1</v>
      </c>
      <c r="R123" s="375">
        <v>1</v>
      </c>
      <c r="S123" s="375">
        <v>0</v>
      </c>
      <c r="T123" s="376">
        <v>1</v>
      </c>
      <c r="U123" s="376">
        <v>1</v>
      </c>
      <c r="V123" s="376">
        <v>1</v>
      </c>
      <c r="W123" s="376">
        <v>1</v>
      </c>
      <c r="X123" s="376">
        <v>1</v>
      </c>
      <c r="Y123" s="376">
        <v>1</v>
      </c>
      <c r="Z123" s="376">
        <f t="shared" si="167"/>
        <v>1</v>
      </c>
      <c r="AA123" s="376">
        <v>0</v>
      </c>
      <c r="AB123" s="376" t="s">
        <v>418</v>
      </c>
      <c r="AC123" s="376">
        <v>1</v>
      </c>
      <c r="AD123" s="376">
        <v>1</v>
      </c>
      <c r="AE123" s="376">
        <v>1</v>
      </c>
      <c r="AF123" s="376">
        <f t="shared" si="118"/>
        <v>0</v>
      </c>
      <c r="AG123" s="376">
        <v>1</v>
      </c>
      <c r="AH123" s="376">
        <f t="shared" si="119"/>
        <v>1</v>
      </c>
      <c r="AI123" s="376"/>
      <c r="AJ123" s="376"/>
      <c r="AK123" s="373">
        <f t="shared" si="120"/>
        <v>1</v>
      </c>
      <c r="AL123" s="373"/>
      <c r="AM123" s="373"/>
      <c r="AN123" s="373"/>
      <c r="AO123" s="373"/>
      <c r="AP123" s="377">
        <f t="shared" si="164"/>
        <v>1</v>
      </c>
      <c r="AQ123" s="378"/>
      <c r="AR123" s="341">
        <f t="shared" si="121"/>
        <v>1</v>
      </c>
      <c r="AS123" s="341">
        <f t="shared" si="110"/>
        <v>0</v>
      </c>
      <c r="AT123" s="341">
        <f t="shared" si="110"/>
        <v>1</v>
      </c>
      <c r="AU123" s="361">
        <f t="shared" si="122"/>
        <v>1</v>
      </c>
      <c r="AV123" s="361">
        <f t="shared" si="123"/>
        <v>1</v>
      </c>
      <c r="AW123" s="361">
        <f t="shared" si="124"/>
        <v>1</v>
      </c>
      <c r="AX123" s="361">
        <f t="shared" si="125"/>
        <v>1</v>
      </c>
      <c r="AY123" s="361">
        <f t="shared" si="126"/>
        <v>1</v>
      </c>
      <c r="AZ123" s="361">
        <f t="shared" si="127"/>
        <v>1</v>
      </c>
      <c r="BA123" s="361">
        <f t="shared" si="128"/>
        <v>1</v>
      </c>
      <c r="BB123" s="361">
        <f t="shared" si="129"/>
        <v>1</v>
      </c>
      <c r="BC123" s="361">
        <f t="shared" si="130"/>
        <v>1</v>
      </c>
      <c r="BD123" s="361">
        <f t="shared" si="131"/>
        <v>1</v>
      </c>
      <c r="BE123" s="361">
        <f t="shared" si="132"/>
        <v>1</v>
      </c>
      <c r="BF123" s="361">
        <f t="shared" si="133"/>
        <v>1</v>
      </c>
      <c r="BG123" s="361">
        <f t="shared" si="134"/>
        <v>1</v>
      </c>
      <c r="BH123" s="361">
        <f t="shared" si="135"/>
        <v>1</v>
      </c>
      <c r="BI123" s="361">
        <f t="shared" si="136"/>
        <v>1</v>
      </c>
      <c r="BJ123" s="361">
        <f t="shared" si="137"/>
        <v>1</v>
      </c>
      <c r="BK123" s="361">
        <f t="shared" si="138"/>
        <v>1</v>
      </c>
      <c r="BL123" s="361">
        <f t="shared" si="139"/>
        <v>1</v>
      </c>
      <c r="BM123" s="361">
        <f t="shared" si="140"/>
        <v>1</v>
      </c>
      <c r="BN123" s="361">
        <f t="shared" si="141"/>
        <v>1</v>
      </c>
      <c r="BO123" s="361">
        <f t="shared" si="142"/>
        <v>1</v>
      </c>
      <c r="BP123" s="361">
        <f t="shared" si="143"/>
        <v>1</v>
      </c>
      <c r="BQ123" s="361">
        <f t="shared" si="144"/>
        <v>1</v>
      </c>
      <c r="BR123" s="361">
        <f t="shared" si="145"/>
        <v>1</v>
      </c>
      <c r="BS123" s="361">
        <f t="shared" si="146"/>
        <v>1</v>
      </c>
      <c r="BT123" s="361">
        <f t="shared" si="147"/>
        <v>1</v>
      </c>
      <c r="BU123" s="361">
        <f t="shared" si="148"/>
        <v>1</v>
      </c>
      <c r="BV123" s="361">
        <f t="shared" si="149"/>
        <v>1</v>
      </c>
      <c r="BW123" s="361">
        <f t="shared" si="150"/>
        <v>1</v>
      </c>
      <c r="BX123" s="361">
        <f t="shared" si="151"/>
        <v>1</v>
      </c>
      <c r="BY123" s="361">
        <f t="shared" si="152"/>
        <v>1</v>
      </c>
      <c r="BZ123" s="361">
        <f t="shared" si="153"/>
        <v>1</v>
      </c>
      <c r="CA123" s="361">
        <f t="shared" si="154"/>
        <v>1</v>
      </c>
      <c r="CB123" s="361">
        <f t="shared" si="155"/>
        <v>1</v>
      </c>
      <c r="CC123" s="361">
        <f t="shared" si="156"/>
        <v>1</v>
      </c>
      <c r="CH123" s="341">
        <f t="shared" si="114"/>
        <v>1</v>
      </c>
      <c r="CI123" s="341">
        <f t="shared" si="114"/>
        <v>2</v>
      </c>
      <c r="CJ123" s="341">
        <f t="shared" si="114"/>
        <v>3</v>
      </c>
      <c r="CK123" s="341">
        <f t="shared" si="114"/>
        <v>4</v>
      </c>
      <c r="CL123" s="341">
        <f t="shared" si="114"/>
        <v>5</v>
      </c>
      <c r="CM123" s="341">
        <f t="shared" si="112"/>
        <v>6</v>
      </c>
      <c r="CN123" s="341">
        <f t="shared" si="112"/>
        <v>7</v>
      </c>
      <c r="CO123" s="341">
        <f t="shared" si="112"/>
        <v>8</v>
      </c>
      <c r="CP123" s="341">
        <f t="shared" si="112"/>
        <v>9</v>
      </c>
      <c r="CQ123" s="341">
        <f t="shared" si="112"/>
        <v>10</v>
      </c>
      <c r="CT123" s="353"/>
      <c r="CU123" s="353"/>
      <c r="CV123" s="353"/>
      <c r="CW123" s="353" t="b">
        <f t="shared" si="157"/>
        <v>1</v>
      </c>
      <c r="CX123" s="353" t="b">
        <f t="shared" si="158"/>
        <v>0</v>
      </c>
      <c r="CY123" s="353" t="b">
        <f t="shared" si="159"/>
        <v>1</v>
      </c>
      <c r="DC123" s="347">
        <f t="shared" si="115"/>
        <v>2</v>
      </c>
      <c r="DD123" s="353" t="b">
        <f t="shared" si="160"/>
        <v>1</v>
      </c>
      <c r="DE123" s="353" t="b">
        <f t="shared" si="161"/>
        <v>0</v>
      </c>
      <c r="DF123" s="353" t="b">
        <f t="shared" si="162"/>
        <v>1</v>
      </c>
      <c r="DG123" s="353"/>
      <c r="DH123" s="353"/>
      <c r="DI123" s="353"/>
      <c r="DJ123" s="353"/>
      <c r="DK123" s="353">
        <f t="shared" si="116"/>
        <v>2</v>
      </c>
      <c r="DM123" s="341">
        <f t="shared" si="163"/>
        <v>0</v>
      </c>
    </row>
    <row r="124" spans="2:117" x14ac:dyDescent="0.25">
      <c r="B124" s="373">
        <f t="shared" si="113"/>
        <v>94</v>
      </c>
      <c r="C124" s="373"/>
      <c r="D124" s="373"/>
      <c r="E124" s="373"/>
      <c r="F124" s="374" t="s">
        <v>1038</v>
      </c>
      <c r="G124" s="375">
        <v>1</v>
      </c>
      <c r="H124" s="375">
        <v>1</v>
      </c>
      <c r="I124" s="375">
        <v>1</v>
      </c>
      <c r="J124" s="375">
        <v>1</v>
      </c>
      <c r="K124" s="375">
        <v>1</v>
      </c>
      <c r="L124" s="375">
        <v>1</v>
      </c>
      <c r="M124" s="375">
        <v>1</v>
      </c>
      <c r="N124" s="375">
        <v>1</v>
      </c>
      <c r="O124" s="375">
        <v>1</v>
      </c>
      <c r="P124" s="375">
        <v>1</v>
      </c>
      <c r="Q124" s="375">
        <v>1</v>
      </c>
      <c r="R124" s="375">
        <v>1</v>
      </c>
      <c r="S124" s="375">
        <v>0</v>
      </c>
      <c r="T124" s="376">
        <v>1</v>
      </c>
      <c r="U124" s="376">
        <v>1</v>
      </c>
      <c r="V124" s="376">
        <v>1</v>
      </c>
      <c r="W124" s="376">
        <v>1</v>
      </c>
      <c r="X124" s="376">
        <v>1</v>
      </c>
      <c r="Y124" s="376">
        <v>1</v>
      </c>
      <c r="Z124" s="376">
        <f t="shared" si="167"/>
        <v>1</v>
      </c>
      <c r="AA124" s="376">
        <v>0</v>
      </c>
      <c r="AB124" s="376" t="s">
        <v>418</v>
      </c>
      <c r="AC124" s="376">
        <v>1</v>
      </c>
      <c r="AD124" s="376">
        <v>1</v>
      </c>
      <c r="AE124" s="376">
        <v>1</v>
      </c>
      <c r="AF124" s="376">
        <f t="shared" si="118"/>
        <v>0</v>
      </c>
      <c r="AG124" s="376">
        <v>1</v>
      </c>
      <c r="AH124" s="376">
        <f t="shared" si="119"/>
        <v>1</v>
      </c>
      <c r="AI124" s="376"/>
      <c r="AJ124" s="376"/>
      <c r="AK124" s="373">
        <f t="shared" si="120"/>
        <v>1</v>
      </c>
      <c r="AL124" s="373"/>
      <c r="AM124" s="373"/>
      <c r="AN124" s="373"/>
      <c r="AO124" s="373"/>
      <c r="AP124" s="377">
        <f t="shared" si="164"/>
        <v>1</v>
      </c>
      <c r="AQ124" s="378"/>
      <c r="AR124" s="341">
        <f t="shared" si="121"/>
        <v>1</v>
      </c>
      <c r="AS124" s="341">
        <f t="shared" si="110"/>
        <v>0</v>
      </c>
      <c r="AT124" s="341">
        <f t="shared" si="110"/>
        <v>1</v>
      </c>
      <c r="AU124" s="361">
        <f t="shared" si="122"/>
        <v>1</v>
      </c>
      <c r="AV124" s="361">
        <f t="shared" si="123"/>
        <v>1</v>
      </c>
      <c r="AW124" s="361">
        <f t="shared" si="124"/>
        <v>1</v>
      </c>
      <c r="AX124" s="361">
        <f t="shared" si="125"/>
        <v>1</v>
      </c>
      <c r="AY124" s="361">
        <f t="shared" si="126"/>
        <v>1</v>
      </c>
      <c r="AZ124" s="361">
        <f t="shared" si="127"/>
        <v>1</v>
      </c>
      <c r="BA124" s="361">
        <f t="shared" si="128"/>
        <v>1</v>
      </c>
      <c r="BB124" s="361">
        <f t="shared" si="129"/>
        <v>1</v>
      </c>
      <c r="BC124" s="361">
        <f t="shared" si="130"/>
        <v>1</v>
      </c>
      <c r="BD124" s="361">
        <f t="shared" si="131"/>
        <v>1</v>
      </c>
      <c r="BE124" s="361">
        <f t="shared" si="132"/>
        <v>1</v>
      </c>
      <c r="BF124" s="361">
        <f t="shared" si="133"/>
        <v>1</v>
      </c>
      <c r="BG124" s="361">
        <f t="shared" si="134"/>
        <v>1</v>
      </c>
      <c r="BH124" s="361">
        <f t="shared" si="135"/>
        <v>1</v>
      </c>
      <c r="BI124" s="361">
        <f t="shared" si="136"/>
        <v>1</v>
      </c>
      <c r="BJ124" s="361">
        <f t="shared" si="137"/>
        <v>1</v>
      </c>
      <c r="BK124" s="361">
        <f t="shared" si="138"/>
        <v>1</v>
      </c>
      <c r="BL124" s="361">
        <f t="shared" si="139"/>
        <v>1</v>
      </c>
      <c r="BM124" s="361">
        <f t="shared" si="140"/>
        <v>1</v>
      </c>
      <c r="BN124" s="361">
        <f t="shared" si="141"/>
        <v>1</v>
      </c>
      <c r="BO124" s="361">
        <f t="shared" si="142"/>
        <v>1</v>
      </c>
      <c r="BP124" s="361">
        <f t="shared" si="143"/>
        <v>1</v>
      </c>
      <c r="BQ124" s="361">
        <f t="shared" si="144"/>
        <v>1</v>
      </c>
      <c r="BR124" s="361">
        <f t="shared" si="145"/>
        <v>1</v>
      </c>
      <c r="BS124" s="361">
        <f t="shared" si="146"/>
        <v>1</v>
      </c>
      <c r="BT124" s="361">
        <f t="shared" si="147"/>
        <v>1</v>
      </c>
      <c r="BU124" s="361">
        <f t="shared" si="148"/>
        <v>1</v>
      </c>
      <c r="BV124" s="361">
        <f t="shared" si="149"/>
        <v>1</v>
      </c>
      <c r="BW124" s="361">
        <f t="shared" si="150"/>
        <v>1</v>
      </c>
      <c r="BX124" s="361">
        <f t="shared" si="151"/>
        <v>1</v>
      </c>
      <c r="BY124" s="361">
        <f t="shared" si="152"/>
        <v>1</v>
      </c>
      <c r="BZ124" s="361">
        <f t="shared" si="153"/>
        <v>1</v>
      </c>
      <c r="CA124" s="361">
        <f t="shared" si="154"/>
        <v>1</v>
      </c>
      <c r="CB124" s="361">
        <f t="shared" si="155"/>
        <v>1</v>
      </c>
      <c r="CC124" s="361">
        <f t="shared" si="156"/>
        <v>1</v>
      </c>
      <c r="CH124" s="341">
        <f t="shared" si="114"/>
        <v>1</v>
      </c>
      <c r="CI124" s="341">
        <f t="shared" si="114"/>
        <v>2</v>
      </c>
      <c r="CJ124" s="341">
        <f t="shared" si="114"/>
        <v>3</v>
      </c>
      <c r="CK124" s="341">
        <f t="shared" si="114"/>
        <v>4</v>
      </c>
      <c r="CL124" s="341">
        <f t="shared" si="114"/>
        <v>5</v>
      </c>
      <c r="CM124" s="341">
        <f t="shared" si="112"/>
        <v>6</v>
      </c>
      <c r="CN124" s="341">
        <f t="shared" si="112"/>
        <v>7</v>
      </c>
      <c r="CO124" s="341">
        <f t="shared" si="112"/>
        <v>8</v>
      </c>
      <c r="CP124" s="341">
        <f t="shared" si="112"/>
        <v>9</v>
      </c>
      <c r="CQ124" s="341">
        <f t="shared" si="112"/>
        <v>10</v>
      </c>
      <c r="CT124" s="353"/>
      <c r="CU124" s="353"/>
      <c r="CV124" s="353"/>
      <c r="CW124" s="353" t="b">
        <f t="shared" si="157"/>
        <v>1</v>
      </c>
      <c r="CX124" s="353" t="b">
        <f t="shared" si="158"/>
        <v>0</v>
      </c>
      <c r="CY124" s="353" t="b">
        <f t="shared" si="159"/>
        <v>1</v>
      </c>
      <c r="DC124" s="347">
        <f t="shared" si="115"/>
        <v>2</v>
      </c>
      <c r="DD124" s="353" t="b">
        <f t="shared" si="160"/>
        <v>1</v>
      </c>
      <c r="DE124" s="353" t="b">
        <f t="shared" si="161"/>
        <v>0</v>
      </c>
      <c r="DF124" s="353" t="b">
        <f t="shared" si="162"/>
        <v>1</v>
      </c>
      <c r="DG124" s="353"/>
      <c r="DH124" s="353"/>
      <c r="DI124" s="353"/>
      <c r="DJ124" s="353"/>
      <c r="DK124" s="353">
        <f t="shared" si="116"/>
        <v>2</v>
      </c>
      <c r="DM124" s="341">
        <f t="shared" si="163"/>
        <v>0</v>
      </c>
    </row>
    <row r="125" spans="2:117" x14ac:dyDescent="0.25">
      <c r="B125" s="373">
        <f t="shared" si="113"/>
        <v>95</v>
      </c>
      <c r="C125" s="373"/>
      <c r="D125" s="373"/>
      <c r="E125" s="373"/>
      <c r="F125" s="374" t="s">
        <v>527</v>
      </c>
      <c r="G125" s="375">
        <v>1</v>
      </c>
      <c r="H125" s="375">
        <v>1</v>
      </c>
      <c r="I125" s="375">
        <v>1</v>
      </c>
      <c r="J125" s="375">
        <v>1</v>
      </c>
      <c r="K125" s="375">
        <v>1</v>
      </c>
      <c r="L125" s="375">
        <v>1</v>
      </c>
      <c r="M125" s="375">
        <v>1</v>
      </c>
      <c r="N125" s="375">
        <v>1</v>
      </c>
      <c r="O125" s="375">
        <v>1</v>
      </c>
      <c r="P125" s="375">
        <v>1</v>
      </c>
      <c r="Q125" s="375">
        <v>1</v>
      </c>
      <c r="R125" s="375">
        <v>1</v>
      </c>
      <c r="S125" s="375">
        <v>0</v>
      </c>
      <c r="T125" s="376">
        <v>1</v>
      </c>
      <c r="U125" s="376">
        <v>1</v>
      </c>
      <c r="V125" s="376">
        <v>1</v>
      </c>
      <c r="W125" s="376">
        <v>1</v>
      </c>
      <c r="X125" s="376">
        <v>1</v>
      </c>
      <c r="Y125" s="376">
        <v>1</v>
      </c>
      <c r="Z125" s="376">
        <f t="shared" ref="Z125:Z131" si="168">IF(F125="","",IF(AND(S125=1,T125=1),$AS$1,IF(OR(S125=1,AND(T125=1,U125=1,V125=1,W125=1,X125=1,Y125=1)),1,0)))</f>
        <v>1</v>
      </c>
      <c r="AA125" s="376">
        <v>1</v>
      </c>
      <c r="AB125" s="376" t="s">
        <v>418</v>
      </c>
      <c r="AC125" s="376">
        <v>1</v>
      </c>
      <c r="AD125" s="376">
        <v>1</v>
      </c>
      <c r="AE125" s="376">
        <v>1</v>
      </c>
      <c r="AF125" s="376">
        <f t="shared" si="118"/>
        <v>0</v>
      </c>
      <c r="AG125" s="376">
        <v>1</v>
      </c>
      <c r="AH125" s="376">
        <f t="shared" si="119"/>
        <v>1</v>
      </c>
      <c r="AI125" s="376"/>
      <c r="AJ125" s="376"/>
      <c r="AK125" s="373">
        <f t="shared" si="120"/>
        <v>1</v>
      </c>
      <c r="AL125" s="373"/>
      <c r="AM125" s="373"/>
      <c r="AN125" s="373"/>
      <c r="AO125" s="373"/>
      <c r="AP125" s="377">
        <f t="shared" si="164"/>
        <v>1</v>
      </c>
      <c r="AQ125" s="378"/>
      <c r="AR125" s="341">
        <f t="shared" si="121"/>
        <v>1</v>
      </c>
      <c r="AS125" s="341">
        <f t="shared" si="110"/>
        <v>0</v>
      </c>
      <c r="AT125" s="341">
        <f t="shared" si="110"/>
        <v>1</v>
      </c>
      <c r="AU125" s="361">
        <f t="shared" si="122"/>
        <v>1</v>
      </c>
      <c r="AV125" s="361">
        <f t="shared" si="123"/>
        <v>1</v>
      </c>
      <c r="AW125" s="361">
        <f t="shared" si="124"/>
        <v>1</v>
      </c>
      <c r="AX125" s="361">
        <f t="shared" si="125"/>
        <v>1</v>
      </c>
      <c r="AY125" s="361">
        <f t="shared" si="126"/>
        <v>1</v>
      </c>
      <c r="AZ125" s="361">
        <f t="shared" si="127"/>
        <v>1</v>
      </c>
      <c r="BA125" s="361">
        <f t="shared" si="128"/>
        <v>1</v>
      </c>
      <c r="BB125" s="361">
        <f t="shared" si="129"/>
        <v>1</v>
      </c>
      <c r="BC125" s="361">
        <f t="shared" si="130"/>
        <v>1</v>
      </c>
      <c r="BD125" s="361">
        <f t="shared" si="131"/>
        <v>1</v>
      </c>
      <c r="BE125" s="361">
        <f t="shared" si="132"/>
        <v>1</v>
      </c>
      <c r="BF125" s="361">
        <f t="shared" si="133"/>
        <v>1</v>
      </c>
      <c r="BG125" s="361">
        <f t="shared" si="134"/>
        <v>1</v>
      </c>
      <c r="BH125" s="361">
        <f t="shared" si="135"/>
        <v>1</v>
      </c>
      <c r="BI125" s="361">
        <f t="shared" si="136"/>
        <v>1</v>
      </c>
      <c r="BJ125" s="361">
        <f t="shared" si="137"/>
        <v>1</v>
      </c>
      <c r="BK125" s="361">
        <f t="shared" si="138"/>
        <v>1</v>
      </c>
      <c r="BL125" s="361">
        <f t="shared" si="139"/>
        <v>1</v>
      </c>
      <c r="BM125" s="361">
        <f t="shared" si="140"/>
        <v>1</v>
      </c>
      <c r="BN125" s="361">
        <f t="shared" si="141"/>
        <v>1</v>
      </c>
      <c r="BO125" s="361">
        <f t="shared" si="142"/>
        <v>1</v>
      </c>
      <c r="BP125" s="361">
        <f t="shared" si="143"/>
        <v>1</v>
      </c>
      <c r="BQ125" s="361">
        <f t="shared" si="144"/>
        <v>1</v>
      </c>
      <c r="BR125" s="361">
        <f t="shared" si="145"/>
        <v>1</v>
      </c>
      <c r="BS125" s="361">
        <f t="shared" si="146"/>
        <v>1</v>
      </c>
      <c r="BT125" s="361">
        <f t="shared" si="147"/>
        <v>1</v>
      </c>
      <c r="BU125" s="361">
        <f t="shared" si="148"/>
        <v>1</v>
      </c>
      <c r="BV125" s="361">
        <f t="shared" si="149"/>
        <v>1</v>
      </c>
      <c r="BW125" s="361">
        <f t="shared" si="150"/>
        <v>1</v>
      </c>
      <c r="BX125" s="361">
        <f t="shared" si="151"/>
        <v>1</v>
      </c>
      <c r="BY125" s="361">
        <f t="shared" si="152"/>
        <v>1</v>
      </c>
      <c r="BZ125" s="361">
        <f t="shared" si="153"/>
        <v>1</v>
      </c>
      <c r="CA125" s="361">
        <f t="shared" si="154"/>
        <v>1</v>
      </c>
      <c r="CB125" s="361">
        <f t="shared" si="155"/>
        <v>1</v>
      </c>
      <c r="CC125" s="361">
        <f t="shared" si="156"/>
        <v>1</v>
      </c>
      <c r="CH125" s="341">
        <f t="shared" si="114"/>
        <v>1</v>
      </c>
      <c r="CI125" s="341">
        <f t="shared" si="114"/>
        <v>2</v>
      </c>
      <c r="CJ125" s="341">
        <f t="shared" si="114"/>
        <v>3</v>
      </c>
      <c r="CK125" s="341">
        <f t="shared" si="114"/>
        <v>4</v>
      </c>
      <c r="CL125" s="341">
        <f t="shared" si="114"/>
        <v>5</v>
      </c>
      <c r="CM125" s="341">
        <f t="shared" si="112"/>
        <v>6</v>
      </c>
      <c r="CN125" s="341">
        <f t="shared" si="112"/>
        <v>7</v>
      </c>
      <c r="CO125" s="341">
        <f t="shared" si="112"/>
        <v>8</v>
      </c>
      <c r="CP125" s="341">
        <f t="shared" si="112"/>
        <v>9</v>
      </c>
      <c r="CQ125" s="341">
        <f t="shared" si="112"/>
        <v>10</v>
      </c>
      <c r="CT125" s="353"/>
      <c r="CU125" s="353"/>
      <c r="CV125" s="353"/>
      <c r="CW125" s="353" t="b">
        <f t="shared" si="157"/>
        <v>1</v>
      </c>
      <c r="CX125" s="353" t="b">
        <f t="shared" si="158"/>
        <v>0</v>
      </c>
      <c r="CY125" s="353" t="b">
        <f t="shared" si="159"/>
        <v>1</v>
      </c>
      <c r="DC125" s="347">
        <f t="shared" si="115"/>
        <v>2</v>
      </c>
      <c r="DD125" s="353" t="b">
        <f t="shared" si="160"/>
        <v>1</v>
      </c>
      <c r="DE125" s="353" t="b">
        <f t="shared" si="161"/>
        <v>0</v>
      </c>
      <c r="DF125" s="353" t="b">
        <f t="shared" si="162"/>
        <v>1</v>
      </c>
      <c r="DG125" s="353"/>
      <c r="DH125" s="353"/>
      <c r="DI125" s="353"/>
      <c r="DJ125" s="353"/>
      <c r="DK125" s="353">
        <f t="shared" si="116"/>
        <v>2</v>
      </c>
      <c r="DM125" s="341">
        <f t="shared" si="163"/>
        <v>0</v>
      </c>
    </row>
    <row r="126" spans="2:117" x14ac:dyDescent="0.25">
      <c r="B126" s="373">
        <f t="shared" si="113"/>
        <v>96</v>
      </c>
      <c r="C126" s="373"/>
      <c r="D126" s="373"/>
      <c r="E126" s="373"/>
      <c r="F126" s="374" t="s">
        <v>528</v>
      </c>
      <c r="G126" s="375">
        <v>1</v>
      </c>
      <c r="H126" s="375">
        <v>1</v>
      </c>
      <c r="I126" s="375">
        <v>1</v>
      </c>
      <c r="J126" s="375">
        <v>1</v>
      </c>
      <c r="K126" s="375">
        <v>1</v>
      </c>
      <c r="L126" s="375">
        <v>1</v>
      </c>
      <c r="M126" s="375">
        <v>1</v>
      </c>
      <c r="N126" s="375">
        <v>1</v>
      </c>
      <c r="O126" s="375">
        <v>1</v>
      </c>
      <c r="P126" s="375">
        <v>1</v>
      </c>
      <c r="Q126" s="375">
        <v>1</v>
      </c>
      <c r="R126" s="375">
        <v>1</v>
      </c>
      <c r="S126" s="375">
        <v>0</v>
      </c>
      <c r="T126" s="376">
        <v>1</v>
      </c>
      <c r="U126" s="376">
        <v>1</v>
      </c>
      <c r="V126" s="376">
        <v>1</v>
      </c>
      <c r="W126" s="376">
        <v>1</v>
      </c>
      <c r="X126" s="376">
        <v>1</v>
      </c>
      <c r="Y126" s="376">
        <v>1</v>
      </c>
      <c r="Z126" s="376">
        <f t="shared" si="168"/>
        <v>1</v>
      </c>
      <c r="AA126" s="376">
        <v>0</v>
      </c>
      <c r="AB126" s="376" t="s">
        <v>418</v>
      </c>
      <c r="AC126" s="376">
        <v>1</v>
      </c>
      <c r="AD126" s="376">
        <v>1</v>
      </c>
      <c r="AE126" s="376">
        <v>1</v>
      </c>
      <c r="AF126" s="376">
        <f t="shared" si="118"/>
        <v>0</v>
      </c>
      <c r="AG126" s="376">
        <v>1</v>
      </c>
      <c r="AH126" s="376">
        <f t="shared" si="119"/>
        <v>1</v>
      </c>
      <c r="AI126" s="376"/>
      <c r="AJ126" s="376"/>
      <c r="AK126" s="373">
        <f t="shared" si="120"/>
        <v>1</v>
      </c>
      <c r="AL126" s="373"/>
      <c r="AM126" s="373"/>
      <c r="AN126" s="373"/>
      <c r="AO126" s="373"/>
      <c r="AP126" s="377">
        <f t="shared" si="164"/>
        <v>1</v>
      </c>
      <c r="AQ126" s="378"/>
      <c r="AR126" s="341">
        <f t="shared" si="121"/>
        <v>1</v>
      </c>
      <c r="AS126" s="341">
        <f t="shared" si="110"/>
        <v>0</v>
      </c>
      <c r="AT126" s="341">
        <f t="shared" si="110"/>
        <v>1</v>
      </c>
      <c r="AU126" s="361">
        <f t="shared" si="122"/>
        <v>1</v>
      </c>
      <c r="AV126" s="361">
        <f t="shared" si="123"/>
        <v>1</v>
      </c>
      <c r="AW126" s="361">
        <f t="shared" si="124"/>
        <v>1</v>
      </c>
      <c r="AX126" s="361">
        <f t="shared" si="125"/>
        <v>1</v>
      </c>
      <c r="AY126" s="361">
        <f t="shared" si="126"/>
        <v>1</v>
      </c>
      <c r="AZ126" s="361">
        <f t="shared" si="127"/>
        <v>1</v>
      </c>
      <c r="BA126" s="361">
        <f t="shared" si="128"/>
        <v>1</v>
      </c>
      <c r="BB126" s="361">
        <f t="shared" si="129"/>
        <v>1</v>
      </c>
      <c r="BC126" s="361">
        <f t="shared" si="130"/>
        <v>1</v>
      </c>
      <c r="BD126" s="361">
        <f t="shared" si="131"/>
        <v>1</v>
      </c>
      <c r="BE126" s="361">
        <f t="shared" si="132"/>
        <v>1</v>
      </c>
      <c r="BF126" s="361">
        <f t="shared" si="133"/>
        <v>1</v>
      </c>
      <c r="BG126" s="361">
        <f t="shared" si="134"/>
        <v>1</v>
      </c>
      <c r="BH126" s="361">
        <f t="shared" si="135"/>
        <v>1</v>
      </c>
      <c r="BI126" s="361">
        <f t="shared" si="136"/>
        <v>1</v>
      </c>
      <c r="BJ126" s="361">
        <f t="shared" si="137"/>
        <v>1</v>
      </c>
      <c r="BK126" s="361">
        <f t="shared" si="138"/>
        <v>1</v>
      </c>
      <c r="BL126" s="361">
        <f t="shared" si="139"/>
        <v>1</v>
      </c>
      <c r="BM126" s="361">
        <f t="shared" si="140"/>
        <v>1</v>
      </c>
      <c r="BN126" s="361">
        <f t="shared" si="141"/>
        <v>1</v>
      </c>
      <c r="BO126" s="361">
        <f t="shared" si="142"/>
        <v>1</v>
      </c>
      <c r="BP126" s="361">
        <f t="shared" si="143"/>
        <v>1</v>
      </c>
      <c r="BQ126" s="361">
        <f t="shared" si="144"/>
        <v>1</v>
      </c>
      <c r="BR126" s="361">
        <f t="shared" si="145"/>
        <v>1</v>
      </c>
      <c r="BS126" s="361">
        <f t="shared" si="146"/>
        <v>1</v>
      </c>
      <c r="BT126" s="361">
        <f t="shared" si="147"/>
        <v>1</v>
      </c>
      <c r="BU126" s="361">
        <f t="shared" si="148"/>
        <v>1</v>
      </c>
      <c r="BV126" s="361">
        <f t="shared" si="149"/>
        <v>1</v>
      </c>
      <c r="BW126" s="361">
        <f t="shared" si="150"/>
        <v>1</v>
      </c>
      <c r="BX126" s="361">
        <f t="shared" si="151"/>
        <v>1</v>
      </c>
      <c r="BY126" s="361">
        <f t="shared" si="152"/>
        <v>1</v>
      </c>
      <c r="BZ126" s="361">
        <f t="shared" si="153"/>
        <v>1</v>
      </c>
      <c r="CA126" s="361">
        <f t="shared" si="154"/>
        <v>1</v>
      </c>
      <c r="CB126" s="361">
        <f t="shared" si="155"/>
        <v>1</v>
      </c>
      <c r="CC126" s="361">
        <f t="shared" si="156"/>
        <v>1</v>
      </c>
      <c r="CH126" s="341">
        <f t="shared" si="114"/>
        <v>1</v>
      </c>
      <c r="CI126" s="341">
        <f t="shared" si="114"/>
        <v>2</v>
      </c>
      <c r="CJ126" s="341">
        <f t="shared" si="114"/>
        <v>3</v>
      </c>
      <c r="CK126" s="341">
        <f t="shared" si="114"/>
        <v>4</v>
      </c>
      <c r="CL126" s="341">
        <f t="shared" si="114"/>
        <v>5</v>
      </c>
      <c r="CM126" s="341">
        <f t="shared" si="112"/>
        <v>6</v>
      </c>
      <c r="CN126" s="341">
        <f t="shared" si="112"/>
        <v>7</v>
      </c>
      <c r="CO126" s="341">
        <f t="shared" si="112"/>
        <v>8</v>
      </c>
      <c r="CP126" s="341">
        <f t="shared" si="112"/>
        <v>9</v>
      </c>
      <c r="CQ126" s="341">
        <f t="shared" si="112"/>
        <v>10</v>
      </c>
      <c r="CT126" s="353"/>
      <c r="CU126" s="353"/>
      <c r="CV126" s="353"/>
      <c r="CW126" s="353" t="b">
        <f t="shared" si="157"/>
        <v>1</v>
      </c>
      <c r="CX126" s="353" t="b">
        <f t="shared" si="158"/>
        <v>0</v>
      </c>
      <c r="CY126" s="353" t="b">
        <f t="shared" si="159"/>
        <v>1</v>
      </c>
      <c r="DC126" s="347">
        <f t="shared" si="115"/>
        <v>2</v>
      </c>
      <c r="DD126" s="353" t="b">
        <f t="shared" si="160"/>
        <v>1</v>
      </c>
      <c r="DE126" s="353" t="b">
        <f t="shared" si="161"/>
        <v>0</v>
      </c>
      <c r="DF126" s="353" t="b">
        <f t="shared" si="162"/>
        <v>1</v>
      </c>
      <c r="DG126" s="353"/>
      <c r="DH126" s="353"/>
      <c r="DI126" s="353"/>
      <c r="DJ126" s="353"/>
      <c r="DK126" s="353">
        <f t="shared" si="116"/>
        <v>2</v>
      </c>
      <c r="DM126" s="341">
        <f t="shared" si="163"/>
        <v>0</v>
      </c>
    </row>
    <row r="127" spans="2:117" x14ac:dyDescent="0.25">
      <c r="B127" s="373" t="str">
        <f t="shared" si="113"/>
        <v/>
      </c>
      <c r="C127" s="373"/>
      <c r="D127" s="373"/>
      <c r="E127" s="373"/>
      <c r="F127" s="374"/>
      <c r="G127" s="375"/>
      <c r="H127" s="375"/>
      <c r="I127" s="375"/>
      <c r="J127" s="375"/>
      <c r="K127" s="375"/>
      <c r="L127" s="375"/>
      <c r="M127" s="375"/>
      <c r="N127" s="375"/>
      <c r="O127" s="375"/>
      <c r="P127" s="375"/>
      <c r="Q127" s="375"/>
      <c r="R127" s="375"/>
      <c r="S127" s="375"/>
      <c r="T127" s="376"/>
      <c r="U127" s="376"/>
      <c r="V127" s="376"/>
      <c r="W127" s="376"/>
      <c r="X127" s="376"/>
      <c r="Y127" s="376"/>
      <c r="Z127" s="376"/>
      <c r="AA127" s="376"/>
      <c r="AB127" s="376"/>
      <c r="AC127" s="376"/>
      <c r="AD127" s="376"/>
      <c r="AE127" s="376"/>
      <c r="AF127" s="376" t="str">
        <f t="shared" ref="AF127:AF132" si="169">IF($F127="","",IF(OR(DL127=1,AND(DM127=1,AA127=1)),1,0))</f>
        <v/>
      </c>
      <c r="AG127" s="376"/>
      <c r="AH127" s="376" t="str">
        <f t="shared" ref="AH127:AH133" si="170">IF(F127="","",IF(AA127=1,1,IF(AND(AB127="לא",SUM(AC127:AD127)=2),1,IF(AND(AB127="כן",SUM(AC127:AE127)=3),1,0))))</f>
        <v/>
      </c>
      <c r="AI127" s="376"/>
      <c r="AJ127" s="376"/>
      <c r="AK127" s="373" t="str">
        <f t="shared" ref="AK127:AK142" si="171">IF(F127="","",IF(G127&gt;=$G$5,1,0))</f>
        <v/>
      </c>
      <c r="AL127" s="373"/>
      <c r="AM127" s="373"/>
      <c r="AN127" s="373"/>
      <c r="AO127" s="373"/>
      <c r="AP127" s="377" t="str">
        <f t="shared" si="164"/>
        <v/>
      </c>
      <c r="AQ127" s="378"/>
      <c r="AR127" s="341">
        <f t="shared" ref="AR127:AR142" si="172">IF(OR(SUM(AU127:CC127)&lt;&gt;COUNT(AU127:CC127),SUMPRODUCT(--(G127:AK127=$AS$1))&lt;&gt;0),0,1)</f>
        <v>0</v>
      </c>
      <c r="AS127" s="341" t="str">
        <f t="shared" si="110"/>
        <v/>
      </c>
      <c r="AT127" s="341" t="str">
        <f t="shared" si="110"/>
        <v/>
      </c>
      <c r="AU127" s="361">
        <f t="shared" ref="AU127:AU142" si="173">IF(OR(G$30="",G$4=99),1,IF(G127="",0,IFERROR(CHOOSE(AU$28,IF(ISNA(MATCH(G127,$AS$30:$AT$30,0)),0,1),IF(ISNUMBER(G127),1,0),IF(G127=TRUNC(G127),1,0),IF(AND(G127*1=G127,G127&gt;=0),1,0),IF(AND(G127=TRUNC(G127),G127&gt;=0),1,0),IF(AND(G127*1=G127,G127&gt;0),1,0),IF(AND(G127=TRUNC(G127),G127&gt;0),1,0),1,IF(ISNA(HLOOKUP(G127,$AV$4:$BE$4,1,0)),0,1)),0)))</f>
        <v>0</v>
      </c>
      <c r="AV127" s="361">
        <f t="shared" ref="AV127:AV142" si="174">IF(OR(H$30="",H$4=99),1,IF(H127="",0,IFERROR(CHOOSE(AV$28,IF(ISNA(MATCH(H127,$AS$30:$AT$30,0)),0,1),IF(ISNUMBER(H127),1,0),IF(H127=TRUNC(H127),1,0),IF(AND(H127*1=H127,H127&gt;=0),1,0),IF(AND(H127=TRUNC(H127),H127&gt;=0),1,0),IF(AND(H127*1=H127,H127&gt;0),1,0),IF(AND(H127=TRUNC(H127),H127&gt;0),1,0),1,IF(ISNA(HLOOKUP(H127,$AV$4:$BE$4,1,0)),0,1)),0)))</f>
        <v>0</v>
      </c>
      <c r="AW127" s="361">
        <f t="shared" ref="AW127:AW142" si="175">IF(OR(I$30="",I$4=99),1,IF(I127="",0,IFERROR(CHOOSE(AW$28,IF(ISNA(MATCH(I127,$AS$30:$AT$30,0)),0,1),IF(ISNUMBER(I127),1,0),IF(I127=TRUNC(I127),1,0),IF(AND(I127*1=I127,I127&gt;=0),1,0),IF(AND(I127=TRUNC(I127),I127&gt;=0),1,0),IF(AND(I127*1=I127,I127&gt;0),1,0),IF(AND(I127=TRUNC(I127),I127&gt;0),1,0),1,IF(ISNA(HLOOKUP(I127,$AV$4:$BE$4,1,0)),0,1)),0)))</f>
        <v>0</v>
      </c>
      <c r="AX127" s="361">
        <f t="shared" ref="AX127:AX142" si="176">IF(OR(J$30="",J$4=99),1,IF(J127="",0,IFERROR(CHOOSE(AX$28,IF(ISNA(MATCH(J127,$AS$30:$AT$30,0)),0,1),IF(ISNUMBER(J127),1,0),IF(J127=TRUNC(J127),1,0),IF(AND(J127*1=J127,J127&gt;=0),1,0),IF(AND(J127=TRUNC(J127),J127&gt;=0),1,0),IF(AND(J127*1=J127,J127&gt;0),1,0),IF(AND(J127=TRUNC(J127),J127&gt;0),1,0),1,IF(ISNA(HLOOKUP(J127,$AV$4:$BE$4,1,0)),0,1)),0)))</f>
        <v>0</v>
      </c>
      <c r="AY127" s="361">
        <f t="shared" ref="AY127:AY142" si="177">IF(OR(K$30="",K$4=99),1,IF(K127="",0,IFERROR(CHOOSE(AY$28,IF(ISNA(MATCH(K127,$AS$30:$AT$30,0)),0,1),IF(ISNUMBER(K127),1,0),IF(K127=TRUNC(K127),1,0),IF(AND(K127*1=K127,K127&gt;=0),1,0),IF(AND(K127=TRUNC(K127),K127&gt;=0),1,0),IF(AND(K127*1=K127,K127&gt;0),1,0),IF(AND(K127=TRUNC(K127),K127&gt;0),1,0),1,IF(ISNA(HLOOKUP(K127,$AV$4:$BE$4,1,0)),0,1)),0)))</f>
        <v>0</v>
      </c>
      <c r="AZ127" s="361">
        <f t="shared" ref="AZ127:AZ142" si="178">IF(OR(L$30="",L$4=99),1,IF(L127="",0,IFERROR(CHOOSE(AZ$28,IF(ISNA(MATCH(L127,$AS$30:$AT$30,0)),0,1),IF(ISNUMBER(L127),1,0),IF(L127=TRUNC(L127),1,0),IF(AND(L127*1=L127,L127&gt;=0),1,0),IF(AND(L127=TRUNC(L127),L127&gt;=0),1,0),IF(AND(L127*1=L127,L127&gt;0),1,0),IF(AND(L127=TRUNC(L127),L127&gt;0),1,0),1,IF(ISNA(HLOOKUP(L127,$AV$4:$BE$4,1,0)),0,1)),0)))</f>
        <v>0</v>
      </c>
      <c r="BA127" s="361">
        <f t="shared" ref="BA127:BA142" si="179">IF(OR(M$30="",M$4=99),1,IF(M127="",0,IFERROR(CHOOSE(BA$28,IF(ISNA(MATCH(M127,$AS$30:$AT$30,0)),0,1),IF(ISNUMBER(M127),1,0),IF(M127=TRUNC(M127),1,0),IF(AND(M127*1=M127,M127&gt;=0),1,0),IF(AND(M127=TRUNC(M127),M127&gt;=0),1,0),IF(AND(M127*1=M127,M127&gt;0),1,0),IF(AND(M127=TRUNC(M127),M127&gt;0),1,0),1,IF(ISNA(HLOOKUP(M127,$AV$4:$BE$4,1,0)),0,1)),0)))</f>
        <v>0</v>
      </c>
      <c r="BB127" s="361">
        <f t="shared" ref="BB127:BB142" si="180">IF(OR(N$30="",N$4=99),1,IF(N127="",0,IFERROR(CHOOSE(BB$28,IF(ISNA(MATCH(N127,$AS$30:$AT$30,0)),0,1),IF(ISNUMBER(N127),1,0),IF(N127=TRUNC(N127),1,0),IF(AND(N127*1=N127,N127&gt;=0),1,0),IF(AND(N127=TRUNC(N127),N127&gt;=0),1,0),IF(AND(N127*1=N127,N127&gt;0),1,0),IF(AND(N127=TRUNC(N127),N127&gt;0),1,0),1,IF(ISNA(HLOOKUP(N127,$AV$4:$BE$4,1,0)),0,1)),0)))</f>
        <v>0</v>
      </c>
      <c r="BC127" s="361">
        <f t="shared" ref="BC127:BC142" si="181">IF(OR(O$30="",O$4=99),1,IF(O127="",0,IFERROR(CHOOSE(BC$28,IF(ISNA(MATCH(O127,$AS$30:$AT$30,0)),0,1),IF(ISNUMBER(O127),1,0),IF(O127=TRUNC(O127),1,0),IF(AND(O127*1=O127,O127&gt;=0),1,0),IF(AND(O127=TRUNC(O127),O127&gt;=0),1,0),IF(AND(O127*1=O127,O127&gt;0),1,0),IF(AND(O127=TRUNC(O127),O127&gt;0),1,0),1,IF(ISNA(HLOOKUP(O127,$AV$4:$BE$4,1,0)),0,1)),0)))</f>
        <v>0</v>
      </c>
      <c r="BD127" s="361">
        <f t="shared" ref="BD127:BD142" si="182">IF(OR(P$30="",P$4=99),1,IF(P127="",0,IFERROR(CHOOSE(BD$28,IF(ISNA(MATCH(P127,$AS$30:$AT$30,0)),0,1),IF(ISNUMBER(P127),1,0),IF(P127=TRUNC(P127),1,0),IF(AND(P127*1=P127,P127&gt;=0),1,0),IF(AND(P127=TRUNC(P127),P127&gt;=0),1,0),IF(AND(P127*1=P127,P127&gt;0),1,0),IF(AND(P127=TRUNC(P127),P127&gt;0),1,0),1,IF(ISNA(HLOOKUP(P127,$AV$4:$BE$4,1,0)),0,1)),0)))</f>
        <v>0</v>
      </c>
      <c r="BE127" s="361">
        <f t="shared" ref="BE127:BE142" si="183">IF(OR(Q$30="",Q$4=99),1,IF(Q127="",0,IFERROR(CHOOSE(BE$28,IF(ISNA(MATCH(Q127,$AS$30:$AT$30,0)),0,1),IF(ISNUMBER(Q127),1,0),IF(Q127=TRUNC(Q127),1,0),IF(AND(Q127*1=Q127,Q127&gt;=0),1,0),IF(AND(Q127=TRUNC(Q127),Q127&gt;=0),1,0),IF(AND(Q127*1=Q127,Q127&gt;0),1,0),IF(AND(Q127=TRUNC(Q127),Q127&gt;0),1,0),1,IF(ISNA(HLOOKUP(Q127,$AV$4:$BE$4,1,0)),0,1)),0)))</f>
        <v>0</v>
      </c>
      <c r="BF127" s="361">
        <f t="shared" ref="BF127:BF142" si="184">IF(OR(R$30="",R$4=99),1,IF(R127="",0,IFERROR(CHOOSE(BF$28,IF(ISNA(MATCH(R127,$AS$30:$AT$30,0)),0,1),IF(ISNUMBER(R127),1,0),IF(R127=TRUNC(R127),1,0),IF(AND(R127*1=R127,R127&gt;=0),1,0),IF(AND(R127=TRUNC(R127),R127&gt;=0),1,0),IF(AND(R127*1=R127,R127&gt;0),1,0),IF(AND(R127=TRUNC(R127),R127&gt;0),1,0),1,IF(ISNA(HLOOKUP(R127,$AV$4:$BE$4,1,0)),0,1)),0)))</f>
        <v>0</v>
      </c>
      <c r="BG127" s="361">
        <f t="shared" ref="BG127:BG142" si="185">IF(OR(S$30="",S$4=99),1,IF(S127="",0,IFERROR(CHOOSE(BF$28,IF(ISNA(MATCH(S127,$AS$30:$AT$30,0)),0,1),IF(ISNUMBER(S127),1,0),IF(S127=TRUNC(S127),1,0),IF(AND(S127*1=S127,S127&gt;=0),1,0),IF(AND(S127=TRUNC(S127),S127&gt;=0),1,0),IF(AND(S127*1=S127,S127&gt;0),1,0),IF(AND(S127=TRUNC(S127),S127&gt;0),1,0),1,IF(ISNA(HLOOKUP(S127,$AV$4:$BE$4,1,0)),0,1)),0)))</f>
        <v>0</v>
      </c>
      <c r="BH127" s="361">
        <f t="shared" ref="BH127:BH142" si="186">IF(OR(T$30="",T$4=99),1,IF(T127="",0,IFERROR(CHOOSE(BG$28,IF(ISNA(MATCH(T127,$AS$30:$AT$30,0)),0,1),IF(ISNUMBER(T127),1,0),IF(T127=TRUNC(T127),1,0),IF(AND(T127*1=T127,T127&gt;=0),1,0),IF(AND(T127=TRUNC(T127),T127&gt;=0),1,0),IF(AND(T127*1=T127,T127&gt;0),1,0),IF(AND(T127=TRUNC(T127),T127&gt;0),1,0),1,IF(ISNA(HLOOKUP(T127,$AV$4:$BE$4,1,0)),0,1)),0)))</f>
        <v>0</v>
      </c>
      <c r="BI127" s="361">
        <f t="shared" ref="BI127:BI142" si="187">IF(OR(U$30="",U$4=99),1,IF(U127="",0,IFERROR(CHOOSE(BH$28,IF(ISNA(MATCH(U127,$AS$30:$AT$30,0)),0,1),IF(ISNUMBER(U127),1,0),IF(U127=TRUNC(U127),1,0),IF(AND(U127*1=U127,U127&gt;=0),1,0),IF(AND(U127=TRUNC(U127),U127&gt;=0),1,0),IF(AND(U127*1=U127,U127&gt;0),1,0),IF(AND(U127=TRUNC(U127),U127&gt;0),1,0),1,IF(ISNA(HLOOKUP(U127,$AV$4:$BE$4,1,0)),0,1)),0)))</f>
        <v>0</v>
      </c>
      <c r="BJ127" s="361">
        <f t="shared" ref="BJ127:BJ142" si="188">IF(OR(V$30="",V$4=99),1,IF(V127="",0,IFERROR(CHOOSE(BI$28,IF(ISNA(MATCH(V127,$AS$30:$AT$30,0)),0,1),IF(ISNUMBER(V127),1,0),IF(V127=TRUNC(V127),1,0),IF(AND(V127*1=V127,V127&gt;=0),1,0),IF(AND(V127=TRUNC(V127),V127&gt;=0),1,0),IF(AND(V127*1=V127,V127&gt;0),1,0),IF(AND(V127=TRUNC(V127),V127&gt;0),1,0),1,IF(ISNA(HLOOKUP(V127,$AV$4:$BE$4,1,0)),0,1)),0)))</f>
        <v>0</v>
      </c>
      <c r="BK127" s="361">
        <f t="shared" ref="BK127:BK142" si="189">IF(OR(W$30="",W$4=99),1,IF(W127="",0,IFERROR(CHOOSE(BJ$28,IF(ISNA(MATCH(W127,$AS$30:$AT$30,0)),0,1),IF(ISNUMBER(W127),1,0),IF(W127=TRUNC(W127),1,0),IF(AND(W127*1=W127,W127&gt;=0),1,0),IF(AND(W127=TRUNC(W127),W127&gt;=0),1,0),IF(AND(W127*1=W127,W127&gt;0),1,0),IF(AND(W127=TRUNC(W127),W127&gt;0),1,0),1,IF(ISNA(HLOOKUP(W127,$AV$4:$BE$4,1,0)),0,1)),0)))</f>
        <v>0</v>
      </c>
      <c r="BL127" s="361">
        <f t="shared" ref="BL127:BL142" si="190">IF(OR(X$30="",X$4=99),1,IF(X127="",0,IFERROR(CHOOSE(BK$28,IF(ISNA(MATCH(X127,$AS$30:$AT$30,0)),0,1),IF(ISNUMBER(X127),1,0),IF(X127=TRUNC(X127),1,0),IF(AND(X127*1=X127,X127&gt;=0),1,0),IF(AND(X127=TRUNC(X127),X127&gt;=0),1,0),IF(AND(X127*1=X127,X127&gt;0),1,0),IF(AND(X127=TRUNC(X127),X127&gt;0),1,0),1,IF(ISNA(HLOOKUP(X127,$AV$4:$BE$4,1,0)),0,1)),0)))</f>
        <v>0</v>
      </c>
      <c r="BM127" s="361">
        <f t="shared" ref="BM127:BM142" si="191">IF(OR(Y$30="",Y$4=99),1,IF(Y127="",0,IFERROR(CHOOSE(BL$28,IF(ISNA(MATCH(Y127,$AS$30:$AT$30,0)),0,1),IF(ISNUMBER(Y127),1,0),IF(Y127=TRUNC(Y127),1,0),IF(AND(Y127*1=Y127,Y127&gt;=0),1,0),IF(AND(Y127=TRUNC(Y127),Y127&gt;=0),1,0),IF(AND(Y127*1=Y127,Y127&gt;0),1,0),IF(AND(Y127=TRUNC(Y127),Y127&gt;0),1,0),1,IF(ISNA(HLOOKUP(Y127,$AV$4:$BE$4,1,0)),0,1)),0)))</f>
        <v>0</v>
      </c>
      <c r="BN127" s="361">
        <f t="shared" ref="BN127:BN142" si="192">IF(OR(Z$30="",Z$4=99),1,IF(Z127="",0,IFERROR(CHOOSE(BM$28,IF(ISNA(MATCH(Z127,$AS$30:$AT$30,0)),0,1),IF(ISNUMBER(Z127),1,0),IF(Z127=TRUNC(Z127),1,0),IF(AND(Z127*1=Z127,Z127&gt;=0),1,0),IF(AND(Z127=TRUNC(Z127),Z127&gt;=0),1,0),IF(AND(Z127*1=Z127,Z127&gt;0),1,0),IF(AND(Z127=TRUNC(Z127),Z127&gt;0),1,0),1,IF(ISNA(HLOOKUP(Z127,$AV$4:$BE$4,1,0)),0,1)),0)))</f>
        <v>1</v>
      </c>
      <c r="BO127" s="361">
        <f t="shared" ref="BO127:BO142" si="193">IF(OR(AA$30="",AA$4=99),1,IF(AA127="",0,IFERROR(CHOOSE(BN$28,IF(ISNA(MATCH(AA127,$AS$30:$AT$30,0)),0,1),IF(ISNUMBER(AA127),1,0),IF(AA127=TRUNC(AA127),1,0),IF(AND(AA127*1=AA127,AA127&gt;=0),1,0),IF(AND(AA127=TRUNC(AA127),AA127&gt;=0),1,0),IF(AND(AA127*1=AA127,AA127&gt;0),1,0),IF(AND(AA127=TRUNC(AA127),AA127&gt;0),1,0),1,IF(ISNA(HLOOKUP(AA127,$AV$4:$BE$4,1,0)),0,1)),0)))</f>
        <v>0</v>
      </c>
      <c r="BP127" s="361">
        <f t="shared" ref="BP127:BP142" si="194">IF(OR(AB$30="",AB$4=99),1,IF(AB127="",0,IFERROR(CHOOSE(BO$28,IF(ISNA(MATCH(AB127,$AS$30:$AT$30,0)),0,1),IF(ISNUMBER(AB127),1,0),IF(AB127=TRUNC(AB127),1,0),IF(AND(AB127*1=AB127,AB127&gt;=0),1,0),IF(AND(AB127=TRUNC(AB127),AB127&gt;=0),1,0),IF(AND(AB127*1=AB127,AB127&gt;0),1,0),IF(AND(AB127=TRUNC(AB127),AB127&gt;0),1,0),1,IF(ISNA(HLOOKUP(AB127,$AV$4:$BE$4,1,0)),0,1)),0)))</f>
        <v>1</v>
      </c>
      <c r="BQ127" s="361">
        <f t="shared" ref="BQ127:BQ142" si="195">IF(OR(AC$30="",AC$4=99),1,IF(AC127="",0,IFERROR(CHOOSE(BP$28,IF(ISNA(MATCH(AC127,$AS$30:$AT$30,0)),0,1),IF(ISNUMBER(AC127),1,0),IF(AC127=TRUNC(AC127),1,0),IF(AND(AC127*1=AC127,AC127&gt;=0),1,0),IF(AND(AC127=TRUNC(AC127),AC127&gt;=0),1,0),IF(AND(AC127*1=AC127,AC127&gt;0),1,0),IF(AND(AC127=TRUNC(AC127),AC127&gt;0),1,0),1,IF(ISNA(HLOOKUP(AC127,$AV$4:$BE$4,1,0)),0,1)),0)))</f>
        <v>1</v>
      </c>
      <c r="BR127" s="361">
        <f t="shared" ref="BR127:BR142" si="196">IF(OR(AD$30="",AD$4=99),1,IF(AD127="",0,IFERROR(CHOOSE(BQ$28,IF(ISNA(MATCH(AD127,$AS$30:$AT$30,0)),0,1),IF(ISNUMBER(AD127),1,0),IF(AD127=TRUNC(AD127),1,0),IF(AND(AD127*1=AD127,AD127&gt;=0),1,0),IF(AND(AD127=TRUNC(AD127),AD127&gt;=0),1,0),IF(AND(AD127*1=AD127,AD127&gt;0),1,0),IF(AND(AD127=TRUNC(AD127),AD127&gt;0),1,0),1,IF(ISNA(HLOOKUP(AD127,$AV$4:$BE$4,1,0)),0,1)),0)))</f>
        <v>1</v>
      </c>
      <c r="BS127" s="361">
        <f t="shared" ref="BS127:BS142" si="197">IF(OR(AE$30="",AE$4=99),1,IF(AE127="",0,IFERROR(CHOOSE(BR$28,IF(ISNA(MATCH(AE127,$AS$30:$AT$30,0)),0,1),IF(ISNUMBER(AE127),1,0),IF(AE127=TRUNC(AE127),1,0),IF(AND(AE127*1=AE127,AE127&gt;=0),1,0),IF(AND(AE127=TRUNC(AE127),AE127&gt;=0),1,0),IF(AND(AE127*1=AE127,AE127&gt;0),1,0),IF(AND(AE127=TRUNC(AE127),AE127&gt;0),1,0),1,IF(ISNA(HLOOKUP(AE127,$AV$4:$BE$4,1,0)),0,1)),0)))</f>
        <v>1</v>
      </c>
      <c r="BT127" s="361">
        <f t="shared" ref="BT127:BT142" si="198">IF(OR(AF$30="",AF$4=99),1,IF(AF127="",0,IFERROR(CHOOSE(BS$28,IF(ISNA(MATCH(AF127,$AS$30:$AT$30,0)),0,1),IF(ISNUMBER(AF127),1,0),IF(AF127=TRUNC(AF127),1,0),IF(AND(AF127*1=AF127,AF127&gt;=0),1,0),IF(AND(AF127=TRUNC(AF127),AF127&gt;=0),1,0),IF(AND(AF127*1=AF127,AF127&gt;0),1,0),IF(AND(AF127=TRUNC(AF127),AF127&gt;0),1,0),1,IF(ISNA(HLOOKUP(AF127,$AV$4:$BE$4,1,0)),0,1)),0)))</f>
        <v>1</v>
      </c>
      <c r="BU127" s="361">
        <f t="shared" ref="BU127:BU142" si="199">IF(OR(AH$30="",AH$4=99),1,IF(AH127="",0,IFERROR(CHOOSE(BT$28,IF(ISNA(MATCH(AH127,$AS$30:$AT$30,0)),0,1),IF(ISNUMBER(AH127),1,0),IF(AH127=TRUNC(AH127),1,0),IF(AND(AH127*1=AH127,AH127&gt;=0),1,0),IF(AND(AH127=TRUNC(AH127),AH127&gt;=0),1,0),IF(AND(AH127*1=AH127,AH127&gt;0),1,0),IF(AND(AH127=TRUNC(AH127),AH127&gt;0),1,0),1,IF(ISNA(HLOOKUP(AH127,$AV$4:$BE$4,1,0)),0,1)),0)))</f>
        <v>1</v>
      </c>
      <c r="BV127" s="361">
        <f t="shared" ref="BV127:BV142" si="200">IF(OR(AI$30="",AI$4=99),1,IF(AI127="",0,IFERROR(CHOOSE(BU$28,IF(ISNA(MATCH(AI127,$AS$30:$AT$30,0)),0,1),IF(ISNUMBER(AI127),1,0),IF(AI127=TRUNC(AI127),1,0),IF(AND(AI127*1=AI127,AI127&gt;=0),1,0),IF(AND(AI127=TRUNC(AI127),AI127&gt;=0),1,0),IF(AND(AI127*1=AI127,AI127&gt;0),1,0),IF(AND(AI127=TRUNC(AI127),AI127&gt;0),1,0),1,IF(ISNA(HLOOKUP(AI127,$AV$4:$BE$4,1,0)),0,1)),0)))</f>
        <v>1</v>
      </c>
      <c r="BW127" s="361">
        <f t="shared" ref="BW127:BW142" si="201">IF(OR(AJ$30="",AJ$4=99),1,IF(AJ127="",0,IFERROR(CHOOSE(BV$28,IF(ISNA(MATCH(AJ127,$AS$30:$AT$30,0)),0,1),IF(ISNUMBER(AJ127),1,0),IF(AJ127=TRUNC(AJ127),1,0),IF(AND(AJ127*1=AJ127,AJ127&gt;=0),1,0),IF(AND(AJ127=TRUNC(AJ127),AJ127&gt;=0),1,0),IF(AND(AJ127*1=AJ127,AJ127&gt;0),1,0),IF(AND(AJ127=TRUNC(AJ127),AJ127&gt;0),1,0),1,IF(ISNA(HLOOKUP(AJ127,$AV$4:$BE$4,1,0)),0,1)),0)))</f>
        <v>1</v>
      </c>
      <c r="BX127" s="361">
        <f t="shared" ref="BX127:BX142" si="202">IF(OR(AK$30="",AK$4=99),1,IF(AK127="",0,IFERROR(CHOOSE(BW$28,IF(ISNA(MATCH(AK127,$AS$30:$AT$30,0)),0,1),IF(ISNUMBER(AK127),1,0),IF(AK127=TRUNC(AK127),1,0),IF(AND(AK127*1=AK127,AK127&gt;=0),1,0),IF(AND(AK127=TRUNC(AK127),AK127&gt;=0),1,0),IF(AND(AK127*1=AK127,AK127&gt;0),1,0),IF(AND(AK127=TRUNC(AK127),AK127&gt;0),1,0),1,IF(ISNA(HLOOKUP(AK127,$AV$4:$BE$4,1,0)),0,1)),0)))</f>
        <v>1</v>
      </c>
      <c r="BY127" s="361">
        <f t="shared" ref="BY127:BY142" si="203">IF(OR(AL$30="",AL$4=99),1,IF(AL127="",0,IFERROR(CHOOSE(BX$28,IF(ISNA(MATCH(AL127,$AS$30:$AT$30,0)),0,1),IF(ISNUMBER(AL127),1,0),IF(AL127=TRUNC(AL127),1,0),IF(AND(AL127*1=AL127,AL127&gt;=0),1,0),IF(AND(AL127=TRUNC(AL127),AL127&gt;=0),1,0),IF(AND(AL127*1=AL127,AL127&gt;0),1,0),IF(AND(AL127=TRUNC(AL127),AL127&gt;0),1,0),1,IF(ISNA(HLOOKUP(AL127,$AV$4:$BE$4,1,0)),0,1)),0)))</f>
        <v>1</v>
      </c>
      <c r="BZ127" s="361">
        <f t="shared" ref="BZ127:BZ142" si="204">IF(OR(AM$30="",AM$4=99),1,IF(AM127="",0,IFERROR(CHOOSE(BY$28,IF(ISNA(MATCH(AM127,$AS$30:$AT$30,0)),0,1),IF(ISNUMBER(AM127),1,0),IF(AM127=TRUNC(AM127),1,0),IF(AND(AM127*1=AM127,AM127&gt;=0),1,0),IF(AND(AM127=TRUNC(AM127),AM127&gt;=0),1,0),IF(AND(AM127*1=AM127,AM127&gt;0),1,0),IF(AND(AM127=TRUNC(AM127),AM127&gt;0),1,0),1,IF(ISNA(HLOOKUP(AM127,$AV$4:$BE$4,1,0)),0,1)),0)))</f>
        <v>1</v>
      </c>
      <c r="CA127" s="361">
        <f t="shared" ref="CA127:CA142" si="205">IF(OR(AN$30="",AN$4=99),1,IF(AN127="",0,IFERROR(CHOOSE(BZ$28,IF(ISNA(MATCH(AN127,$AS$30:$AT$30,0)),0,1),IF(ISNUMBER(AN127),1,0),IF(AN127=TRUNC(AN127),1,0),IF(AND(AN127*1=AN127,AN127&gt;=0),1,0),IF(AND(AN127=TRUNC(AN127),AN127&gt;=0),1,0),IF(AND(AN127*1=AN127,AN127&gt;0),1,0),IF(AND(AN127=TRUNC(AN127),AN127&gt;0),1,0),1,IF(ISNA(HLOOKUP(AN127,$AV$4:$BE$4,1,0)),0,1)),0)))</f>
        <v>1</v>
      </c>
      <c r="CB127" s="361">
        <f t="shared" ref="CB127:CB142" si="206">IF(OR(AO$30="",AO$4=99),1,IF(AO127="",0,IFERROR(CHOOSE(CA$28,IF(ISNA(MATCH(AO127,$AS$30:$AT$30,0)),0,1),IF(ISNUMBER(AO127),1,0),IF(AO127=TRUNC(AO127),1,0),IF(AND(AO127*1=AO127,AO127&gt;=0),1,0),IF(AND(AO127=TRUNC(AO127),AO127&gt;=0),1,0),IF(AND(AO127*1=AO127,AO127&gt;0),1,0),IF(AND(AO127=TRUNC(AO127),AO127&gt;0),1,0),1,IF(ISNA(HLOOKUP(AO127,$AV$4:$BE$4,1,0)),0,1)),0)))</f>
        <v>1</v>
      </c>
      <c r="CC127" s="361">
        <f t="shared" ref="CC127:CC142" si="207">IF(OR(AP$30="",AP$4=99),1,IF(AP127="",0,IFERROR(CHOOSE(CB$28,IF(ISNA(MATCH(AP127,$AS$30:$AT$30,0)),0,1),IF(ISNUMBER(AP127),1,0),IF(AP127=TRUNC(AP127),1,0),IF(AND(AP127*1=AP127,AP127&gt;=0),1,0),IF(AND(AP127=TRUNC(AP127),AP127&gt;=0),1,0),IF(AND(AP127*1=AP127,AP127&gt;0),1,0),IF(AND(AP127=TRUNC(AP127),AP127&gt;0),1,0),1,IF(ISNA(HLOOKUP(AP127,$AV$4:$BE$4,1,0)),0,1)),0)))</f>
        <v>1</v>
      </c>
      <c r="CH127" s="341" t="str">
        <f t="shared" si="114"/>
        <v/>
      </c>
      <c r="CI127" s="341" t="str">
        <f t="shared" si="114"/>
        <v/>
      </c>
      <c r="CJ127" s="341" t="str">
        <f t="shared" si="114"/>
        <v/>
      </c>
      <c r="CK127" s="341" t="str">
        <f t="shared" si="114"/>
        <v/>
      </c>
      <c r="CL127" s="341" t="str">
        <f t="shared" si="114"/>
        <v/>
      </c>
      <c r="CM127" s="341" t="str">
        <f t="shared" si="112"/>
        <v/>
      </c>
      <c r="CN127" s="341" t="str">
        <f t="shared" si="112"/>
        <v/>
      </c>
      <c r="CO127" s="341" t="str">
        <f t="shared" si="112"/>
        <v/>
      </c>
      <c r="CP127" s="341" t="str">
        <f t="shared" si="112"/>
        <v/>
      </c>
      <c r="CQ127" s="341" t="str">
        <f t="shared" si="112"/>
        <v/>
      </c>
      <c r="CT127" s="353"/>
      <c r="CU127" s="353"/>
      <c r="CV127" s="353"/>
      <c r="CW127" s="353" t="b">
        <f t="shared" ref="CW127:CW142" si="208">W127&gt;=CV$5</f>
        <v>0</v>
      </c>
      <c r="CX127" s="353" t="b">
        <f t="shared" ref="CX127:CX142" si="209">X127&gt;=CW$5</f>
        <v>0</v>
      </c>
      <c r="CY127" s="353" t="b">
        <f t="shared" ref="CY127:CY142" si="210">Y127&gt;=CX$5</f>
        <v>1</v>
      </c>
      <c r="DC127" s="347">
        <f t="shared" ref="DC127:DC142" si="211">COUNTIF(CW127:DA127,TRUE)</f>
        <v>1</v>
      </c>
      <c r="DD127" s="353" t="b">
        <f t="shared" ref="DD127:DD142" si="212">W127&gt;=DC$5</f>
        <v>0</v>
      </c>
      <c r="DE127" s="353" t="b">
        <f t="shared" ref="DE127:DE142" si="213">X127&gt;=DD$5</f>
        <v>0</v>
      </c>
      <c r="DF127" s="353" t="b">
        <f t="shared" ref="DF127:DF142" si="214">Y127&gt;=DE$5</f>
        <v>1</v>
      </c>
      <c r="DG127" s="353"/>
      <c r="DH127" s="353"/>
      <c r="DI127" s="353"/>
      <c r="DJ127" s="353"/>
      <c r="DK127" s="353">
        <f t="shared" ref="DK127:DK142" si="215">COUNTIF(DD127:DJ127,TRUE)</f>
        <v>1</v>
      </c>
      <c r="DM127" s="341" t="str">
        <f t="shared" ref="DM127:DM142" si="216">IF($F127="","",IF(AND(DK127=$CW$3,DK127-DC127&lt;=$DD$3),1,0))</f>
        <v/>
      </c>
    </row>
    <row r="128" spans="2:117" x14ac:dyDescent="0.25">
      <c r="B128" s="373">
        <f t="shared" si="113"/>
        <v>98</v>
      </c>
      <c r="C128" s="373"/>
      <c r="D128" s="373"/>
      <c r="E128" s="373"/>
      <c r="F128" s="374" t="s">
        <v>529</v>
      </c>
      <c r="G128" s="375">
        <v>1</v>
      </c>
      <c r="H128" s="375">
        <v>1</v>
      </c>
      <c r="I128" s="375">
        <v>1</v>
      </c>
      <c r="J128" s="375">
        <v>1</v>
      </c>
      <c r="K128" s="375">
        <v>1</v>
      </c>
      <c r="L128" s="375">
        <v>1</v>
      </c>
      <c r="M128" s="375">
        <v>1</v>
      </c>
      <c r="N128" s="375">
        <v>1</v>
      </c>
      <c r="O128" s="375">
        <v>1</v>
      </c>
      <c r="P128" s="375">
        <v>1</v>
      </c>
      <c r="Q128" s="375">
        <v>1</v>
      </c>
      <c r="R128" s="375">
        <v>1</v>
      </c>
      <c r="S128" s="375">
        <v>0</v>
      </c>
      <c r="T128" s="376">
        <v>1</v>
      </c>
      <c r="U128" s="376">
        <v>1</v>
      </c>
      <c r="V128" s="376">
        <v>1</v>
      </c>
      <c r="W128" s="376">
        <v>1</v>
      </c>
      <c r="X128" s="376">
        <v>1</v>
      </c>
      <c r="Y128" s="376">
        <v>1</v>
      </c>
      <c r="Z128" s="376">
        <f t="shared" si="168"/>
        <v>1</v>
      </c>
      <c r="AA128" s="376">
        <v>1</v>
      </c>
      <c r="AB128" s="376" t="s">
        <v>418</v>
      </c>
      <c r="AC128" s="376">
        <v>1</v>
      </c>
      <c r="AD128" s="376">
        <v>1</v>
      </c>
      <c r="AE128" s="376">
        <v>1</v>
      </c>
      <c r="AF128" s="376">
        <f t="shared" si="169"/>
        <v>0</v>
      </c>
      <c r="AG128" s="376">
        <v>1</v>
      </c>
      <c r="AH128" s="376">
        <f t="shared" si="170"/>
        <v>1</v>
      </c>
      <c r="AI128" s="376"/>
      <c r="AJ128" s="376"/>
      <c r="AK128" s="373">
        <f t="shared" si="171"/>
        <v>1</v>
      </c>
      <c r="AL128" s="373"/>
      <c r="AM128" s="373"/>
      <c r="AN128" s="373"/>
      <c r="AO128" s="373"/>
      <c r="AP128" s="377">
        <f t="shared" ref="AP128:AP142" si="217">IF($F128="","",IF(AL128=1,1,IF(AR128&lt;&gt;1,$AS$1,IF(SUMPRODUCT(--(G128:AK128&gt;=$G$5:$AK$5)*($G$5:$AK$5&lt;&gt;"")*($G$4:$AK$4=1))=COUNTIF($G$4:$AK$4,1),1,0))))</f>
        <v>1</v>
      </c>
      <c r="AQ128" s="378"/>
      <c r="AR128" s="341">
        <f t="shared" si="172"/>
        <v>1</v>
      </c>
      <c r="AS128" s="341">
        <f t="shared" si="110"/>
        <v>0</v>
      </c>
      <c r="AT128" s="341">
        <f t="shared" si="110"/>
        <v>1</v>
      </c>
      <c r="AU128" s="361">
        <f t="shared" si="173"/>
        <v>1</v>
      </c>
      <c r="AV128" s="361">
        <f t="shared" si="174"/>
        <v>1</v>
      </c>
      <c r="AW128" s="361">
        <f t="shared" si="175"/>
        <v>1</v>
      </c>
      <c r="AX128" s="361">
        <f t="shared" si="176"/>
        <v>1</v>
      </c>
      <c r="AY128" s="361">
        <f t="shared" si="177"/>
        <v>1</v>
      </c>
      <c r="AZ128" s="361">
        <f t="shared" si="178"/>
        <v>1</v>
      </c>
      <c r="BA128" s="361">
        <f t="shared" si="179"/>
        <v>1</v>
      </c>
      <c r="BB128" s="361">
        <f t="shared" si="180"/>
        <v>1</v>
      </c>
      <c r="BC128" s="361">
        <f t="shared" si="181"/>
        <v>1</v>
      </c>
      <c r="BD128" s="361">
        <f t="shared" si="182"/>
        <v>1</v>
      </c>
      <c r="BE128" s="361">
        <f t="shared" si="183"/>
        <v>1</v>
      </c>
      <c r="BF128" s="361">
        <f t="shared" si="184"/>
        <v>1</v>
      </c>
      <c r="BG128" s="361">
        <f t="shared" si="185"/>
        <v>1</v>
      </c>
      <c r="BH128" s="361">
        <f t="shared" si="186"/>
        <v>1</v>
      </c>
      <c r="BI128" s="361">
        <f t="shared" si="187"/>
        <v>1</v>
      </c>
      <c r="BJ128" s="361">
        <f t="shared" si="188"/>
        <v>1</v>
      </c>
      <c r="BK128" s="361">
        <f t="shared" si="189"/>
        <v>1</v>
      </c>
      <c r="BL128" s="361">
        <f t="shared" si="190"/>
        <v>1</v>
      </c>
      <c r="BM128" s="361">
        <f t="shared" si="191"/>
        <v>1</v>
      </c>
      <c r="BN128" s="361">
        <f t="shared" si="192"/>
        <v>1</v>
      </c>
      <c r="BO128" s="361">
        <f t="shared" si="193"/>
        <v>1</v>
      </c>
      <c r="BP128" s="361">
        <f t="shared" si="194"/>
        <v>1</v>
      </c>
      <c r="BQ128" s="361">
        <f t="shared" si="195"/>
        <v>1</v>
      </c>
      <c r="BR128" s="361">
        <f t="shared" si="196"/>
        <v>1</v>
      </c>
      <c r="BS128" s="361">
        <f t="shared" si="197"/>
        <v>1</v>
      </c>
      <c r="BT128" s="361">
        <f t="shared" si="198"/>
        <v>1</v>
      </c>
      <c r="BU128" s="361">
        <f t="shared" si="199"/>
        <v>1</v>
      </c>
      <c r="BV128" s="361">
        <f t="shared" si="200"/>
        <v>1</v>
      </c>
      <c r="BW128" s="361">
        <f t="shared" si="201"/>
        <v>1</v>
      </c>
      <c r="BX128" s="361">
        <f t="shared" si="202"/>
        <v>1</v>
      </c>
      <c r="BY128" s="361">
        <f t="shared" si="203"/>
        <v>1</v>
      </c>
      <c r="BZ128" s="361">
        <f t="shared" si="204"/>
        <v>1</v>
      </c>
      <c r="CA128" s="361">
        <f t="shared" si="205"/>
        <v>1</v>
      </c>
      <c r="CB128" s="361">
        <f t="shared" si="206"/>
        <v>1</v>
      </c>
      <c r="CC128" s="361">
        <f t="shared" si="207"/>
        <v>1</v>
      </c>
      <c r="CH128" s="341">
        <f t="shared" si="114"/>
        <v>1</v>
      </c>
      <c r="CI128" s="341">
        <f t="shared" si="114"/>
        <v>2</v>
      </c>
      <c r="CJ128" s="341">
        <f t="shared" si="114"/>
        <v>3</v>
      </c>
      <c r="CK128" s="341">
        <f t="shared" si="114"/>
        <v>4</v>
      </c>
      <c r="CL128" s="341">
        <f t="shared" si="114"/>
        <v>5</v>
      </c>
      <c r="CM128" s="341">
        <f t="shared" si="112"/>
        <v>6</v>
      </c>
      <c r="CN128" s="341">
        <f t="shared" si="112"/>
        <v>7</v>
      </c>
      <c r="CO128" s="341">
        <f t="shared" si="112"/>
        <v>8</v>
      </c>
      <c r="CP128" s="341">
        <f t="shared" si="112"/>
        <v>9</v>
      </c>
      <c r="CQ128" s="341">
        <f t="shared" si="112"/>
        <v>10</v>
      </c>
      <c r="CT128" s="353"/>
      <c r="CU128" s="353"/>
      <c r="CV128" s="353"/>
      <c r="CW128" s="353" t="b">
        <f t="shared" si="208"/>
        <v>1</v>
      </c>
      <c r="CX128" s="353" t="b">
        <f t="shared" si="209"/>
        <v>0</v>
      </c>
      <c r="CY128" s="353" t="b">
        <f t="shared" si="210"/>
        <v>1</v>
      </c>
      <c r="DC128" s="347">
        <f t="shared" si="211"/>
        <v>2</v>
      </c>
      <c r="DD128" s="353" t="b">
        <f t="shared" si="212"/>
        <v>1</v>
      </c>
      <c r="DE128" s="353" t="b">
        <f t="shared" si="213"/>
        <v>0</v>
      </c>
      <c r="DF128" s="353" t="b">
        <f t="shared" si="214"/>
        <v>1</v>
      </c>
      <c r="DG128" s="353"/>
      <c r="DH128" s="353"/>
      <c r="DI128" s="353"/>
      <c r="DJ128" s="353"/>
      <c r="DK128" s="353">
        <f t="shared" si="215"/>
        <v>2</v>
      </c>
      <c r="DM128" s="341">
        <f t="shared" si="216"/>
        <v>0</v>
      </c>
    </row>
    <row r="129" spans="2:117" x14ac:dyDescent="0.25">
      <c r="B129" s="373">
        <f t="shared" si="113"/>
        <v>99</v>
      </c>
      <c r="C129" s="373"/>
      <c r="D129" s="373"/>
      <c r="E129" s="373"/>
      <c r="F129" s="374" t="s">
        <v>530</v>
      </c>
      <c r="G129" s="375">
        <v>1</v>
      </c>
      <c r="H129" s="375">
        <v>1</v>
      </c>
      <c r="I129" s="375">
        <v>1</v>
      </c>
      <c r="J129" s="375">
        <v>1</v>
      </c>
      <c r="K129" s="375">
        <v>1</v>
      </c>
      <c r="L129" s="375">
        <v>1</v>
      </c>
      <c r="M129" s="375">
        <v>1</v>
      </c>
      <c r="N129" s="375">
        <v>1</v>
      </c>
      <c r="O129" s="375">
        <v>1</v>
      </c>
      <c r="P129" s="375">
        <v>1</v>
      </c>
      <c r="Q129" s="375">
        <v>1</v>
      </c>
      <c r="R129" s="375">
        <v>1</v>
      </c>
      <c r="S129" s="375">
        <v>0</v>
      </c>
      <c r="T129" s="376">
        <v>1</v>
      </c>
      <c r="U129" s="376">
        <v>1</v>
      </c>
      <c r="V129" s="376">
        <v>1</v>
      </c>
      <c r="W129" s="376">
        <v>1</v>
      </c>
      <c r="X129" s="376">
        <v>1</v>
      </c>
      <c r="Y129" s="376">
        <v>1</v>
      </c>
      <c r="Z129" s="376">
        <f t="shared" si="168"/>
        <v>1</v>
      </c>
      <c r="AA129" s="376">
        <v>1</v>
      </c>
      <c r="AB129" s="376" t="s">
        <v>418</v>
      </c>
      <c r="AC129" s="376">
        <v>1</v>
      </c>
      <c r="AD129" s="376">
        <v>1</v>
      </c>
      <c r="AE129" s="376">
        <v>1</v>
      </c>
      <c r="AF129" s="376">
        <f t="shared" si="169"/>
        <v>0</v>
      </c>
      <c r="AG129" s="376">
        <v>1</v>
      </c>
      <c r="AH129" s="376">
        <f t="shared" si="170"/>
        <v>1</v>
      </c>
      <c r="AI129" s="376"/>
      <c r="AJ129" s="376"/>
      <c r="AK129" s="373">
        <f t="shared" si="171"/>
        <v>1</v>
      </c>
      <c r="AL129" s="373"/>
      <c r="AM129" s="373"/>
      <c r="AN129" s="373"/>
      <c r="AO129" s="373"/>
      <c r="AP129" s="377">
        <f t="shared" si="217"/>
        <v>1</v>
      </c>
      <c r="AQ129" s="378"/>
      <c r="AR129" s="341">
        <f t="shared" si="172"/>
        <v>1</v>
      </c>
      <c r="AS129" s="341">
        <f t="shared" si="110"/>
        <v>0</v>
      </c>
      <c r="AT129" s="341">
        <f t="shared" si="110"/>
        <v>1</v>
      </c>
      <c r="AU129" s="361">
        <f t="shared" si="173"/>
        <v>1</v>
      </c>
      <c r="AV129" s="361">
        <f t="shared" si="174"/>
        <v>1</v>
      </c>
      <c r="AW129" s="361">
        <f t="shared" si="175"/>
        <v>1</v>
      </c>
      <c r="AX129" s="361">
        <f t="shared" si="176"/>
        <v>1</v>
      </c>
      <c r="AY129" s="361">
        <f t="shared" si="177"/>
        <v>1</v>
      </c>
      <c r="AZ129" s="361">
        <f t="shared" si="178"/>
        <v>1</v>
      </c>
      <c r="BA129" s="361">
        <f t="shared" si="179"/>
        <v>1</v>
      </c>
      <c r="BB129" s="361">
        <f t="shared" si="180"/>
        <v>1</v>
      </c>
      <c r="BC129" s="361">
        <f t="shared" si="181"/>
        <v>1</v>
      </c>
      <c r="BD129" s="361">
        <f t="shared" si="182"/>
        <v>1</v>
      </c>
      <c r="BE129" s="361">
        <f t="shared" si="183"/>
        <v>1</v>
      </c>
      <c r="BF129" s="361">
        <f t="shared" si="184"/>
        <v>1</v>
      </c>
      <c r="BG129" s="361">
        <f t="shared" si="185"/>
        <v>1</v>
      </c>
      <c r="BH129" s="361">
        <f t="shared" si="186"/>
        <v>1</v>
      </c>
      <c r="BI129" s="361">
        <f t="shared" si="187"/>
        <v>1</v>
      </c>
      <c r="BJ129" s="361">
        <f t="shared" si="188"/>
        <v>1</v>
      </c>
      <c r="BK129" s="361">
        <f t="shared" si="189"/>
        <v>1</v>
      </c>
      <c r="BL129" s="361">
        <f t="shared" si="190"/>
        <v>1</v>
      </c>
      <c r="BM129" s="361">
        <f t="shared" si="191"/>
        <v>1</v>
      </c>
      <c r="BN129" s="361">
        <f t="shared" si="192"/>
        <v>1</v>
      </c>
      <c r="BO129" s="361">
        <f t="shared" si="193"/>
        <v>1</v>
      </c>
      <c r="BP129" s="361">
        <f t="shared" si="194"/>
        <v>1</v>
      </c>
      <c r="BQ129" s="361">
        <f t="shared" si="195"/>
        <v>1</v>
      </c>
      <c r="BR129" s="361">
        <f t="shared" si="196"/>
        <v>1</v>
      </c>
      <c r="BS129" s="361">
        <f t="shared" si="197"/>
        <v>1</v>
      </c>
      <c r="BT129" s="361">
        <f t="shared" si="198"/>
        <v>1</v>
      </c>
      <c r="BU129" s="361">
        <f t="shared" si="199"/>
        <v>1</v>
      </c>
      <c r="BV129" s="361">
        <f t="shared" si="200"/>
        <v>1</v>
      </c>
      <c r="BW129" s="361">
        <f t="shared" si="201"/>
        <v>1</v>
      </c>
      <c r="BX129" s="361">
        <f t="shared" si="202"/>
        <v>1</v>
      </c>
      <c r="BY129" s="361">
        <f t="shared" si="203"/>
        <v>1</v>
      </c>
      <c r="BZ129" s="361">
        <f t="shared" si="204"/>
        <v>1</v>
      </c>
      <c r="CA129" s="361">
        <f t="shared" si="205"/>
        <v>1</v>
      </c>
      <c r="CB129" s="361">
        <f t="shared" si="206"/>
        <v>1</v>
      </c>
      <c r="CC129" s="361">
        <f t="shared" si="207"/>
        <v>1</v>
      </c>
      <c r="CH129" s="341">
        <f t="shared" si="114"/>
        <v>1</v>
      </c>
      <c r="CI129" s="341">
        <f t="shared" si="114"/>
        <v>2</v>
      </c>
      <c r="CJ129" s="341">
        <f t="shared" si="114"/>
        <v>3</v>
      </c>
      <c r="CK129" s="341">
        <f t="shared" si="114"/>
        <v>4</v>
      </c>
      <c r="CL129" s="341">
        <f t="shared" si="114"/>
        <v>5</v>
      </c>
      <c r="CM129" s="341">
        <f t="shared" si="112"/>
        <v>6</v>
      </c>
      <c r="CN129" s="341">
        <f t="shared" si="112"/>
        <v>7</v>
      </c>
      <c r="CO129" s="341">
        <f t="shared" si="112"/>
        <v>8</v>
      </c>
      <c r="CP129" s="341">
        <f t="shared" si="112"/>
        <v>9</v>
      </c>
      <c r="CQ129" s="341">
        <f t="shared" si="112"/>
        <v>10</v>
      </c>
      <c r="CT129" s="353"/>
      <c r="CU129" s="353"/>
      <c r="CV129" s="353"/>
      <c r="CW129" s="353" t="b">
        <f t="shared" si="208"/>
        <v>1</v>
      </c>
      <c r="CX129" s="353" t="b">
        <f t="shared" si="209"/>
        <v>0</v>
      </c>
      <c r="CY129" s="353" t="b">
        <f t="shared" si="210"/>
        <v>1</v>
      </c>
      <c r="DC129" s="347">
        <f t="shared" si="211"/>
        <v>2</v>
      </c>
      <c r="DD129" s="353" t="b">
        <f t="shared" si="212"/>
        <v>1</v>
      </c>
      <c r="DE129" s="353" t="b">
        <f t="shared" si="213"/>
        <v>0</v>
      </c>
      <c r="DF129" s="353" t="b">
        <f t="shared" si="214"/>
        <v>1</v>
      </c>
      <c r="DG129" s="353"/>
      <c r="DH129" s="353"/>
      <c r="DI129" s="353"/>
      <c r="DJ129" s="353"/>
      <c r="DK129" s="353">
        <f t="shared" si="215"/>
        <v>2</v>
      </c>
      <c r="DM129" s="341">
        <f t="shared" si="216"/>
        <v>0</v>
      </c>
    </row>
    <row r="130" spans="2:117" x14ac:dyDescent="0.25">
      <c r="B130" s="373">
        <f t="shared" si="113"/>
        <v>100</v>
      </c>
      <c r="C130" s="373"/>
      <c r="D130" s="373"/>
      <c r="E130" s="373"/>
      <c r="F130" s="374" t="s">
        <v>533</v>
      </c>
      <c r="G130" s="375">
        <v>1</v>
      </c>
      <c r="H130" s="375">
        <v>1</v>
      </c>
      <c r="I130" s="375">
        <v>1</v>
      </c>
      <c r="J130" s="375">
        <v>1</v>
      </c>
      <c r="K130" s="375">
        <v>1</v>
      </c>
      <c r="L130" s="375">
        <v>1</v>
      </c>
      <c r="M130" s="375">
        <v>1</v>
      </c>
      <c r="N130" s="375">
        <v>1</v>
      </c>
      <c r="O130" s="375">
        <v>1</v>
      </c>
      <c r="P130" s="375">
        <v>1</v>
      </c>
      <c r="Q130" s="375">
        <v>1</v>
      </c>
      <c r="R130" s="375">
        <v>1</v>
      </c>
      <c r="S130" s="375">
        <v>1</v>
      </c>
      <c r="T130" s="376">
        <v>0</v>
      </c>
      <c r="U130" s="376">
        <v>1</v>
      </c>
      <c r="V130" s="376">
        <v>1</v>
      </c>
      <c r="W130" s="376">
        <v>1</v>
      </c>
      <c r="X130" s="376">
        <v>1</v>
      </c>
      <c r="Y130" s="376">
        <v>1</v>
      </c>
      <c r="Z130" s="376">
        <f t="shared" si="168"/>
        <v>1</v>
      </c>
      <c r="AA130" s="376">
        <v>1</v>
      </c>
      <c r="AB130" s="376" t="s">
        <v>418</v>
      </c>
      <c r="AC130" s="376">
        <v>1</v>
      </c>
      <c r="AD130" s="376">
        <v>1</v>
      </c>
      <c r="AE130" s="376">
        <v>1</v>
      </c>
      <c r="AF130" s="376">
        <f t="shared" si="169"/>
        <v>0</v>
      </c>
      <c r="AG130" s="376">
        <v>1</v>
      </c>
      <c r="AH130" s="376">
        <f t="shared" si="170"/>
        <v>1</v>
      </c>
      <c r="AI130" s="376"/>
      <c r="AJ130" s="376"/>
      <c r="AK130" s="373">
        <f t="shared" si="171"/>
        <v>1</v>
      </c>
      <c r="AL130" s="373"/>
      <c r="AM130" s="373"/>
      <c r="AN130" s="373"/>
      <c r="AO130" s="373"/>
      <c r="AP130" s="377">
        <f t="shared" si="217"/>
        <v>1</v>
      </c>
      <c r="AQ130" s="378"/>
      <c r="AR130" s="341">
        <f t="shared" si="172"/>
        <v>1</v>
      </c>
      <c r="AS130" s="341">
        <f t="shared" si="110"/>
        <v>0</v>
      </c>
      <c r="AT130" s="341">
        <f t="shared" si="110"/>
        <v>1</v>
      </c>
      <c r="AU130" s="361">
        <f t="shared" si="173"/>
        <v>1</v>
      </c>
      <c r="AV130" s="361">
        <f t="shared" si="174"/>
        <v>1</v>
      </c>
      <c r="AW130" s="361">
        <f t="shared" si="175"/>
        <v>1</v>
      </c>
      <c r="AX130" s="361">
        <f t="shared" si="176"/>
        <v>1</v>
      </c>
      <c r="AY130" s="361">
        <f t="shared" si="177"/>
        <v>1</v>
      </c>
      <c r="AZ130" s="361">
        <f t="shared" si="178"/>
        <v>1</v>
      </c>
      <c r="BA130" s="361">
        <f t="shared" si="179"/>
        <v>1</v>
      </c>
      <c r="BB130" s="361">
        <f t="shared" si="180"/>
        <v>1</v>
      </c>
      <c r="BC130" s="361">
        <f t="shared" si="181"/>
        <v>1</v>
      </c>
      <c r="BD130" s="361">
        <f t="shared" si="182"/>
        <v>1</v>
      </c>
      <c r="BE130" s="361">
        <f t="shared" si="183"/>
        <v>1</v>
      </c>
      <c r="BF130" s="361">
        <f t="shared" si="184"/>
        <v>1</v>
      </c>
      <c r="BG130" s="361">
        <f t="shared" si="185"/>
        <v>1</v>
      </c>
      <c r="BH130" s="361">
        <f t="shared" si="186"/>
        <v>1</v>
      </c>
      <c r="BI130" s="361">
        <f t="shared" si="187"/>
        <v>1</v>
      </c>
      <c r="BJ130" s="361">
        <f t="shared" si="188"/>
        <v>1</v>
      </c>
      <c r="BK130" s="361">
        <f t="shared" si="189"/>
        <v>1</v>
      </c>
      <c r="BL130" s="361">
        <f t="shared" si="190"/>
        <v>1</v>
      </c>
      <c r="BM130" s="361">
        <f t="shared" si="191"/>
        <v>1</v>
      </c>
      <c r="BN130" s="361">
        <f t="shared" si="192"/>
        <v>1</v>
      </c>
      <c r="BO130" s="361">
        <f t="shared" si="193"/>
        <v>1</v>
      </c>
      <c r="BP130" s="361">
        <f t="shared" si="194"/>
        <v>1</v>
      </c>
      <c r="BQ130" s="361">
        <f t="shared" si="195"/>
        <v>1</v>
      </c>
      <c r="BR130" s="361">
        <f t="shared" si="196"/>
        <v>1</v>
      </c>
      <c r="BS130" s="361">
        <f t="shared" si="197"/>
        <v>1</v>
      </c>
      <c r="BT130" s="361">
        <f t="shared" si="198"/>
        <v>1</v>
      </c>
      <c r="BU130" s="361">
        <f t="shared" si="199"/>
        <v>1</v>
      </c>
      <c r="BV130" s="361">
        <f t="shared" si="200"/>
        <v>1</v>
      </c>
      <c r="BW130" s="361">
        <f t="shared" si="201"/>
        <v>1</v>
      </c>
      <c r="BX130" s="361">
        <f t="shared" si="202"/>
        <v>1</v>
      </c>
      <c r="BY130" s="361">
        <f t="shared" si="203"/>
        <v>1</v>
      </c>
      <c r="BZ130" s="361">
        <f t="shared" si="204"/>
        <v>1</v>
      </c>
      <c r="CA130" s="361">
        <f t="shared" si="205"/>
        <v>1</v>
      </c>
      <c r="CB130" s="361">
        <f t="shared" si="206"/>
        <v>1</v>
      </c>
      <c r="CC130" s="361">
        <f t="shared" si="207"/>
        <v>1</v>
      </c>
      <c r="CH130" s="341">
        <f t="shared" si="114"/>
        <v>1</v>
      </c>
      <c r="CI130" s="341">
        <f t="shared" si="114"/>
        <v>2</v>
      </c>
      <c r="CJ130" s="341">
        <f t="shared" si="114"/>
        <v>3</v>
      </c>
      <c r="CK130" s="341">
        <f t="shared" si="114"/>
        <v>4</v>
      </c>
      <c r="CL130" s="341">
        <f t="shared" si="114"/>
        <v>5</v>
      </c>
      <c r="CM130" s="341">
        <f t="shared" si="112"/>
        <v>6</v>
      </c>
      <c r="CN130" s="341">
        <f t="shared" si="112"/>
        <v>7</v>
      </c>
      <c r="CO130" s="341">
        <f t="shared" si="112"/>
        <v>8</v>
      </c>
      <c r="CP130" s="341">
        <f t="shared" si="112"/>
        <v>9</v>
      </c>
      <c r="CQ130" s="341">
        <f t="shared" si="112"/>
        <v>10</v>
      </c>
      <c r="CT130" s="353"/>
      <c r="CU130" s="353"/>
      <c r="CV130" s="353"/>
      <c r="CW130" s="353" t="b">
        <f t="shared" si="208"/>
        <v>1</v>
      </c>
      <c r="CX130" s="353" t="b">
        <f t="shared" si="209"/>
        <v>0</v>
      </c>
      <c r="CY130" s="353" t="b">
        <f t="shared" si="210"/>
        <v>1</v>
      </c>
      <c r="DC130" s="347">
        <f t="shared" si="211"/>
        <v>2</v>
      </c>
      <c r="DD130" s="353" t="b">
        <f t="shared" si="212"/>
        <v>1</v>
      </c>
      <c r="DE130" s="353" t="b">
        <f t="shared" si="213"/>
        <v>0</v>
      </c>
      <c r="DF130" s="353" t="b">
        <f t="shared" si="214"/>
        <v>1</v>
      </c>
      <c r="DG130" s="353"/>
      <c r="DH130" s="353"/>
      <c r="DI130" s="353"/>
      <c r="DJ130" s="353"/>
      <c r="DK130" s="353">
        <f t="shared" si="215"/>
        <v>2</v>
      </c>
      <c r="DM130" s="341">
        <f t="shared" si="216"/>
        <v>0</v>
      </c>
    </row>
    <row r="131" spans="2:117" x14ac:dyDescent="0.25">
      <c r="B131" s="373">
        <f t="shared" ref="B131:B142" si="218">IF(F131="","",ROW()-30)</f>
        <v>101</v>
      </c>
      <c r="C131" s="373"/>
      <c r="D131" s="373"/>
      <c r="E131" s="373"/>
      <c r="F131" s="374" t="s">
        <v>1039</v>
      </c>
      <c r="G131" s="375">
        <v>1</v>
      </c>
      <c r="H131" s="375">
        <v>1</v>
      </c>
      <c r="I131" s="375">
        <v>1</v>
      </c>
      <c r="J131" s="375">
        <v>1</v>
      </c>
      <c r="K131" s="375">
        <v>1</v>
      </c>
      <c r="L131" s="375">
        <v>1</v>
      </c>
      <c r="M131" s="375">
        <v>1</v>
      </c>
      <c r="N131" s="375">
        <v>1</v>
      </c>
      <c r="O131" s="375">
        <v>1</v>
      </c>
      <c r="P131" s="375">
        <v>1</v>
      </c>
      <c r="Q131" s="375">
        <v>1</v>
      </c>
      <c r="R131" s="375">
        <v>1</v>
      </c>
      <c r="S131" s="375">
        <v>0</v>
      </c>
      <c r="T131" s="376">
        <v>1</v>
      </c>
      <c r="U131" s="376">
        <v>1</v>
      </c>
      <c r="V131" s="376">
        <v>1</v>
      </c>
      <c r="W131" s="376">
        <v>1</v>
      </c>
      <c r="X131" s="376">
        <v>1</v>
      </c>
      <c r="Y131" s="376">
        <v>1</v>
      </c>
      <c r="Z131" s="376">
        <f t="shared" si="168"/>
        <v>1</v>
      </c>
      <c r="AA131" s="376">
        <v>0</v>
      </c>
      <c r="AB131" s="376" t="s">
        <v>418</v>
      </c>
      <c r="AC131" s="376">
        <v>1</v>
      </c>
      <c r="AD131" s="376">
        <v>1</v>
      </c>
      <c r="AE131" s="376">
        <v>1</v>
      </c>
      <c r="AF131" s="376">
        <v>0</v>
      </c>
      <c r="AG131" s="376">
        <v>1</v>
      </c>
      <c r="AH131" s="376">
        <f t="shared" si="170"/>
        <v>1</v>
      </c>
      <c r="AI131" s="376"/>
      <c r="AJ131" s="376"/>
      <c r="AK131" s="373">
        <f t="shared" si="171"/>
        <v>1</v>
      </c>
      <c r="AL131" s="373"/>
      <c r="AM131" s="373"/>
      <c r="AN131" s="373"/>
      <c r="AO131" s="373"/>
      <c r="AP131" s="377">
        <f t="shared" si="217"/>
        <v>1</v>
      </c>
      <c r="AQ131" s="378"/>
      <c r="AR131" s="341">
        <f t="shared" si="172"/>
        <v>1</v>
      </c>
      <c r="AS131" s="341">
        <f t="shared" si="110"/>
        <v>0</v>
      </c>
      <c r="AT131" s="341">
        <f t="shared" si="110"/>
        <v>1</v>
      </c>
      <c r="AU131" s="361">
        <f t="shared" si="173"/>
        <v>1</v>
      </c>
      <c r="AV131" s="361">
        <f t="shared" si="174"/>
        <v>1</v>
      </c>
      <c r="AW131" s="361">
        <f t="shared" si="175"/>
        <v>1</v>
      </c>
      <c r="AX131" s="361">
        <f t="shared" si="176"/>
        <v>1</v>
      </c>
      <c r="AY131" s="361">
        <f t="shared" si="177"/>
        <v>1</v>
      </c>
      <c r="AZ131" s="361">
        <f t="shared" si="178"/>
        <v>1</v>
      </c>
      <c r="BA131" s="361">
        <f t="shared" si="179"/>
        <v>1</v>
      </c>
      <c r="BB131" s="361">
        <f t="shared" si="180"/>
        <v>1</v>
      </c>
      <c r="BC131" s="361">
        <f t="shared" si="181"/>
        <v>1</v>
      </c>
      <c r="BD131" s="361">
        <f t="shared" si="182"/>
        <v>1</v>
      </c>
      <c r="BE131" s="361">
        <f t="shared" si="183"/>
        <v>1</v>
      </c>
      <c r="BF131" s="361">
        <f t="shared" si="184"/>
        <v>1</v>
      </c>
      <c r="BG131" s="361">
        <f t="shared" si="185"/>
        <v>1</v>
      </c>
      <c r="BH131" s="361">
        <f t="shared" si="186"/>
        <v>1</v>
      </c>
      <c r="BI131" s="361">
        <f t="shared" si="187"/>
        <v>1</v>
      </c>
      <c r="BJ131" s="361">
        <f t="shared" si="188"/>
        <v>1</v>
      </c>
      <c r="BK131" s="361">
        <f t="shared" si="189"/>
        <v>1</v>
      </c>
      <c r="BL131" s="361">
        <f t="shared" si="190"/>
        <v>1</v>
      </c>
      <c r="BM131" s="361">
        <f t="shared" si="191"/>
        <v>1</v>
      </c>
      <c r="BN131" s="361">
        <f t="shared" si="192"/>
        <v>1</v>
      </c>
      <c r="BO131" s="361">
        <f t="shared" si="193"/>
        <v>1</v>
      </c>
      <c r="BP131" s="361">
        <f t="shared" si="194"/>
        <v>1</v>
      </c>
      <c r="BQ131" s="361">
        <f t="shared" si="195"/>
        <v>1</v>
      </c>
      <c r="BR131" s="361">
        <f t="shared" si="196"/>
        <v>1</v>
      </c>
      <c r="BS131" s="361">
        <f t="shared" si="197"/>
        <v>1</v>
      </c>
      <c r="BT131" s="361">
        <f t="shared" si="198"/>
        <v>1</v>
      </c>
      <c r="BU131" s="361">
        <f t="shared" si="199"/>
        <v>1</v>
      </c>
      <c r="BV131" s="361">
        <f t="shared" si="200"/>
        <v>1</v>
      </c>
      <c r="BW131" s="361">
        <f t="shared" si="201"/>
        <v>1</v>
      </c>
      <c r="BX131" s="361">
        <f t="shared" si="202"/>
        <v>1</v>
      </c>
      <c r="BY131" s="361">
        <f t="shared" si="203"/>
        <v>1</v>
      </c>
      <c r="BZ131" s="361">
        <f t="shared" si="204"/>
        <v>1</v>
      </c>
      <c r="CA131" s="361">
        <f t="shared" si="205"/>
        <v>1</v>
      </c>
      <c r="CB131" s="361">
        <f t="shared" si="206"/>
        <v>1</v>
      </c>
      <c r="CC131" s="361">
        <f t="shared" si="207"/>
        <v>1</v>
      </c>
      <c r="CH131" s="341">
        <f t="shared" si="114"/>
        <v>1</v>
      </c>
      <c r="CI131" s="341">
        <f t="shared" si="114"/>
        <v>2</v>
      </c>
      <c r="CJ131" s="341">
        <f t="shared" si="114"/>
        <v>3</v>
      </c>
      <c r="CK131" s="341">
        <f t="shared" si="114"/>
        <v>4</v>
      </c>
      <c r="CL131" s="341">
        <f t="shared" si="114"/>
        <v>5</v>
      </c>
      <c r="CM131" s="341">
        <f t="shared" si="112"/>
        <v>6</v>
      </c>
      <c r="CN131" s="341">
        <f t="shared" si="112"/>
        <v>7</v>
      </c>
      <c r="CO131" s="341">
        <f t="shared" si="112"/>
        <v>8</v>
      </c>
      <c r="CP131" s="341">
        <f t="shared" si="112"/>
        <v>9</v>
      </c>
      <c r="CQ131" s="341">
        <f t="shared" si="112"/>
        <v>10</v>
      </c>
      <c r="CT131" s="353"/>
      <c r="CU131" s="353"/>
      <c r="CV131" s="353"/>
      <c r="CW131" s="353" t="b">
        <f t="shared" si="208"/>
        <v>1</v>
      </c>
      <c r="CX131" s="353" t="b">
        <f t="shared" si="209"/>
        <v>0</v>
      </c>
      <c r="CY131" s="353" t="b">
        <f t="shared" si="210"/>
        <v>1</v>
      </c>
      <c r="DC131" s="347">
        <f t="shared" si="211"/>
        <v>2</v>
      </c>
      <c r="DD131" s="353" t="b">
        <f t="shared" si="212"/>
        <v>1</v>
      </c>
      <c r="DE131" s="353" t="b">
        <f t="shared" si="213"/>
        <v>0</v>
      </c>
      <c r="DF131" s="353" t="b">
        <f t="shared" si="214"/>
        <v>1</v>
      </c>
      <c r="DG131" s="353"/>
      <c r="DH131" s="353"/>
      <c r="DI131" s="353"/>
      <c r="DJ131" s="353"/>
      <c r="DK131" s="353">
        <f t="shared" si="215"/>
        <v>2</v>
      </c>
      <c r="DM131" s="341">
        <f t="shared" si="216"/>
        <v>0</v>
      </c>
    </row>
    <row r="132" spans="2:117" x14ac:dyDescent="0.25">
      <c r="B132" s="373">
        <f t="shared" si="218"/>
        <v>102</v>
      </c>
      <c r="C132" s="373"/>
      <c r="D132" s="373"/>
      <c r="E132" s="373"/>
      <c r="F132" s="374" t="s">
        <v>557</v>
      </c>
      <c r="G132" s="375">
        <v>1</v>
      </c>
      <c r="H132" s="375">
        <v>1</v>
      </c>
      <c r="I132" s="375">
        <v>1</v>
      </c>
      <c r="J132" s="375">
        <v>1</v>
      </c>
      <c r="K132" s="375">
        <v>1</v>
      </c>
      <c r="L132" s="375">
        <v>1</v>
      </c>
      <c r="M132" s="375">
        <v>1</v>
      </c>
      <c r="N132" s="375">
        <v>1</v>
      </c>
      <c r="O132" s="375">
        <v>1</v>
      </c>
      <c r="P132" s="375">
        <v>1</v>
      </c>
      <c r="Q132" s="375">
        <v>1</v>
      </c>
      <c r="R132" s="375">
        <v>1</v>
      </c>
      <c r="S132" s="375">
        <v>0</v>
      </c>
      <c r="T132" s="375">
        <v>1</v>
      </c>
      <c r="U132" s="375">
        <v>1</v>
      </c>
      <c r="V132" s="375">
        <v>1</v>
      </c>
      <c r="W132" s="375">
        <v>1</v>
      </c>
      <c r="X132" s="375">
        <v>1</v>
      </c>
      <c r="Y132" s="375">
        <v>1</v>
      </c>
      <c r="Z132" s="376">
        <f>IF(F132="","",IF(AND(S132=1,T132=1),$AS$1,IF(OR(S132=1,AND(T132=1,U132=1,V132=1,W132=1,X132=1,Y132=1)),1,0)))</f>
        <v>1</v>
      </c>
      <c r="AA132" s="376">
        <v>0</v>
      </c>
      <c r="AB132" s="376" t="s">
        <v>418</v>
      </c>
      <c r="AC132" s="376">
        <v>1</v>
      </c>
      <c r="AD132" s="376">
        <v>1</v>
      </c>
      <c r="AE132" s="376">
        <v>1</v>
      </c>
      <c r="AF132" s="376">
        <f t="shared" si="169"/>
        <v>0</v>
      </c>
      <c r="AG132" s="376">
        <v>1</v>
      </c>
      <c r="AH132" s="376">
        <f t="shared" si="170"/>
        <v>1</v>
      </c>
      <c r="AI132" s="376"/>
      <c r="AJ132" s="376"/>
      <c r="AK132" s="373">
        <f t="shared" si="171"/>
        <v>1</v>
      </c>
      <c r="AL132" s="373"/>
      <c r="AM132" s="373"/>
      <c r="AN132" s="373"/>
      <c r="AO132" s="373"/>
      <c r="AP132" s="377">
        <f t="shared" si="217"/>
        <v>1</v>
      </c>
      <c r="AQ132" s="378"/>
      <c r="AR132" s="341">
        <f t="shared" si="172"/>
        <v>1</v>
      </c>
      <c r="AS132" s="341">
        <f t="shared" si="110"/>
        <v>0</v>
      </c>
      <c r="AT132" s="341">
        <f t="shared" si="110"/>
        <v>1</v>
      </c>
      <c r="AU132" s="361">
        <f t="shared" si="173"/>
        <v>1</v>
      </c>
      <c r="AV132" s="361">
        <f t="shared" si="174"/>
        <v>1</v>
      </c>
      <c r="AW132" s="361">
        <f t="shared" si="175"/>
        <v>1</v>
      </c>
      <c r="AX132" s="361">
        <f t="shared" si="176"/>
        <v>1</v>
      </c>
      <c r="AY132" s="361">
        <f t="shared" si="177"/>
        <v>1</v>
      </c>
      <c r="AZ132" s="361">
        <f t="shared" si="178"/>
        <v>1</v>
      </c>
      <c r="BA132" s="361">
        <f t="shared" si="179"/>
        <v>1</v>
      </c>
      <c r="BB132" s="361">
        <f t="shared" si="180"/>
        <v>1</v>
      </c>
      <c r="BC132" s="361">
        <f t="shared" si="181"/>
        <v>1</v>
      </c>
      <c r="BD132" s="361">
        <f t="shared" si="182"/>
        <v>1</v>
      </c>
      <c r="BE132" s="361">
        <f t="shared" si="183"/>
        <v>1</v>
      </c>
      <c r="BF132" s="361">
        <f t="shared" si="184"/>
        <v>1</v>
      </c>
      <c r="BG132" s="361">
        <f t="shared" si="185"/>
        <v>1</v>
      </c>
      <c r="BH132" s="361">
        <f t="shared" si="186"/>
        <v>1</v>
      </c>
      <c r="BI132" s="361">
        <f t="shared" si="187"/>
        <v>1</v>
      </c>
      <c r="BJ132" s="361">
        <f t="shared" si="188"/>
        <v>1</v>
      </c>
      <c r="BK132" s="361">
        <f t="shared" si="189"/>
        <v>1</v>
      </c>
      <c r="BL132" s="361">
        <f t="shared" si="190"/>
        <v>1</v>
      </c>
      <c r="BM132" s="361">
        <f t="shared" si="191"/>
        <v>1</v>
      </c>
      <c r="BN132" s="361">
        <f t="shared" si="192"/>
        <v>1</v>
      </c>
      <c r="BO132" s="361">
        <f t="shared" si="193"/>
        <v>1</v>
      </c>
      <c r="BP132" s="361">
        <f t="shared" si="194"/>
        <v>1</v>
      </c>
      <c r="BQ132" s="361">
        <f t="shared" si="195"/>
        <v>1</v>
      </c>
      <c r="BR132" s="361">
        <f t="shared" si="196"/>
        <v>1</v>
      </c>
      <c r="BS132" s="361">
        <f t="shared" si="197"/>
        <v>1</v>
      </c>
      <c r="BT132" s="361">
        <f t="shared" si="198"/>
        <v>1</v>
      </c>
      <c r="BU132" s="361">
        <f t="shared" si="199"/>
        <v>1</v>
      </c>
      <c r="BV132" s="361">
        <f t="shared" si="200"/>
        <v>1</v>
      </c>
      <c r="BW132" s="361">
        <f t="shared" si="201"/>
        <v>1</v>
      </c>
      <c r="BX132" s="361">
        <f t="shared" si="202"/>
        <v>1</v>
      </c>
      <c r="BY132" s="361">
        <f t="shared" si="203"/>
        <v>1</v>
      </c>
      <c r="BZ132" s="361">
        <f t="shared" si="204"/>
        <v>1</v>
      </c>
      <c r="CA132" s="361">
        <f t="shared" si="205"/>
        <v>1</v>
      </c>
      <c r="CB132" s="361">
        <f t="shared" si="206"/>
        <v>1</v>
      </c>
      <c r="CC132" s="361">
        <f t="shared" si="207"/>
        <v>1</v>
      </c>
      <c r="CH132" s="341">
        <f t="shared" si="114"/>
        <v>1</v>
      </c>
      <c r="CI132" s="341">
        <f t="shared" si="114"/>
        <v>2</v>
      </c>
      <c r="CJ132" s="341">
        <f t="shared" si="114"/>
        <v>3</v>
      </c>
      <c r="CK132" s="341">
        <f t="shared" si="114"/>
        <v>4</v>
      </c>
      <c r="CL132" s="341">
        <f t="shared" si="114"/>
        <v>5</v>
      </c>
      <c r="CM132" s="341">
        <f t="shared" si="112"/>
        <v>6</v>
      </c>
      <c r="CN132" s="341">
        <f t="shared" si="112"/>
        <v>7</v>
      </c>
      <c r="CO132" s="341">
        <f t="shared" si="112"/>
        <v>8</v>
      </c>
      <c r="CP132" s="341">
        <f t="shared" si="112"/>
        <v>9</v>
      </c>
      <c r="CQ132" s="341">
        <f t="shared" si="112"/>
        <v>10</v>
      </c>
      <c r="CT132" s="353"/>
      <c r="CU132" s="353"/>
      <c r="CV132" s="353"/>
      <c r="CW132" s="353" t="b">
        <f t="shared" si="208"/>
        <v>1</v>
      </c>
      <c r="CX132" s="353" t="b">
        <f t="shared" si="209"/>
        <v>0</v>
      </c>
      <c r="CY132" s="353" t="b">
        <f t="shared" si="210"/>
        <v>1</v>
      </c>
      <c r="DC132" s="347">
        <f t="shared" si="211"/>
        <v>2</v>
      </c>
      <c r="DD132" s="353" t="b">
        <f t="shared" si="212"/>
        <v>1</v>
      </c>
      <c r="DE132" s="353" t="b">
        <f t="shared" si="213"/>
        <v>0</v>
      </c>
      <c r="DF132" s="353" t="b">
        <f t="shared" si="214"/>
        <v>1</v>
      </c>
      <c r="DG132" s="353"/>
      <c r="DH132" s="353"/>
      <c r="DI132" s="353"/>
      <c r="DJ132" s="353"/>
      <c r="DK132" s="353">
        <f t="shared" si="215"/>
        <v>2</v>
      </c>
      <c r="DM132" s="341">
        <f t="shared" si="216"/>
        <v>0</v>
      </c>
    </row>
    <row r="133" spans="2:117" x14ac:dyDescent="0.25">
      <c r="B133" s="373">
        <f t="shared" si="218"/>
        <v>103</v>
      </c>
      <c r="C133" s="373"/>
      <c r="D133" s="373"/>
      <c r="E133" s="373"/>
      <c r="F133" s="374" t="s">
        <v>1040</v>
      </c>
      <c r="G133" s="375">
        <v>1</v>
      </c>
      <c r="H133" s="375">
        <v>1</v>
      </c>
      <c r="I133" s="375">
        <v>1</v>
      </c>
      <c r="J133" s="375">
        <v>1</v>
      </c>
      <c r="K133" s="375">
        <v>1</v>
      </c>
      <c r="L133" s="375">
        <v>1</v>
      </c>
      <c r="M133" s="375">
        <v>1</v>
      </c>
      <c r="N133" s="375">
        <v>1</v>
      </c>
      <c r="O133" s="375">
        <v>1</v>
      </c>
      <c r="P133" s="375">
        <v>1</v>
      </c>
      <c r="Q133" s="375">
        <v>1</v>
      </c>
      <c r="R133" s="375">
        <v>1</v>
      </c>
      <c r="S133" s="375">
        <v>0</v>
      </c>
      <c r="T133" s="375">
        <v>1</v>
      </c>
      <c r="U133" s="375">
        <v>1</v>
      </c>
      <c r="V133" s="375">
        <v>1</v>
      </c>
      <c r="W133" s="375">
        <v>1</v>
      </c>
      <c r="X133" s="375">
        <v>1</v>
      </c>
      <c r="Y133" s="375">
        <v>1</v>
      </c>
      <c r="Z133" s="376">
        <f>IF(F133="","",IF(AND(S133=1,T133=1),$AS$1,IF(OR(S133=1,AND(T133=1,U133=1,V133=1,W133=1,X133=1,Y133=1)),1,0)))</f>
        <v>1</v>
      </c>
      <c r="AA133" s="376">
        <v>0</v>
      </c>
      <c r="AB133" s="376" t="s">
        <v>418</v>
      </c>
      <c r="AC133" s="376">
        <v>1</v>
      </c>
      <c r="AD133" s="376">
        <v>1</v>
      </c>
      <c r="AE133" s="376">
        <v>1</v>
      </c>
      <c r="AF133" s="376">
        <v>0</v>
      </c>
      <c r="AG133" s="376">
        <v>1</v>
      </c>
      <c r="AH133" s="376">
        <f t="shared" si="170"/>
        <v>1</v>
      </c>
      <c r="AI133" s="376"/>
      <c r="AJ133" s="376"/>
      <c r="AK133" s="373">
        <f t="shared" si="171"/>
        <v>1</v>
      </c>
      <c r="AL133" s="373"/>
      <c r="AM133" s="373"/>
      <c r="AN133" s="373"/>
      <c r="AO133" s="373"/>
      <c r="AP133" s="377">
        <f t="shared" si="217"/>
        <v>1</v>
      </c>
      <c r="AQ133" s="378"/>
      <c r="AR133" s="341">
        <f t="shared" si="172"/>
        <v>1</v>
      </c>
      <c r="AS133" s="341">
        <f t="shared" ref="AS133:AT142" si="219">IF($F133="","",AS$30)</f>
        <v>0</v>
      </c>
      <c r="AT133" s="341">
        <f t="shared" si="219"/>
        <v>1</v>
      </c>
      <c r="AU133" s="361">
        <f t="shared" si="173"/>
        <v>1</v>
      </c>
      <c r="AV133" s="361">
        <f t="shared" si="174"/>
        <v>1</v>
      </c>
      <c r="AW133" s="361">
        <f t="shared" si="175"/>
        <v>1</v>
      </c>
      <c r="AX133" s="361">
        <f t="shared" si="176"/>
        <v>1</v>
      </c>
      <c r="AY133" s="361">
        <f t="shared" si="177"/>
        <v>1</v>
      </c>
      <c r="AZ133" s="361">
        <f t="shared" si="178"/>
        <v>1</v>
      </c>
      <c r="BA133" s="361">
        <f t="shared" si="179"/>
        <v>1</v>
      </c>
      <c r="BB133" s="361">
        <f t="shared" si="180"/>
        <v>1</v>
      </c>
      <c r="BC133" s="361">
        <f t="shared" si="181"/>
        <v>1</v>
      </c>
      <c r="BD133" s="361">
        <f t="shared" si="182"/>
        <v>1</v>
      </c>
      <c r="BE133" s="361">
        <f t="shared" si="183"/>
        <v>1</v>
      </c>
      <c r="BF133" s="361">
        <f t="shared" si="184"/>
        <v>1</v>
      </c>
      <c r="BG133" s="361">
        <f t="shared" si="185"/>
        <v>1</v>
      </c>
      <c r="BH133" s="361">
        <f t="shared" si="186"/>
        <v>1</v>
      </c>
      <c r="BI133" s="361">
        <f t="shared" si="187"/>
        <v>1</v>
      </c>
      <c r="BJ133" s="361">
        <f t="shared" si="188"/>
        <v>1</v>
      </c>
      <c r="BK133" s="361">
        <f t="shared" si="189"/>
        <v>1</v>
      </c>
      <c r="BL133" s="361">
        <f t="shared" si="190"/>
        <v>1</v>
      </c>
      <c r="BM133" s="361">
        <f t="shared" si="191"/>
        <v>1</v>
      </c>
      <c r="BN133" s="361">
        <f t="shared" si="192"/>
        <v>1</v>
      </c>
      <c r="BO133" s="361">
        <f t="shared" si="193"/>
        <v>1</v>
      </c>
      <c r="BP133" s="361">
        <f t="shared" si="194"/>
        <v>1</v>
      </c>
      <c r="BQ133" s="361">
        <f t="shared" si="195"/>
        <v>1</v>
      </c>
      <c r="BR133" s="361">
        <f t="shared" si="196"/>
        <v>1</v>
      </c>
      <c r="BS133" s="361">
        <f t="shared" si="197"/>
        <v>1</v>
      </c>
      <c r="BT133" s="361">
        <f t="shared" si="198"/>
        <v>1</v>
      </c>
      <c r="BU133" s="361">
        <f t="shared" si="199"/>
        <v>1</v>
      </c>
      <c r="BV133" s="361">
        <f t="shared" si="200"/>
        <v>1</v>
      </c>
      <c r="BW133" s="361">
        <f t="shared" si="201"/>
        <v>1</v>
      </c>
      <c r="BX133" s="361">
        <f t="shared" si="202"/>
        <v>1</v>
      </c>
      <c r="BY133" s="361">
        <f t="shared" si="203"/>
        <v>1</v>
      </c>
      <c r="BZ133" s="361">
        <f t="shared" si="204"/>
        <v>1</v>
      </c>
      <c r="CA133" s="361">
        <f t="shared" si="205"/>
        <v>1</v>
      </c>
      <c r="CB133" s="361">
        <f t="shared" si="206"/>
        <v>1</v>
      </c>
      <c r="CC133" s="361">
        <f t="shared" si="207"/>
        <v>1</v>
      </c>
      <c r="CH133" s="341">
        <f t="shared" ref="CH133:CQ142" si="220">IF($F133="","",CH$30)</f>
        <v>1</v>
      </c>
      <c r="CI133" s="341">
        <f t="shared" si="220"/>
        <v>2</v>
      </c>
      <c r="CJ133" s="341">
        <f t="shared" si="220"/>
        <v>3</v>
      </c>
      <c r="CK133" s="341">
        <f t="shared" si="220"/>
        <v>4</v>
      </c>
      <c r="CL133" s="341">
        <f t="shared" si="220"/>
        <v>5</v>
      </c>
      <c r="CM133" s="341">
        <f t="shared" si="220"/>
        <v>6</v>
      </c>
      <c r="CN133" s="341">
        <f t="shared" si="220"/>
        <v>7</v>
      </c>
      <c r="CO133" s="341">
        <f t="shared" si="220"/>
        <v>8</v>
      </c>
      <c r="CP133" s="341">
        <f t="shared" si="220"/>
        <v>9</v>
      </c>
      <c r="CQ133" s="341">
        <f t="shared" si="220"/>
        <v>10</v>
      </c>
      <c r="CT133" s="353"/>
      <c r="CU133" s="353"/>
      <c r="CV133" s="353"/>
      <c r="CW133" s="353" t="b">
        <f t="shared" si="208"/>
        <v>1</v>
      </c>
      <c r="CX133" s="353" t="b">
        <f t="shared" si="209"/>
        <v>0</v>
      </c>
      <c r="CY133" s="353" t="b">
        <f t="shared" si="210"/>
        <v>1</v>
      </c>
      <c r="DC133" s="347">
        <f t="shared" si="211"/>
        <v>2</v>
      </c>
      <c r="DD133" s="353" t="b">
        <f t="shared" si="212"/>
        <v>1</v>
      </c>
      <c r="DE133" s="353" t="b">
        <f t="shared" si="213"/>
        <v>0</v>
      </c>
      <c r="DF133" s="353" t="b">
        <f t="shared" si="214"/>
        <v>1</v>
      </c>
      <c r="DG133" s="353"/>
      <c r="DH133" s="353"/>
      <c r="DI133" s="353"/>
      <c r="DJ133" s="353"/>
      <c r="DK133" s="353">
        <f t="shared" si="215"/>
        <v>2</v>
      </c>
      <c r="DM133" s="341">
        <f t="shared" si="216"/>
        <v>0</v>
      </c>
    </row>
    <row r="134" spans="2:117" x14ac:dyDescent="0.25">
      <c r="B134" s="373">
        <f t="shared" si="218"/>
        <v>104</v>
      </c>
      <c r="C134" s="373"/>
      <c r="D134" s="373"/>
      <c r="E134" s="373"/>
      <c r="F134" s="374" t="s">
        <v>1041</v>
      </c>
      <c r="G134" s="375">
        <v>1</v>
      </c>
      <c r="H134" s="375">
        <v>1</v>
      </c>
      <c r="I134" s="375">
        <v>1</v>
      </c>
      <c r="J134" s="375">
        <v>1</v>
      </c>
      <c r="K134" s="375">
        <v>1</v>
      </c>
      <c r="L134" s="375">
        <v>1</v>
      </c>
      <c r="M134" s="375">
        <v>1</v>
      </c>
      <c r="N134" s="375">
        <v>1</v>
      </c>
      <c r="O134" s="375">
        <v>1</v>
      </c>
      <c r="P134" s="375">
        <v>1</v>
      </c>
      <c r="Q134" s="375">
        <v>1</v>
      </c>
      <c r="R134" s="375">
        <v>1</v>
      </c>
      <c r="S134" s="375">
        <v>0</v>
      </c>
      <c r="T134" s="375">
        <v>1</v>
      </c>
      <c r="U134" s="375">
        <v>1</v>
      </c>
      <c r="V134" s="375">
        <v>1</v>
      </c>
      <c r="W134" s="375">
        <v>1</v>
      </c>
      <c r="X134" s="375">
        <v>1</v>
      </c>
      <c r="Y134" s="375">
        <v>1</v>
      </c>
      <c r="Z134" s="376">
        <f t="shared" ref="Z134:Z142" si="221">IF(F134="","",IF(AND(S134=1,T134=1),$AS$1,IF(OR(S134=1,AND(T134=1,U134=1,V134=1,W134=1,X134=1,Y134=1)),1,0)))</f>
        <v>1</v>
      </c>
      <c r="AA134" s="376">
        <v>0</v>
      </c>
      <c r="AB134" s="376" t="s">
        <v>418</v>
      </c>
      <c r="AC134" s="376">
        <v>1</v>
      </c>
      <c r="AD134" s="376">
        <v>1</v>
      </c>
      <c r="AE134" s="376">
        <v>1</v>
      </c>
      <c r="AF134" s="376">
        <f t="shared" ref="AF134:AF141" si="222">IF($F134="","",IF(OR(DL134=1,AND(DM134=1,AA134=1)),1,0))</f>
        <v>0</v>
      </c>
      <c r="AG134" s="376">
        <v>1</v>
      </c>
      <c r="AH134" s="376">
        <f t="shared" ref="AH134:AH142" si="223">IF(F134="","",IF(AA134=1,1,IF(AND(AB134="לא",SUM(AC134:AD134)=2),1,IF(AND(AB134="כן",SUM(AC134:AE134)=3),1,0))))</f>
        <v>1</v>
      </c>
      <c r="AI134" s="376"/>
      <c r="AJ134" s="376"/>
      <c r="AK134" s="373">
        <f t="shared" si="171"/>
        <v>1</v>
      </c>
      <c r="AL134" s="373"/>
      <c r="AM134" s="373"/>
      <c r="AN134" s="373"/>
      <c r="AO134" s="373"/>
      <c r="AP134" s="377">
        <f t="shared" si="217"/>
        <v>1</v>
      </c>
      <c r="AQ134" s="378"/>
      <c r="AR134" s="341">
        <f t="shared" si="172"/>
        <v>1</v>
      </c>
      <c r="AS134" s="341">
        <f t="shared" si="219"/>
        <v>0</v>
      </c>
      <c r="AT134" s="341">
        <f t="shared" si="219"/>
        <v>1</v>
      </c>
      <c r="AU134" s="361">
        <f t="shared" si="173"/>
        <v>1</v>
      </c>
      <c r="AV134" s="361">
        <f t="shared" si="174"/>
        <v>1</v>
      </c>
      <c r="AW134" s="361">
        <f t="shared" si="175"/>
        <v>1</v>
      </c>
      <c r="AX134" s="361">
        <f t="shared" si="176"/>
        <v>1</v>
      </c>
      <c r="AY134" s="361">
        <f t="shared" si="177"/>
        <v>1</v>
      </c>
      <c r="AZ134" s="361">
        <f t="shared" si="178"/>
        <v>1</v>
      </c>
      <c r="BA134" s="361">
        <f t="shared" si="179"/>
        <v>1</v>
      </c>
      <c r="BB134" s="361">
        <f t="shared" si="180"/>
        <v>1</v>
      </c>
      <c r="BC134" s="361">
        <f t="shared" si="181"/>
        <v>1</v>
      </c>
      <c r="BD134" s="361">
        <f t="shared" si="182"/>
        <v>1</v>
      </c>
      <c r="BE134" s="361">
        <f t="shared" si="183"/>
        <v>1</v>
      </c>
      <c r="BF134" s="361">
        <f t="shared" si="184"/>
        <v>1</v>
      </c>
      <c r="BG134" s="361">
        <f t="shared" si="185"/>
        <v>1</v>
      </c>
      <c r="BH134" s="361">
        <f t="shared" si="186"/>
        <v>1</v>
      </c>
      <c r="BI134" s="361">
        <f t="shared" si="187"/>
        <v>1</v>
      </c>
      <c r="BJ134" s="361">
        <f t="shared" si="188"/>
        <v>1</v>
      </c>
      <c r="BK134" s="361">
        <f t="shared" si="189"/>
        <v>1</v>
      </c>
      <c r="BL134" s="361">
        <f t="shared" si="190"/>
        <v>1</v>
      </c>
      <c r="BM134" s="361">
        <f t="shared" si="191"/>
        <v>1</v>
      </c>
      <c r="BN134" s="361">
        <f t="shared" si="192"/>
        <v>1</v>
      </c>
      <c r="BO134" s="361">
        <f t="shared" si="193"/>
        <v>1</v>
      </c>
      <c r="BP134" s="361">
        <f t="shared" si="194"/>
        <v>1</v>
      </c>
      <c r="BQ134" s="361">
        <f t="shared" si="195"/>
        <v>1</v>
      </c>
      <c r="BR134" s="361">
        <f t="shared" si="196"/>
        <v>1</v>
      </c>
      <c r="BS134" s="361">
        <f t="shared" si="197"/>
        <v>1</v>
      </c>
      <c r="BT134" s="361">
        <f t="shared" si="198"/>
        <v>1</v>
      </c>
      <c r="BU134" s="361">
        <f t="shared" si="199"/>
        <v>1</v>
      </c>
      <c r="BV134" s="361">
        <f t="shared" si="200"/>
        <v>1</v>
      </c>
      <c r="BW134" s="361">
        <f t="shared" si="201"/>
        <v>1</v>
      </c>
      <c r="BX134" s="361">
        <f t="shared" si="202"/>
        <v>1</v>
      </c>
      <c r="BY134" s="361">
        <f t="shared" si="203"/>
        <v>1</v>
      </c>
      <c r="BZ134" s="361">
        <f t="shared" si="204"/>
        <v>1</v>
      </c>
      <c r="CA134" s="361">
        <f t="shared" si="205"/>
        <v>1</v>
      </c>
      <c r="CB134" s="361">
        <f t="shared" si="206"/>
        <v>1</v>
      </c>
      <c r="CC134" s="361">
        <f t="shared" si="207"/>
        <v>1</v>
      </c>
      <c r="CH134" s="341">
        <f t="shared" si="220"/>
        <v>1</v>
      </c>
      <c r="CI134" s="341">
        <f t="shared" si="220"/>
        <v>2</v>
      </c>
      <c r="CJ134" s="341">
        <f t="shared" si="220"/>
        <v>3</v>
      </c>
      <c r="CK134" s="341">
        <f t="shared" si="220"/>
        <v>4</v>
      </c>
      <c r="CL134" s="341">
        <f t="shared" si="220"/>
        <v>5</v>
      </c>
      <c r="CM134" s="341">
        <f t="shared" si="220"/>
        <v>6</v>
      </c>
      <c r="CN134" s="341">
        <f t="shared" si="220"/>
        <v>7</v>
      </c>
      <c r="CO134" s="341">
        <f t="shared" si="220"/>
        <v>8</v>
      </c>
      <c r="CP134" s="341">
        <f t="shared" si="220"/>
        <v>9</v>
      </c>
      <c r="CQ134" s="341">
        <f t="shared" si="220"/>
        <v>10</v>
      </c>
      <c r="CT134" s="353"/>
      <c r="CU134" s="353"/>
      <c r="CV134" s="353"/>
      <c r="CW134" s="353" t="b">
        <f t="shared" si="208"/>
        <v>1</v>
      </c>
      <c r="CX134" s="353" t="b">
        <f t="shared" si="209"/>
        <v>0</v>
      </c>
      <c r="CY134" s="353" t="b">
        <f t="shared" si="210"/>
        <v>1</v>
      </c>
      <c r="DC134" s="347">
        <f t="shared" si="211"/>
        <v>2</v>
      </c>
      <c r="DD134" s="353" t="b">
        <f t="shared" si="212"/>
        <v>1</v>
      </c>
      <c r="DE134" s="353" t="b">
        <f t="shared" si="213"/>
        <v>0</v>
      </c>
      <c r="DF134" s="353" t="b">
        <f t="shared" si="214"/>
        <v>1</v>
      </c>
      <c r="DG134" s="353"/>
      <c r="DH134" s="353"/>
      <c r="DI134" s="353"/>
      <c r="DJ134" s="353"/>
      <c r="DK134" s="353">
        <f t="shared" si="215"/>
        <v>2</v>
      </c>
      <c r="DM134" s="341">
        <f t="shared" si="216"/>
        <v>0</v>
      </c>
    </row>
    <row r="135" spans="2:117" x14ac:dyDescent="0.25">
      <c r="B135" s="373">
        <f t="shared" si="218"/>
        <v>105</v>
      </c>
      <c r="C135" s="373"/>
      <c r="D135" s="373"/>
      <c r="E135" s="373"/>
      <c r="F135" s="374" t="s">
        <v>556</v>
      </c>
      <c r="G135" s="375">
        <v>1</v>
      </c>
      <c r="H135" s="375">
        <v>1</v>
      </c>
      <c r="I135" s="375">
        <v>1</v>
      </c>
      <c r="J135" s="375">
        <v>1</v>
      </c>
      <c r="K135" s="375">
        <v>1</v>
      </c>
      <c r="L135" s="375">
        <v>1</v>
      </c>
      <c r="M135" s="375">
        <v>1</v>
      </c>
      <c r="N135" s="375">
        <v>1</v>
      </c>
      <c r="O135" s="375">
        <v>1</v>
      </c>
      <c r="P135" s="375">
        <v>1</v>
      </c>
      <c r="Q135" s="375">
        <v>1</v>
      </c>
      <c r="R135" s="375">
        <v>1</v>
      </c>
      <c r="S135" s="375">
        <v>0</v>
      </c>
      <c r="T135" s="375">
        <v>1</v>
      </c>
      <c r="U135" s="375">
        <v>1</v>
      </c>
      <c r="V135" s="375">
        <v>1</v>
      </c>
      <c r="W135" s="375">
        <v>1</v>
      </c>
      <c r="X135" s="375">
        <v>1</v>
      </c>
      <c r="Y135" s="375">
        <v>1</v>
      </c>
      <c r="Z135" s="376">
        <f t="shared" si="221"/>
        <v>1</v>
      </c>
      <c r="AA135" s="376">
        <v>0</v>
      </c>
      <c r="AB135" s="376" t="s">
        <v>418</v>
      </c>
      <c r="AC135" s="376">
        <v>1</v>
      </c>
      <c r="AD135" s="376">
        <v>1</v>
      </c>
      <c r="AE135" s="376">
        <v>1</v>
      </c>
      <c r="AF135" s="376">
        <f t="shared" si="222"/>
        <v>0</v>
      </c>
      <c r="AG135" s="376">
        <v>1</v>
      </c>
      <c r="AH135" s="376">
        <f t="shared" si="223"/>
        <v>1</v>
      </c>
      <c r="AI135" s="376"/>
      <c r="AJ135" s="376"/>
      <c r="AK135" s="373">
        <f t="shared" si="171"/>
        <v>1</v>
      </c>
      <c r="AL135" s="373"/>
      <c r="AM135" s="373"/>
      <c r="AN135" s="373"/>
      <c r="AO135" s="373"/>
      <c r="AP135" s="377">
        <f t="shared" si="217"/>
        <v>1</v>
      </c>
      <c r="AQ135" s="378"/>
      <c r="AR135" s="341">
        <f t="shared" si="172"/>
        <v>1</v>
      </c>
      <c r="AS135" s="341">
        <f t="shared" si="219"/>
        <v>0</v>
      </c>
      <c r="AT135" s="341">
        <f t="shared" si="219"/>
        <v>1</v>
      </c>
      <c r="AU135" s="361">
        <f t="shared" si="173"/>
        <v>1</v>
      </c>
      <c r="AV135" s="361">
        <f t="shared" si="174"/>
        <v>1</v>
      </c>
      <c r="AW135" s="361">
        <f t="shared" si="175"/>
        <v>1</v>
      </c>
      <c r="AX135" s="361">
        <f t="shared" si="176"/>
        <v>1</v>
      </c>
      <c r="AY135" s="361">
        <f t="shared" si="177"/>
        <v>1</v>
      </c>
      <c r="AZ135" s="361">
        <f t="shared" si="178"/>
        <v>1</v>
      </c>
      <c r="BA135" s="361">
        <f t="shared" si="179"/>
        <v>1</v>
      </c>
      <c r="BB135" s="361">
        <f t="shared" si="180"/>
        <v>1</v>
      </c>
      <c r="BC135" s="361">
        <f t="shared" si="181"/>
        <v>1</v>
      </c>
      <c r="BD135" s="361">
        <f t="shared" si="182"/>
        <v>1</v>
      </c>
      <c r="BE135" s="361">
        <f t="shared" si="183"/>
        <v>1</v>
      </c>
      <c r="BF135" s="361">
        <f t="shared" si="184"/>
        <v>1</v>
      </c>
      <c r="BG135" s="361">
        <f t="shared" si="185"/>
        <v>1</v>
      </c>
      <c r="BH135" s="361">
        <f t="shared" si="186"/>
        <v>1</v>
      </c>
      <c r="BI135" s="361">
        <f t="shared" si="187"/>
        <v>1</v>
      </c>
      <c r="BJ135" s="361">
        <f t="shared" si="188"/>
        <v>1</v>
      </c>
      <c r="BK135" s="361">
        <f t="shared" si="189"/>
        <v>1</v>
      </c>
      <c r="BL135" s="361">
        <f t="shared" si="190"/>
        <v>1</v>
      </c>
      <c r="BM135" s="361">
        <f t="shared" si="191"/>
        <v>1</v>
      </c>
      <c r="BN135" s="361">
        <f t="shared" si="192"/>
        <v>1</v>
      </c>
      <c r="BO135" s="361">
        <f t="shared" si="193"/>
        <v>1</v>
      </c>
      <c r="BP135" s="361">
        <f t="shared" si="194"/>
        <v>1</v>
      </c>
      <c r="BQ135" s="361">
        <f t="shared" si="195"/>
        <v>1</v>
      </c>
      <c r="BR135" s="361">
        <f t="shared" si="196"/>
        <v>1</v>
      </c>
      <c r="BS135" s="361">
        <f t="shared" si="197"/>
        <v>1</v>
      </c>
      <c r="BT135" s="361">
        <f t="shared" si="198"/>
        <v>1</v>
      </c>
      <c r="BU135" s="361">
        <f t="shared" si="199"/>
        <v>1</v>
      </c>
      <c r="BV135" s="361">
        <f t="shared" si="200"/>
        <v>1</v>
      </c>
      <c r="BW135" s="361">
        <f t="shared" si="201"/>
        <v>1</v>
      </c>
      <c r="BX135" s="361">
        <f t="shared" si="202"/>
        <v>1</v>
      </c>
      <c r="BY135" s="361">
        <f t="shared" si="203"/>
        <v>1</v>
      </c>
      <c r="BZ135" s="361">
        <f t="shared" si="204"/>
        <v>1</v>
      </c>
      <c r="CA135" s="361">
        <f t="shared" si="205"/>
        <v>1</v>
      </c>
      <c r="CB135" s="361">
        <f t="shared" si="206"/>
        <v>1</v>
      </c>
      <c r="CC135" s="361">
        <f t="shared" si="207"/>
        <v>1</v>
      </c>
      <c r="CH135" s="341">
        <f t="shared" si="220"/>
        <v>1</v>
      </c>
      <c r="CI135" s="341">
        <f t="shared" si="220"/>
        <v>2</v>
      </c>
      <c r="CJ135" s="341">
        <f t="shared" si="220"/>
        <v>3</v>
      </c>
      <c r="CK135" s="341">
        <f t="shared" si="220"/>
        <v>4</v>
      </c>
      <c r="CL135" s="341">
        <f t="shared" si="220"/>
        <v>5</v>
      </c>
      <c r="CM135" s="341">
        <f t="shared" si="220"/>
        <v>6</v>
      </c>
      <c r="CN135" s="341">
        <f t="shared" si="220"/>
        <v>7</v>
      </c>
      <c r="CO135" s="341">
        <f t="shared" si="220"/>
        <v>8</v>
      </c>
      <c r="CP135" s="341">
        <f t="shared" si="220"/>
        <v>9</v>
      </c>
      <c r="CQ135" s="341">
        <f t="shared" si="220"/>
        <v>10</v>
      </c>
      <c r="CT135" s="353"/>
      <c r="CU135" s="353"/>
      <c r="CV135" s="353"/>
      <c r="CW135" s="353" t="b">
        <f t="shared" si="208"/>
        <v>1</v>
      </c>
      <c r="CX135" s="353" t="b">
        <f t="shared" si="209"/>
        <v>0</v>
      </c>
      <c r="CY135" s="353" t="b">
        <f t="shared" si="210"/>
        <v>1</v>
      </c>
      <c r="DC135" s="347">
        <f t="shared" si="211"/>
        <v>2</v>
      </c>
      <c r="DD135" s="353" t="b">
        <f t="shared" si="212"/>
        <v>1</v>
      </c>
      <c r="DE135" s="353" t="b">
        <f t="shared" si="213"/>
        <v>0</v>
      </c>
      <c r="DF135" s="353" t="b">
        <f t="shared" si="214"/>
        <v>1</v>
      </c>
      <c r="DG135" s="353"/>
      <c r="DH135" s="353"/>
      <c r="DI135" s="353"/>
      <c r="DJ135" s="353"/>
      <c r="DK135" s="353">
        <f t="shared" si="215"/>
        <v>2</v>
      </c>
      <c r="DM135" s="341">
        <f t="shared" si="216"/>
        <v>0</v>
      </c>
    </row>
    <row r="136" spans="2:117" x14ac:dyDescent="0.25">
      <c r="B136" s="373">
        <f t="shared" si="218"/>
        <v>106</v>
      </c>
      <c r="C136" s="373"/>
      <c r="D136" s="373"/>
      <c r="E136" s="373"/>
      <c r="F136" s="374" t="s">
        <v>555</v>
      </c>
      <c r="G136" s="375">
        <v>1</v>
      </c>
      <c r="H136" s="375">
        <v>1</v>
      </c>
      <c r="I136" s="375">
        <v>1</v>
      </c>
      <c r="J136" s="375">
        <v>1</v>
      </c>
      <c r="K136" s="375">
        <v>1</v>
      </c>
      <c r="L136" s="375">
        <v>1</v>
      </c>
      <c r="M136" s="375">
        <v>1</v>
      </c>
      <c r="N136" s="375">
        <v>1</v>
      </c>
      <c r="O136" s="375">
        <v>1</v>
      </c>
      <c r="P136" s="375">
        <v>1</v>
      </c>
      <c r="Q136" s="375">
        <v>1</v>
      </c>
      <c r="R136" s="375">
        <v>1</v>
      </c>
      <c r="S136" s="375">
        <v>0</v>
      </c>
      <c r="T136" s="375">
        <v>1</v>
      </c>
      <c r="U136" s="375">
        <v>1</v>
      </c>
      <c r="V136" s="375">
        <v>1</v>
      </c>
      <c r="W136" s="375">
        <v>1</v>
      </c>
      <c r="X136" s="375">
        <v>1</v>
      </c>
      <c r="Y136" s="375">
        <v>1</v>
      </c>
      <c r="Z136" s="376">
        <f t="shared" si="221"/>
        <v>1</v>
      </c>
      <c r="AA136" s="376">
        <v>0</v>
      </c>
      <c r="AB136" s="376" t="s">
        <v>418</v>
      </c>
      <c r="AC136" s="376">
        <v>1</v>
      </c>
      <c r="AD136" s="376">
        <v>1</v>
      </c>
      <c r="AE136" s="376">
        <v>1</v>
      </c>
      <c r="AF136" s="376">
        <f t="shared" si="222"/>
        <v>0</v>
      </c>
      <c r="AG136" s="376">
        <v>1</v>
      </c>
      <c r="AH136" s="376">
        <f t="shared" si="223"/>
        <v>1</v>
      </c>
      <c r="AI136" s="376"/>
      <c r="AJ136" s="376"/>
      <c r="AK136" s="373">
        <f t="shared" si="171"/>
        <v>1</v>
      </c>
      <c r="AL136" s="373"/>
      <c r="AM136" s="373"/>
      <c r="AN136" s="373"/>
      <c r="AO136" s="373"/>
      <c r="AP136" s="377">
        <f t="shared" si="217"/>
        <v>1</v>
      </c>
      <c r="AQ136" s="378"/>
      <c r="AR136" s="341">
        <f t="shared" si="172"/>
        <v>1</v>
      </c>
      <c r="AS136" s="341">
        <f t="shared" si="219"/>
        <v>0</v>
      </c>
      <c r="AT136" s="341">
        <f t="shared" si="219"/>
        <v>1</v>
      </c>
      <c r="AU136" s="361">
        <f t="shared" si="173"/>
        <v>1</v>
      </c>
      <c r="AV136" s="361">
        <f t="shared" si="174"/>
        <v>1</v>
      </c>
      <c r="AW136" s="361">
        <f t="shared" si="175"/>
        <v>1</v>
      </c>
      <c r="AX136" s="361">
        <f t="shared" si="176"/>
        <v>1</v>
      </c>
      <c r="AY136" s="361">
        <f t="shared" si="177"/>
        <v>1</v>
      </c>
      <c r="AZ136" s="361">
        <f t="shared" si="178"/>
        <v>1</v>
      </c>
      <c r="BA136" s="361">
        <f t="shared" si="179"/>
        <v>1</v>
      </c>
      <c r="BB136" s="361">
        <f t="shared" si="180"/>
        <v>1</v>
      </c>
      <c r="BC136" s="361">
        <f t="shared" si="181"/>
        <v>1</v>
      </c>
      <c r="BD136" s="361">
        <f t="shared" si="182"/>
        <v>1</v>
      </c>
      <c r="BE136" s="361">
        <f t="shared" si="183"/>
        <v>1</v>
      </c>
      <c r="BF136" s="361">
        <f t="shared" si="184"/>
        <v>1</v>
      </c>
      <c r="BG136" s="361">
        <f t="shared" si="185"/>
        <v>1</v>
      </c>
      <c r="BH136" s="361">
        <f t="shared" si="186"/>
        <v>1</v>
      </c>
      <c r="BI136" s="361">
        <f t="shared" si="187"/>
        <v>1</v>
      </c>
      <c r="BJ136" s="361">
        <f t="shared" si="188"/>
        <v>1</v>
      </c>
      <c r="BK136" s="361">
        <f t="shared" si="189"/>
        <v>1</v>
      </c>
      <c r="BL136" s="361">
        <f t="shared" si="190"/>
        <v>1</v>
      </c>
      <c r="BM136" s="361">
        <f t="shared" si="191"/>
        <v>1</v>
      </c>
      <c r="BN136" s="361">
        <f t="shared" si="192"/>
        <v>1</v>
      </c>
      <c r="BO136" s="361">
        <f t="shared" si="193"/>
        <v>1</v>
      </c>
      <c r="BP136" s="361">
        <f t="shared" si="194"/>
        <v>1</v>
      </c>
      <c r="BQ136" s="361">
        <f t="shared" si="195"/>
        <v>1</v>
      </c>
      <c r="BR136" s="361">
        <f t="shared" si="196"/>
        <v>1</v>
      </c>
      <c r="BS136" s="361">
        <f t="shared" si="197"/>
        <v>1</v>
      </c>
      <c r="BT136" s="361">
        <f t="shared" si="198"/>
        <v>1</v>
      </c>
      <c r="BU136" s="361">
        <f t="shared" si="199"/>
        <v>1</v>
      </c>
      <c r="BV136" s="361">
        <f t="shared" si="200"/>
        <v>1</v>
      </c>
      <c r="BW136" s="361">
        <f t="shared" si="201"/>
        <v>1</v>
      </c>
      <c r="BX136" s="361">
        <f t="shared" si="202"/>
        <v>1</v>
      </c>
      <c r="BY136" s="361">
        <f t="shared" si="203"/>
        <v>1</v>
      </c>
      <c r="BZ136" s="361">
        <f t="shared" si="204"/>
        <v>1</v>
      </c>
      <c r="CA136" s="361">
        <f t="shared" si="205"/>
        <v>1</v>
      </c>
      <c r="CB136" s="361">
        <f t="shared" si="206"/>
        <v>1</v>
      </c>
      <c r="CC136" s="361">
        <f t="shared" si="207"/>
        <v>1</v>
      </c>
      <c r="CH136" s="341">
        <f t="shared" si="220"/>
        <v>1</v>
      </c>
      <c r="CI136" s="341">
        <f t="shared" si="220"/>
        <v>2</v>
      </c>
      <c r="CJ136" s="341">
        <f t="shared" si="220"/>
        <v>3</v>
      </c>
      <c r="CK136" s="341">
        <f t="shared" si="220"/>
        <v>4</v>
      </c>
      <c r="CL136" s="341">
        <f t="shared" si="220"/>
        <v>5</v>
      </c>
      <c r="CM136" s="341">
        <f t="shared" si="220"/>
        <v>6</v>
      </c>
      <c r="CN136" s="341">
        <f t="shared" si="220"/>
        <v>7</v>
      </c>
      <c r="CO136" s="341">
        <f t="shared" si="220"/>
        <v>8</v>
      </c>
      <c r="CP136" s="341">
        <f t="shared" si="220"/>
        <v>9</v>
      </c>
      <c r="CQ136" s="341">
        <f t="shared" si="220"/>
        <v>10</v>
      </c>
      <c r="CT136" s="353"/>
      <c r="CU136" s="353"/>
      <c r="CV136" s="353"/>
      <c r="CW136" s="353" t="b">
        <f t="shared" si="208"/>
        <v>1</v>
      </c>
      <c r="CX136" s="353" t="b">
        <f t="shared" si="209"/>
        <v>0</v>
      </c>
      <c r="CY136" s="353" t="b">
        <f t="shared" si="210"/>
        <v>1</v>
      </c>
      <c r="DC136" s="347">
        <f t="shared" si="211"/>
        <v>2</v>
      </c>
      <c r="DD136" s="353" t="b">
        <f t="shared" si="212"/>
        <v>1</v>
      </c>
      <c r="DE136" s="353" t="b">
        <f t="shared" si="213"/>
        <v>0</v>
      </c>
      <c r="DF136" s="353" t="b">
        <f t="shared" si="214"/>
        <v>1</v>
      </c>
      <c r="DG136" s="353"/>
      <c r="DH136" s="353"/>
      <c r="DI136" s="353"/>
      <c r="DJ136" s="353"/>
      <c r="DK136" s="353">
        <f t="shared" si="215"/>
        <v>2</v>
      </c>
      <c r="DM136" s="341">
        <f t="shared" si="216"/>
        <v>0</v>
      </c>
    </row>
    <row r="137" spans="2:117" ht="14.1" customHeight="1" x14ac:dyDescent="0.25">
      <c r="B137" s="373">
        <f t="shared" si="218"/>
        <v>107</v>
      </c>
      <c r="C137" s="373"/>
      <c r="D137" s="373"/>
      <c r="E137" s="373"/>
      <c r="F137" s="374" t="s">
        <v>554</v>
      </c>
      <c r="G137" s="375">
        <v>1</v>
      </c>
      <c r="H137" s="375">
        <v>1</v>
      </c>
      <c r="I137" s="375">
        <v>1</v>
      </c>
      <c r="J137" s="375">
        <v>1</v>
      </c>
      <c r="K137" s="375">
        <v>1</v>
      </c>
      <c r="L137" s="375">
        <v>1</v>
      </c>
      <c r="M137" s="375">
        <v>1</v>
      </c>
      <c r="N137" s="375">
        <v>1</v>
      </c>
      <c r="O137" s="375">
        <v>1</v>
      </c>
      <c r="P137" s="375">
        <v>1</v>
      </c>
      <c r="Q137" s="375">
        <v>1</v>
      </c>
      <c r="R137" s="375">
        <v>1</v>
      </c>
      <c r="S137" s="375">
        <v>0</v>
      </c>
      <c r="T137" s="375">
        <v>1</v>
      </c>
      <c r="U137" s="375">
        <v>1</v>
      </c>
      <c r="V137" s="375">
        <v>1</v>
      </c>
      <c r="W137" s="375">
        <v>1</v>
      </c>
      <c r="X137" s="375">
        <v>1</v>
      </c>
      <c r="Y137" s="375">
        <v>1</v>
      </c>
      <c r="Z137" s="376">
        <f t="shared" si="221"/>
        <v>1</v>
      </c>
      <c r="AA137" s="376">
        <v>1</v>
      </c>
      <c r="AB137" s="376" t="s">
        <v>418</v>
      </c>
      <c r="AC137" s="376">
        <v>1</v>
      </c>
      <c r="AD137" s="376">
        <v>1</v>
      </c>
      <c r="AE137" s="376">
        <v>1</v>
      </c>
      <c r="AF137" s="376">
        <f t="shared" si="222"/>
        <v>0</v>
      </c>
      <c r="AG137" s="376">
        <v>1</v>
      </c>
      <c r="AH137" s="376">
        <f t="shared" si="223"/>
        <v>1</v>
      </c>
      <c r="AI137" s="376"/>
      <c r="AJ137" s="376"/>
      <c r="AK137" s="373">
        <f t="shared" si="171"/>
        <v>1</v>
      </c>
      <c r="AL137" s="373"/>
      <c r="AM137" s="373"/>
      <c r="AN137" s="373"/>
      <c r="AO137" s="373"/>
      <c r="AP137" s="377">
        <f t="shared" si="217"/>
        <v>1</v>
      </c>
      <c r="AQ137" s="378"/>
      <c r="AR137" s="341">
        <f t="shared" si="172"/>
        <v>1</v>
      </c>
      <c r="AS137" s="341">
        <f t="shared" si="219"/>
        <v>0</v>
      </c>
      <c r="AT137" s="341">
        <f t="shared" si="219"/>
        <v>1</v>
      </c>
      <c r="AU137" s="361">
        <f t="shared" si="173"/>
        <v>1</v>
      </c>
      <c r="AV137" s="361">
        <f t="shared" si="174"/>
        <v>1</v>
      </c>
      <c r="AW137" s="361">
        <f t="shared" si="175"/>
        <v>1</v>
      </c>
      <c r="AX137" s="361">
        <f t="shared" si="176"/>
        <v>1</v>
      </c>
      <c r="AY137" s="361">
        <f t="shared" si="177"/>
        <v>1</v>
      </c>
      <c r="AZ137" s="361">
        <f t="shared" si="178"/>
        <v>1</v>
      </c>
      <c r="BA137" s="361">
        <f t="shared" si="179"/>
        <v>1</v>
      </c>
      <c r="BB137" s="361">
        <f t="shared" si="180"/>
        <v>1</v>
      </c>
      <c r="BC137" s="361">
        <f t="shared" si="181"/>
        <v>1</v>
      </c>
      <c r="BD137" s="361">
        <f t="shared" si="182"/>
        <v>1</v>
      </c>
      <c r="BE137" s="361">
        <f t="shared" si="183"/>
        <v>1</v>
      </c>
      <c r="BF137" s="361">
        <f t="shared" si="184"/>
        <v>1</v>
      </c>
      <c r="BG137" s="361">
        <f t="shared" si="185"/>
        <v>1</v>
      </c>
      <c r="BH137" s="361">
        <f t="shared" si="186"/>
        <v>1</v>
      </c>
      <c r="BI137" s="361">
        <f t="shared" si="187"/>
        <v>1</v>
      </c>
      <c r="BJ137" s="361">
        <f t="shared" si="188"/>
        <v>1</v>
      </c>
      <c r="BK137" s="361">
        <f t="shared" si="189"/>
        <v>1</v>
      </c>
      <c r="BL137" s="361">
        <f t="shared" si="190"/>
        <v>1</v>
      </c>
      <c r="BM137" s="361">
        <f t="shared" si="191"/>
        <v>1</v>
      </c>
      <c r="BN137" s="361">
        <f t="shared" si="192"/>
        <v>1</v>
      </c>
      <c r="BO137" s="361">
        <f t="shared" si="193"/>
        <v>1</v>
      </c>
      <c r="BP137" s="361">
        <f t="shared" si="194"/>
        <v>1</v>
      </c>
      <c r="BQ137" s="361">
        <f t="shared" si="195"/>
        <v>1</v>
      </c>
      <c r="BR137" s="361">
        <f t="shared" si="196"/>
        <v>1</v>
      </c>
      <c r="BS137" s="361">
        <f t="shared" si="197"/>
        <v>1</v>
      </c>
      <c r="BT137" s="361">
        <f t="shared" si="198"/>
        <v>1</v>
      </c>
      <c r="BU137" s="361">
        <f t="shared" si="199"/>
        <v>1</v>
      </c>
      <c r="BV137" s="361">
        <f t="shared" si="200"/>
        <v>1</v>
      </c>
      <c r="BW137" s="361">
        <f t="shared" si="201"/>
        <v>1</v>
      </c>
      <c r="BX137" s="361">
        <f t="shared" si="202"/>
        <v>1</v>
      </c>
      <c r="BY137" s="361">
        <f t="shared" si="203"/>
        <v>1</v>
      </c>
      <c r="BZ137" s="361">
        <f t="shared" si="204"/>
        <v>1</v>
      </c>
      <c r="CA137" s="361">
        <f t="shared" si="205"/>
        <v>1</v>
      </c>
      <c r="CB137" s="361">
        <f t="shared" si="206"/>
        <v>1</v>
      </c>
      <c r="CC137" s="361">
        <f t="shared" si="207"/>
        <v>1</v>
      </c>
      <c r="CH137" s="341">
        <f t="shared" si="220"/>
        <v>1</v>
      </c>
      <c r="CI137" s="341">
        <f t="shared" si="220"/>
        <v>2</v>
      </c>
      <c r="CJ137" s="341">
        <f t="shared" si="220"/>
        <v>3</v>
      </c>
      <c r="CK137" s="341">
        <f t="shared" si="220"/>
        <v>4</v>
      </c>
      <c r="CL137" s="341">
        <f t="shared" si="220"/>
        <v>5</v>
      </c>
      <c r="CM137" s="341">
        <f t="shared" si="220"/>
        <v>6</v>
      </c>
      <c r="CN137" s="341">
        <f t="shared" si="220"/>
        <v>7</v>
      </c>
      <c r="CO137" s="341">
        <f t="shared" si="220"/>
        <v>8</v>
      </c>
      <c r="CP137" s="341">
        <f t="shared" si="220"/>
        <v>9</v>
      </c>
      <c r="CQ137" s="341">
        <f t="shared" si="220"/>
        <v>10</v>
      </c>
      <c r="CT137" s="353"/>
      <c r="CU137" s="353"/>
      <c r="CV137" s="353"/>
      <c r="CW137" s="353" t="b">
        <f t="shared" si="208"/>
        <v>1</v>
      </c>
      <c r="CX137" s="353" t="b">
        <f t="shared" si="209"/>
        <v>0</v>
      </c>
      <c r="CY137" s="353" t="b">
        <f t="shared" si="210"/>
        <v>1</v>
      </c>
      <c r="DC137" s="347">
        <f t="shared" si="211"/>
        <v>2</v>
      </c>
      <c r="DD137" s="353" t="b">
        <f t="shared" si="212"/>
        <v>1</v>
      </c>
      <c r="DE137" s="353" t="b">
        <f t="shared" si="213"/>
        <v>0</v>
      </c>
      <c r="DF137" s="353" t="b">
        <f t="shared" si="214"/>
        <v>1</v>
      </c>
      <c r="DG137" s="353"/>
      <c r="DH137" s="353"/>
      <c r="DI137" s="353"/>
      <c r="DJ137" s="353"/>
      <c r="DK137" s="353">
        <f t="shared" si="215"/>
        <v>2</v>
      </c>
      <c r="DM137" s="341">
        <f t="shared" si="216"/>
        <v>0</v>
      </c>
    </row>
    <row r="138" spans="2:117" x14ac:dyDescent="0.25">
      <c r="B138" s="373" t="str">
        <f t="shared" si="218"/>
        <v/>
      </c>
      <c r="C138" s="373"/>
      <c r="D138" s="373"/>
      <c r="E138" s="373"/>
      <c r="F138" s="374"/>
      <c r="G138" s="375"/>
      <c r="H138" s="375"/>
      <c r="I138" s="375"/>
      <c r="J138" s="375"/>
      <c r="K138" s="375"/>
      <c r="L138" s="375"/>
      <c r="M138" s="375"/>
      <c r="N138" s="375"/>
      <c r="O138" s="375"/>
      <c r="P138" s="375"/>
      <c r="Q138" s="375"/>
      <c r="R138" s="375"/>
      <c r="S138" s="375"/>
      <c r="T138" s="375"/>
      <c r="U138" s="375"/>
      <c r="V138" s="375"/>
      <c r="W138" s="375"/>
      <c r="X138" s="375"/>
      <c r="Y138" s="375"/>
      <c r="Z138" s="376"/>
      <c r="AA138" s="376"/>
      <c r="AB138" s="376"/>
      <c r="AC138" s="376"/>
      <c r="AD138" s="376"/>
      <c r="AE138" s="376"/>
      <c r="AF138" s="376" t="str">
        <f t="shared" si="222"/>
        <v/>
      </c>
      <c r="AG138" s="376"/>
      <c r="AH138" s="376" t="str">
        <f t="shared" si="223"/>
        <v/>
      </c>
      <c r="AI138" s="376"/>
      <c r="AJ138" s="376"/>
      <c r="AK138" s="373" t="str">
        <f t="shared" si="171"/>
        <v/>
      </c>
      <c r="AL138" s="373"/>
      <c r="AM138" s="373"/>
      <c r="AN138" s="373"/>
      <c r="AO138" s="373"/>
      <c r="AP138" s="377" t="str">
        <f t="shared" si="217"/>
        <v/>
      </c>
      <c r="AQ138" s="378"/>
      <c r="AR138" s="341">
        <f t="shared" si="172"/>
        <v>0</v>
      </c>
      <c r="AS138" s="341" t="str">
        <f t="shared" si="219"/>
        <v/>
      </c>
      <c r="AT138" s="341" t="str">
        <f t="shared" si="219"/>
        <v/>
      </c>
      <c r="AU138" s="361">
        <f t="shared" si="173"/>
        <v>0</v>
      </c>
      <c r="AV138" s="361">
        <f t="shared" si="174"/>
        <v>0</v>
      </c>
      <c r="AW138" s="361">
        <f t="shared" si="175"/>
        <v>0</v>
      </c>
      <c r="AX138" s="361">
        <f t="shared" si="176"/>
        <v>0</v>
      </c>
      <c r="AY138" s="361">
        <f t="shared" si="177"/>
        <v>0</v>
      </c>
      <c r="AZ138" s="361">
        <f t="shared" si="178"/>
        <v>0</v>
      </c>
      <c r="BA138" s="361">
        <f t="shared" si="179"/>
        <v>0</v>
      </c>
      <c r="BB138" s="361">
        <f t="shared" si="180"/>
        <v>0</v>
      </c>
      <c r="BC138" s="361">
        <f t="shared" si="181"/>
        <v>0</v>
      </c>
      <c r="BD138" s="361">
        <f t="shared" si="182"/>
        <v>0</v>
      </c>
      <c r="BE138" s="361">
        <f t="shared" si="183"/>
        <v>0</v>
      </c>
      <c r="BF138" s="361">
        <f t="shared" si="184"/>
        <v>0</v>
      </c>
      <c r="BG138" s="361">
        <f t="shared" si="185"/>
        <v>0</v>
      </c>
      <c r="BH138" s="361">
        <f t="shared" si="186"/>
        <v>0</v>
      </c>
      <c r="BI138" s="361">
        <f t="shared" si="187"/>
        <v>0</v>
      </c>
      <c r="BJ138" s="361">
        <f t="shared" si="188"/>
        <v>0</v>
      </c>
      <c r="BK138" s="361">
        <f t="shared" si="189"/>
        <v>0</v>
      </c>
      <c r="BL138" s="361">
        <f t="shared" si="190"/>
        <v>0</v>
      </c>
      <c r="BM138" s="361">
        <f t="shared" si="191"/>
        <v>0</v>
      </c>
      <c r="BN138" s="361">
        <f t="shared" si="192"/>
        <v>1</v>
      </c>
      <c r="BO138" s="361">
        <f t="shared" si="193"/>
        <v>0</v>
      </c>
      <c r="BP138" s="361">
        <f t="shared" si="194"/>
        <v>1</v>
      </c>
      <c r="BQ138" s="361">
        <f t="shared" si="195"/>
        <v>1</v>
      </c>
      <c r="BR138" s="361">
        <f t="shared" si="196"/>
        <v>1</v>
      </c>
      <c r="BS138" s="361">
        <f t="shared" si="197"/>
        <v>1</v>
      </c>
      <c r="BT138" s="361">
        <f t="shared" si="198"/>
        <v>1</v>
      </c>
      <c r="BU138" s="361">
        <f t="shared" si="199"/>
        <v>1</v>
      </c>
      <c r="BV138" s="361">
        <f t="shared" si="200"/>
        <v>1</v>
      </c>
      <c r="BW138" s="361">
        <f t="shared" si="201"/>
        <v>1</v>
      </c>
      <c r="BX138" s="361">
        <f t="shared" si="202"/>
        <v>1</v>
      </c>
      <c r="BY138" s="361">
        <f t="shared" si="203"/>
        <v>1</v>
      </c>
      <c r="BZ138" s="361">
        <f t="shared" si="204"/>
        <v>1</v>
      </c>
      <c r="CA138" s="361">
        <f t="shared" si="205"/>
        <v>1</v>
      </c>
      <c r="CB138" s="361">
        <f t="shared" si="206"/>
        <v>1</v>
      </c>
      <c r="CC138" s="361">
        <f t="shared" si="207"/>
        <v>1</v>
      </c>
      <c r="CH138" s="341" t="str">
        <f t="shared" si="220"/>
        <v/>
      </c>
      <c r="CI138" s="341" t="str">
        <f t="shared" si="220"/>
        <v/>
      </c>
      <c r="CJ138" s="341" t="str">
        <f t="shared" si="220"/>
        <v/>
      </c>
      <c r="CK138" s="341" t="str">
        <f t="shared" si="220"/>
        <v/>
      </c>
      <c r="CL138" s="341" t="str">
        <f t="shared" si="220"/>
        <v/>
      </c>
      <c r="CM138" s="341" t="str">
        <f t="shared" si="220"/>
        <v/>
      </c>
      <c r="CN138" s="341" t="str">
        <f t="shared" si="220"/>
        <v/>
      </c>
      <c r="CO138" s="341" t="str">
        <f t="shared" si="220"/>
        <v/>
      </c>
      <c r="CP138" s="341" t="str">
        <f t="shared" si="220"/>
        <v/>
      </c>
      <c r="CQ138" s="341" t="str">
        <f t="shared" si="220"/>
        <v/>
      </c>
      <c r="CT138" s="353"/>
      <c r="CU138" s="353"/>
      <c r="CV138" s="353"/>
      <c r="CW138" s="353" t="b">
        <f t="shared" si="208"/>
        <v>0</v>
      </c>
      <c r="CX138" s="353" t="b">
        <f t="shared" si="209"/>
        <v>0</v>
      </c>
      <c r="CY138" s="353" t="b">
        <f t="shared" si="210"/>
        <v>1</v>
      </c>
      <c r="DC138" s="347">
        <f t="shared" si="211"/>
        <v>1</v>
      </c>
      <c r="DD138" s="353" t="b">
        <f t="shared" si="212"/>
        <v>0</v>
      </c>
      <c r="DE138" s="353" t="b">
        <f t="shared" si="213"/>
        <v>0</v>
      </c>
      <c r="DF138" s="353" t="b">
        <f t="shared" si="214"/>
        <v>1</v>
      </c>
      <c r="DG138" s="353"/>
      <c r="DH138" s="353"/>
      <c r="DI138" s="353"/>
      <c r="DJ138" s="353"/>
      <c r="DK138" s="353">
        <f t="shared" si="215"/>
        <v>1</v>
      </c>
      <c r="DM138" s="341" t="str">
        <f t="shared" si="216"/>
        <v/>
      </c>
    </row>
    <row r="139" spans="2:117" x14ac:dyDescent="0.25">
      <c r="B139" s="373">
        <f t="shared" si="218"/>
        <v>109</v>
      </c>
      <c r="C139" s="373"/>
      <c r="D139" s="373"/>
      <c r="E139" s="373"/>
      <c r="F139" s="374" t="s">
        <v>553</v>
      </c>
      <c r="G139" s="375">
        <v>1</v>
      </c>
      <c r="H139" s="375">
        <v>1</v>
      </c>
      <c r="I139" s="375">
        <v>1</v>
      </c>
      <c r="J139" s="375">
        <v>1</v>
      </c>
      <c r="K139" s="375">
        <v>1</v>
      </c>
      <c r="L139" s="375">
        <v>1</v>
      </c>
      <c r="M139" s="375">
        <v>1</v>
      </c>
      <c r="N139" s="375">
        <v>1</v>
      </c>
      <c r="O139" s="375">
        <v>1</v>
      </c>
      <c r="P139" s="375">
        <v>1</v>
      </c>
      <c r="Q139" s="375">
        <v>1</v>
      </c>
      <c r="R139" s="375">
        <v>1</v>
      </c>
      <c r="S139" s="375">
        <v>0</v>
      </c>
      <c r="T139" s="375">
        <v>1</v>
      </c>
      <c r="U139" s="375">
        <v>1</v>
      </c>
      <c r="V139" s="375">
        <v>1</v>
      </c>
      <c r="W139" s="375">
        <v>1</v>
      </c>
      <c r="X139" s="375">
        <v>1</v>
      </c>
      <c r="Y139" s="375">
        <v>1</v>
      </c>
      <c r="Z139" s="376">
        <f t="shared" si="221"/>
        <v>1</v>
      </c>
      <c r="AA139" s="376">
        <v>0</v>
      </c>
      <c r="AB139" s="376" t="s">
        <v>418</v>
      </c>
      <c r="AC139" s="376">
        <v>1</v>
      </c>
      <c r="AD139" s="376">
        <v>1</v>
      </c>
      <c r="AE139" s="376">
        <v>1</v>
      </c>
      <c r="AF139" s="376">
        <f t="shared" si="222"/>
        <v>0</v>
      </c>
      <c r="AG139" s="376">
        <v>1</v>
      </c>
      <c r="AH139" s="376">
        <f t="shared" si="223"/>
        <v>1</v>
      </c>
      <c r="AI139" s="376"/>
      <c r="AJ139" s="376"/>
      <c r="AK139" s="373">
        <f t="shared" si="171"/>
        <v>1</v>
      </c>
      <c r="AL139" s="373"/>
      <c r="AM139" s="373"/>
      <c r="AN139" s="373"/>
      <c r="AO139" s="373"/>
      <c r="AP139" s="377">
        <f t="shared" si="217"/>
        <v>1</v>
      </c>
      <c r="AQ139" s="378"/>
      <c r="AR139" s="341">
        <f t="shared" si="172"/>
        <v>1</v>
      </c>
      <c r="AS139" s="341">
        <f t="shared" si="219"/>
        <v>0</v>
      </c>
      <c r="AT139" s="341">
        <f t="shared" si="219"/>
        <v>1</v>
      </c>
      <c r="AU139" s="361">
        <f t="shared" si="173"/>
        <v>1</v>
      </c>
      <c r="AV139" s="361">
        <f t="shared" si="174"/>
        <v>1</v>
      </c>
      <c r="AW139" s="361">
        <f t="shared" si="175"/>
        <v>1</v>
      </c>
      <c r="AX139" s="361">
        <f t="shared" si="176"/>
        <v>1</v>
      </c>
      <c r="AY139" s="361">
        <f t="shared" si="177"/>
        <v>1</v>
      </c>
      <c r="AZ139" s="361">
        <f t="shared" si="178"/>
        <v>1</v>
      </c>
      <c r="BA139" s="361">
        <f t="shared" si="179"/>
        <v>1</v>
      </c>
      <c r="BB139" s="361">
        <f t="shared" si="180"/>
        <v>1</v>
      </c>
      <c r="BC139" s="361">
        <f t="shared" si="181"/>
        <v>1</v>
      </c>
      <c r="BD139" s="361">
        <f t="shared" si="182"/>
        <v>1</v>
      </c>
      <c r="BE139" s="361">
        <f t="shared" si="183"/>
        <v>1</v>
      </c>
      <c r="BF139" s="361">
        <f t="shared" si="184"/>
        <v>1</v>
      </c>
      <c r="BG139" s="361">
        <f t="shared" si="185"/>
        <v>1</v>
      </c>
      <c r="BH139" s="361">
        <f t="shared" si="186"/>
        <v>1</v>
      </c>
      <c r="BI139" s="361">
        <f t="shared" si="187"/>
        <v>1</v>
      </c>
      <c r="BJ139" s="361">
        <f t="shared" si="188"/>
        <v>1</v>
      </c>
      <c r="BK139" s="361">
        <f t="shared" si="189"/>
        <v>1</v>
      </c>
      <c r="BL139" s="361">
        <f t="shared" si="190"/>
        <v>1</v>
      </c>
      <c r="BM139" s="361">
        <f t="shared" si="191"/>
        <v>1</v>
      </c>
      <c r="BN139" s="361">
        <f t="shared" si="192"/>
        <v>1</v>
      </c>
      <c r="BO139" s="361">
        <f t="shared" si="193"/>
        <v>1</v>
      </c>
      <c r="BP139" s="361">
        <f t="shared" si="194"/>
        <v>1</v>
      </c>
      <c r="BQ139" s="361">
        <f t="shared" si="195"/>
        <v>1</v>
      </c>
      <c r="BR139" s="361">
        <f t="shared" si="196"/>
        <v>1</v>
      </c>
      <c r="BS139" s="361">
        <f t="shared" si="197"/>
        <v>1</v>
      </c>
      <c r="BT139" s="361">
        <f t="shared" si="198"/>
        <v>1</v>
      </c>
      <c r="BU139" s="361">
        <f t="shared" si="199"/>
        <v>1</v>
      </c>
      <c r="BV139" s="361">
        <f t="shared" si="200"/>
        <v>1</v>
      </c>
      <c r="BW139" s="361">
        <f t="shared" si="201"/>
        <v>1</v>
      </c>
      <c r="BX139" s="361">
        <f t="shared" si="202"/>
        <v>1</v>
      </c>
      <c r="BY139" s="361">
        <f t="shared" si="203"/>
        <v>1</v>
      </c>
      <c r="BZ139" s="361">
        <f t="shared" si="204"/>
        <v>1</v>
      </c>
      <c r="CA139" s="361">
        <f t="shared" si="205"/>
        <v>1</v>
      </c>
      <c r="CB139" s="361">
        <f t="shared" si="206"/>
        <v>1</v>
      </c>
      <c r="CC139" s="361">
        <f t="shared" si="207"/>
        <v>1</v>
      </c>
      <c r="CH139" s="341">
        <f t="shared" si="220"/>
        <v>1</v>
      </c>
      <c r="CI139" s="341">
        <f t="shared" si="220"/>
        <v>2</v>
      </c>
      <c r="CJ139" s="341">
        <f t="shared" si="220"/>
        <v>3</v>
      </c>
      <c r="CK139" s="341">
        <f t="shared" si="220"/>
        <v>4</v>
      </c>
      <c r="CL139" s="341">
        <f t="shared" si="220"/>
        <v>5</v>
      </c>
      <c r="CM139" s="341">
        <f t="shared" si="220"/>
        <v>6</v>
      </c>
      <c r="CN139" s="341">
        <f t="shared" si="220"/>
        <v>7</v>
      </c>
      <c r="CO139" s="341">
        <f t="shared" si="220"/>
        <v>8</v>
      </c>
      <c r="CP139" s="341">
        <f t="shared" si="220"/>
        <v>9</v>
      </c>
      <c r="CQ139" s="341">
        <f t="shared" si="220"/>
        <v>10</v>
      </c>
      <c r="CT139" s="353"/>
      <c r="CU139" s="353"/>
      <c r="CV139" s="353"/>
      <c r="CW139" s="353" t="b">
        <f t="shared" si="208"/>
        <v>1</v>
      </c>
      <c r="CX139" s="353" t="b">
        <f t="shared" si="209"/>
        <v>0</v>
      </c>
      <c r="CY139" s="353" t="b">
        <f t="shared" si="210"/>
        <v>1</v>
      </c>
      <c r="DC139" s="347">
        <f t="shared" si="211"/>
        <v>2</v>
      </c>
      <c r="DD139" s="353" t="b">
        <f t="shared" si="212"/>
        <v>1</v>
      </c>
      <c r="DE139" s="353" t="b">
        <f t="shared" si="213"/>
        <v>0</v>
      </c>
      <c r="DF139" s="353" t="b">
        <f t="shared" si="214"/>
        <v>1</v>
      </c>
      <c r="DG139" s="353"/>
      <c r="DH139" s="353"/>
      <c r="DI139" s="353"/>
      <c r="DJ139" s="353"/>
      <c r="DK139" s="353">
        <f t="shared" si="215"/>
        <v>2</v>
      </c>
      <c r="DM139" s="341">
        <f t="shared" si="216"/>
        <v>0</v>
      </c>
    </row>
    <row r="140" spans="2:117" x14ac:dyDescent="0.25">
      <c r="B140" s="373" t="str">
        <f t="shared" si="218"/>
        <v/>
      </c>
      <c r="C140" s="373"/>
      <c r="D140" s="373"/>
      <c r="E140" s="373"/>
      <c r="F140" s="374"/>
      <c r="G140" s="375"/>
      <c r="H140" s="375"/>
      <c r="I140" s="375"/>
      <c r="J140" s="375"/>
      <c r="K140" s="375"/>
      <c r="L140" s="375"/>
      <c r="M140" s="375"/>
      <c r="N140" s="375"/>
      <c r="O140" s="375"/>
      <c r="P140" s="375"/>
      <c r="Q140" s="375"/>
      <c r="R140" s="375"/>
      <c r="S140" s="375"/>
      <c r="T140" s="375"/>
      <c r="U140" s="375"/>
      <c r="V140" s="375"/>
      <c r="W140" s="375"/>
      <c r="X140" s="375"/>
      <c r="Y140" s="375"/>
      <c r="Z140" s="376"/>
      <c r="AA140" s="376"/>
      <c r="AB140" s="376"/>
      <c r="AC140" s="376"/>
      <c r="AD140" s="376"/>
      <c r="AE140" s="376"/>
      <c r="AF140" s="376" t="str">
        <f t="shared" si="222"/>
        <v/>
      </c>
      <c r="AG140" s="376"/>
      <c r="AH140" s="376" t="str">
        <f t="shared" si="223"/>
        <v/>
      </c>
      <c r="AI140" s="376"/>
      <c r="AJ140" s="376"/>
      <c r="AK140" s="373" t="str">
        <f t="shared" si="171"/>
        <v/>
      </c>
      <c r="AL140" s="373"/>
      <c r="AM140" s="373"/>
      <c r="AN140" s="373"/>
      <c r="AO140" s="373"/>
      <c r="AP140" s="377" t="str">
        <f t="shared" si="217"/>
        <v/>
      </c>
      <c r="AQ140" s="378"/>
      <c r="AR140" s="341">
        <f t="shared" si="172"/>
        <v>0</v>
      </c>
      <c r="AS140" s="341" t="str">
        <f t="shared" si="219"/>
        <v/>
      </c>
      <c r="AT140" s="341" t="str">
        <f t="shared" si="219"/>
        <v/>
      </c>
      <c r="AU140" s="361">
        <f t="shared" si="173"/>
        <v>0</v>
      </c>
      <c r="AV140" s="361">
        <f t="shared" si="174"/>
        <v>0</v>
      </c>
      <c r="AW140" s="361">
        <f t="shared" si="175"/>
        <v>0</v>
      </c>
      <c r="AX140" s="361">
        <f t="shared" si="176"/>
        <v>0</v>
      </c>
      <c r="AY140" s="361">
        <f t="shared" si="177"/>
        <v>0</v>
      </c>
      <c r="AZ140" s="361">
        <f t="shared" si="178"/>
        <v>0</v>
      </c>
      <c r="BA140" s="361">
        <f t="shared" si="179"/>
        <v>0</v>
      </c>
      <c r="BB140" s="361">
        <f t="shared" si="180"/>
        <v>0</v>
      </c>
      <c r="BC140" s="361">
        <f t="shared" si="181"/>
        <v>0</v>
      </c>
      <c r="BD140" s="361">
        <f t="shared" si="182"/>
        <v>0</v>
      </c>
      <c r="BE140" s="361">
        <f t="shared" si="183"/>
        <v>0</v>
      </c>
      <c r="BF140" s="361">
        <f t="shared" si="184"/>
        <v>0</v>
      </c>
      <c r="BG140" s="361">
        <f t="shared" si="185"/>
        <v>0</v>
      </c>
      <c r="BH140" s="361">
        <f t="shared" si="186"/>
        <v>0</v>
      </c>
      <c r="BI140" s="361">
        <f t="shared" si="187"/>
        <v>0</v>
      </c>
      <c r="BJ140" s="361">
        <f t="shared" si="188"/>
        <v>0</v>
      </c>
      <c r="BK140" s="361">
        <f t="shared" si="189"/>
        <v>0</v>
      </c>
      <c r="BL140" s="361">
        <f t="shared" si="190"/>
        <v>0</v>
      </c>
      <c r="BM140" s="361">
        <f t="shared" si="191"/>
        <v>0</v>
      </c>
      <c r="BN140" s="361">
        <f t="shared" si="192"/>
        <v>1</v>
      </c>
      <c r="BO140" s="361">
        <f t="shared" si="193"/>
        <v>0</v>
      </c>
      <c r="BP140" s="361">
        <f t="shared" si="194"/>
        <v>1</v>
      </c>
      <c r="BQ140" s="361">
        <f t="shared" si="195"/>
        <v>1</v>
      </c>
      <c r="BR140" s="361">
        <f t="shared" si="196"/>
        <v>1</v>
      </c>
      <c r="BS140" s="361">
        <f t="shared" si="197"/>
        <v>1</v>
      </c>
      <c r="BT140" s="361">
        <f t="shared" si="198"/>
        <v>1</v>
      </c>
      <c r="BU140" s="361">
        <f t="shared" si="199"/>
        <v>1</v>
      </c>
      <c r="BV140" s="361">
        <f t="shared" si="200"/>
        <v>1</v>
      </c>
      <c r="BW140" s="361">
        <f t="shared" si="201"/>
        <v>1</v>
      </c>
      <c r="BX140" s="361">
        <f t="shared" si="202"/>
        <v>1</v>
      </c>
      <c r="BY140" s="361">
        <f t="shared" si="203"/>
        <v>1</v>
      </c>
      <c r="BZ140" s="361">
        <f t="shared" si="204"/>
        <v>1</v>
      </c>
      <c r="CA140" s="361">
        <f t="shared" si="205"/>
        <v>1</v>
      </c>
      <c r="CB140" s="361">
        <f t="shared" si="206"/>
        <v>1</v>
      </c>
      <c r="CC140" s="361">
        <f t="shared" si="207"/>
        <v>1</v>
      </c>
      <c r="CH140" s="341" t="str">
        <f t="shared" si="220"/>
        <v/>
      </c>
      <c r="CI140" s="341" t="str">
        <f t="shared" si="220"/>
        <v/>
      </c>
      <c r="CJ140" s="341" t="str">
        <f t="shared" si="220"/>
        <v/>
      </c>
      <c r="CK140" s="341" t="str">
        <f t="shared" si="220"/>
        <v/>
      </c>
      <c r="CL140" s="341" t="str">
        <f t="shared" si="220"/>
        <v/>
      </c>
      <c r="CM140" s="341" t="str">
        <f t="shared" si="220"/>
        <v/>
      </c>
      <c r="CN140" s="341" t="str">
        <f t="shared" si="220"/>
        <v/>
      </c>
      <c r="CO140" s="341" t="str">
        <f t="shared" si="220"/>
        <v/>
      </c>
      <c r="CP140" s="341" t="str">
        <f t="shared" si="220"/>
        <v/>
      </c>
      <c r="CQ140" s="341" t="str">
        <f t="shared" si="220"/>
        <v/>
      </c>
      <c r="CT140" s="353"/>
      <c r="CU140" s="353"/>
      <c r="CV140" s="353"/>
      <c r="CW140" s="353" t="b">
        <f t="shared" si="208"/>
        <v>0</v>
      </c>
      <c r="CX140" s="353" t="b">
        <f t="shared" si="209"/>
        <v>0</v>
      </c>
      <c r="CY140" s="353" t="b">
        <f t="shared" si="210"/>
        <v>1</v>
      </c>
      <c r="DC140" s="347">
        <f t="shared" si="211"/>
        <v>1</v>
      </c>
      <c r="DD140" s="353" t="b">
        <f t="shared" si="212"/>
        <v>0</v>
      </c>
      <c r="DE140" s="353" t="b">
        <f t="shared" si="213"/>
        <v>0</v>
      </c>
      <c r="DF140" s="353" t="b">
        <f t="shared" si="214"/>
        <v>1</v>
      </c>
      <c r="DG140" s="353"/>
      <c r="DH140" s="353"/>
      <c r="DI140" s="353"/>
      <c r="DJ140" s="353"/>
      <c r="DK140" s="353">
        <f t="shared" si="215"/>
        <v>1</v>
      </c>
      <c r="DM140" s="341" t="str">
        <f t="shared" si="216"/>
        <v/>
      </c>
    </row>
    <row r="141" spans="2:117" x14ac:dyDescent="0.25">
      <c r="B141" s="373">
        <f t="shared" si="218"/>
        <v>111</v>
      </c>
      <c r="C141" s="373"/>
      <c r="D141" s="373"/>
      <c r="E141" s="373"/>
      <c r="F141" s="374" t="s">
        <v>551</v>
      </c>
      <c r="G141" s="375">
        <v>1</v>
      </c>
      <c r="H141" s="375">
        <v>1</v>
      </c>
      <c r="I141" s="375">
        <v>1</v>
      </c>
      <c r="J141" s="375">
        <v>1</v>
      </c>
      <c r="K141" s="375">
        <v>1</v>
      </c>
      <c r="L141" s="375">
        <v>1</v>
      </c>
      <c r="M141" s="375">
        <v>1</v>
      </c>
      <c r="N141" s="375">
        <v>1</v>
      </c>
      <c r="O141" s="375">
        <v>1</v>
      </c>
      <c r="P141" s="375">
        <v>1</v>
      </c>
      <c r="Q141" s="375">
        <v>1</v>
      </c>
      <c r="R141" s="375">
        <v>1</v>
      </c>
      <c r="S141" s="375">
        <v>1</v>
      </c>
      <c r="T141" s="376">
        <v>0</v>
      </c>
      <c r="U141" s="376">
        <v>0</v>
      </c>
      <c r="V141" s="376">
        <v>0</v>
      </c>
      <c r="W141" s="376">
        <v>0</v>
      </c>
      <c r="X141" s="376">
        <v>0</v>
      </c>
      <c r="Y141" s="376">
        <v>0</v>
      </c>
      <c r="Z141" s="376">
        <f t="shared" si="221"/>
        <v>1</v>
      </c>
      <c r="AA141" s="376">
        <v>1</v>
      </c>
      <c r="AB141" s="376" t="s">
        <v>418</v>
      </c>
      <c r="AC141" s="376">
        <v>1</v>
      </c>
      <c r="AD141" s="376">
        <v>1</v>
      </c>
      <c r="AE141" s="376">
        <v>1</v>
      </c>
      <c r="AF141" s="376">
        <f t="shared" si="222"/>
        <v>0</v>
      </c>
      <c r="AG141" s="376">
        <v>1</v>
      </c>
      <c r="AH141" s="376">
        <f t="shared" si="223"/>
        <v>1</v>
      </c>
      <c r="AI141" s="376"/>
      <c r="AJ141" s="376"/>
      <c r="AK141" s="373">
        <f t="shared" si="171"/>
        <v>1</v>
      </c>
      <c r="AL141" s="373"/>
      <c r="AM141" s="373"/>
      <c r="AN141" s="373"/>
      <c r="AO141" s="373"/>
      <c r="AP141" s="377">
        <f t="shared" si="217"/>
        <v>1</v>
      </c>
      <c r="AQ141" s="378"/>
      <c r="AR141" s="341">
        <f t="shared" si="172"/>
        <v>1</v>
      </c>
      <c r="AS141" s="341">
        <f t="shared" si="219"/>
        <v>0</v>
      </c>
      <c r="AT141" s="341">
        <f t="shared" si="219"/>
        <v>1</v>
      </c>
      <c r="AU141" s="361">
        <f t="shared" si="173"/>
        <v>1</v>
      </c>
      <c r="AV141" s="361">
        <f t="shared" si="174"/>
        <v>1</v>
      </c>
      <c r="AW141" s="361">
        <f t="shared" si="175"/>
        <v>1</v>
      </c>
      <c r="AX141" s="361">
        <f t="shared" si="176"/>
        <v>1</v>
      </c>
      <c r="AY141" s="361">
        <f t="shared" si="177"/>
        <v>1</v>
      </c>
      <c r="AZ141" s="361">
        <f t="shared" si="178"/>
        <v>1</v>
      </c>
      <c r="BA141" s="361">
        <f t="shared" si="179"/>
        <v>1</v>
      </c>
      <c r="BB141" s="361">
        <f t="shared" si="180"/>
        <v>1</v>
      </c>
      <c r="BC141" s="361">
        <f t="shared" si="181"/>
        <v>1</v>
      </c>
      <c r="BD141" s="361">
        <f t="shared" si="182"/>
        <v>1</v>
      </c>
      <c r="BE141" s="361">
        <f t="shared" si="183"/>
        <v>1</v>
      </c>
      <c r="BF141" s="361">
        <f t="shared" si="184"/>
        <v>1</v>
      </c>
      <c r="BG141" s="361">
        <f t="shared" si="185"/>
        <v>1</v>
      </c>
      <c r="BH141" s="361">
        <f t="shared" si="186"/>
        <v>1</v>
      </c>
      <c r="BI141" s="361">
        <f t="shared" si="187"/>
        <v>1</v>
      </c>
      <c r="BJ141" s="361">
        <f t="shared" si="188"/>
        <v>1</v>
      </c>
      <c r="BK141" s="361">
        <f t="shared" si="189"/>
        <v>1</v>
      </c>
      <c r="BL141" s="361">
        <f t="shared" si="190"/>
        <v>1</v>
      </c>
      <c r="BM141" s="361">
        <f t="shared" si="191"/>
        <v>1</v>
      </c>
      <c r="BN141" s="361">
        <f t="shared" si="192"/>
        <v>1</v>
      </c>
      <c r="BO141" s="361">
        <f t="shared" si="193"/>
        <v>1</v>
      </c>
      <c r="BP141" s="361">
        <f t="shared" si="194"/>
        <v>1</v>
      </c>
      <c r="BQ141" s="361">
        <f t="shared" si="195"/>
        <v>1</v>
      </c>
      <c r="BR141" s="361">
        <f t="shared" si="196"/>
        <v>1</v>
      </c>
      <c r="BS141" s="361">
        <f t="shared" si="197"/>
        <v>1</v>
      </c>
      <c r="BT141" s="361">
        <f t="shared" si="198"/>
        <v>1</v>
      </c>
      <c r="BU141" s="361">
        <f t="shared" si="199"/>
        <v>1</v>
      </c>
      <c r="BV141" s="361">
        <f t="shared" si="200"/>
        <v>1</v>
      </c>
      <c r="BW141" s="361">
        <f t="shared" si="201"/>
        <v>1</v>
      </c>
      <c r="BX141" s="361">
        <f t="shared" si="202"/>
        <v>1</v>
      </c>
      <c r="BY141" s="361">
        <f t="shared" si="203"/>
        <v>1</v>
      </c>
      <c r="BZ141" s="361">
        <f t="shared" si="204"/>
        <v>1</v>
      </c>
      <c r="CA141" s="361">
        <f t="shared" si="205"/>
        <v>1</v>
      </c>
      <c r="CB141" s="361">
        <f t="shared" si="206"/>
        <v>1</v>
      </c>
      <c r="CC141" s="361">
        <f t="shared" si="207"/>
        <v>1</v>
      </c>
      <c r="CH141" s="341">
        <f t="shared" si="220"/>
        <v>1</v>
      </c>
      <c r="CI141" s="341">
        <f t="shared" si="220"/>
        <v>2</v>
      </c>
      <c r="CJ141" s="341">
        <f t="shared" si="220"/>
        <v>3</v>
      </c>
      <c r="CK141" s="341">
        <f t="shared" si="220"/>
        <v>4</v>
      </c>
      <c r="CL141" s="341">
        <f t="shared" si="220"/>
        <v>5</v>
      </c>
      <c r="CM141" s="341">
        <f t="shared" si="220"/>
        <v>6</v>
      </c>
      <c r="CN141" s="341">
        <f t="shared" si="220"/>
        <v>7</v>
      </c>
      <c r="CO141" s="341">
        <f t="shared" si="220"/>
        <v>8</v>
      </c>
      <c r="CP141" s="341">
        <f t="shared" si="220"/>
        <v>9</v>
      </c>
      <c r="CQ141" s="341">
        <f t="shared" si="220"/>
        <v>10</v>
      </c>
      <c r="CT141" s="353"/>
      <c r="CU141" s="353"/>
      <c r="CV141" s="353"/>
      <c r="CW141" s="353" t="b">
        <f t="shared" si="208"/>
        <v>0</v>
      </c>
      <c r="CX141" s="353" t="b">
        <f t="shared" si="209"/>
        <v>0</v>
      </c>
      <c r="CY141" s="353" t="b">
        <f t="shared" si="210"/>
        <v>1</v>
      </c>
      <c r="DC141" s="347">
        <f t="shared" si="211"/>
        <v>1</v>
      </c>
      <c r="DD141" s="353" t="b">
        <f t="shared" si="212"/>
        <v>0</v>
      </c>
      <c r="DE141" s="353" t="b">
        <f t="shared" si="213"/>
        <v>0</v>
      </c>
      <c r="DF141" s="353" t="b">
        <f t="shared" si="214"/>
        <v>1</v>
      </c>
      <c r="DG141" s="353"/>
      <c r="DH141" s="353"/>
      <c r="DI141" s="353"/>
      <c r="DJ141" s="353"/>
      <c r="DK141" s="353">
        <f t="shared" si="215"/>
        <v>1</v>
      </c>
      <c r="DM141" s="341">
        <f t="shared" si="216"/>
        <v>0</v>
      </c>
    </row>
    <row r="142" spans="2:117" x14ac:dyDescent="0.25">
      <c r="B142" s="373" t="str">
        <f t="shared" si="218"/>
        <v/>
      </c>
      <c r="C142" s="373"/>
      <c r="D142" s="373"/>
      <c r="E142" s="373"/>
      <c r="F142" s="374"/>
      <c r="G142" s="375"/>
      <c r="H142" s="375"/>
      <c r="I142" s="375"/>
      <c r="J142" s="375"/>
      <c r="K142" s="375"/>
      <c r="L142" s="375"/>
      <c r="M142" s="375"/>
      <c r="N142" s="375"/>
      <c r="O142" s="375"/>
      <c r="P142" s="375"/>
      <c r="Q142" s="375"/>
      <c r="R142" s="375"/>
      <c r="S142" s="375"/>
      <c r="T142" s="376"/>
      <c r="U142" s="376"/>
      <c r="V142" s="376"/>
      <c r="W142" s="376"/>
      <c r="X142" s="376"/>
      <c r="Y142" s="376"/>
      <c r="Z142" s="376" t="str">
        <f t="shared" si="221"/>
        <v/>
      </c>
      <c r="AA142" s="376"/>
      <c r="AB142" s="376"/>
      <c r="AC142" s="376"/>
      <c r="AD142" s="376"/>
      <c r="AE142" s="376"/>
      <c r="AF142" s="376"/>
      <c r="AG142" s="376"/>
      <c r="AH142" s="376" t="str">
        <f t="shared" si="223"/>
        <v/>
      </c>
      <c r="AI142" s="376"/>
      <c r="AJ142" s="376"/>
      <c r="AK142" s="373" t="str">
        <f t="shared" si="171"/>
        <v/>
      </c>
      <c r="AL142" s="373"/>
      <c r="AM142" s="373"/>
      <c r="AN142" s="373"/>
      <c r="AO142" s="373"/>
      <c r="AP142" s="377" t="str">
        <f t="shared" si="217"/>
        <v/>
      </c>
      <c r="AQ142" s="378"/>
      <c r="AR142" s="341">
        <f t="shared" si="172"/>
        <v>0</v>
      </c>
      <c r="AS142" s="341" t="str">
        <f t="shared" si="219"/>
        <v/>
      </c>
      <c r="AT142" s="341" t="str">
        <f t="shared" si="219"/>
        <v/>
      </c>
      <c r="AU142" s="361">
        <f t="shared" si="173"/>
        <v>0</v>
      </c>
      <c r="AV142" s="361">
        <f t="shared" si="174"/>
        <v>0</v>
      </c>
      <c r="AW142" s="361">
        <f t="shared" si="175"/>
        <v>0</v>
      </c>
      <c r="AX142" s="361">
        <f t="shared" si="176"/>
        <v>0</v>
      </c>
      <c r="AY142" s="361">
        <f t="shared" si="177"/>
        <v>0</v>
      </c>
      <c r="AZ142" s="361">
        <f t="shared" si="178"/>
        <v>0</v>
      </c>
      <c r="BA142" s="361">
        <f t="shared" si="179"/>
        <v>0</v>
      </c>
      <c r="BB142" s="361">
        <f t="shared" si="180"/>
        <v>0</v>
      </c>
      <c r="BC142" s="361">
        <f t="shared" si="181"/>
        <v>0</v>
      </c>
      <c r="BD142" s="361">
        <f t="shared" si="182"/>
        <v>0</v>
      </c>
      <c r="BE142" s="361">
        <f t="shared" si="183"/>
        <v>0</v>
      </c>
      <c r="BF142" s="361">
        <f t="shared" si="184"/>
        <v>0</v>
      </c>
      <c r="BG142" s="361">
        <f t="shared" si="185"/>
        <v>0</v>
      </c>
      <c r="BH142" s="361">
        <f t="shared" si="186"/>
        <v>0</v>
      </c>
      <c r="BI142" s="361">
        <f t="shared" si="187"/>
        <v>0</v>
      </c>
      <c r="BJ142" s="361">
        <f t="shared" si="188"/>
        <v>0</v>
      </c>
      <c r="BK142" s="361">
        <f t="shared" si="189"/>
        <v>0</v>
      </c>
      <c r="BL142" s="361">
        <f t="shared" si="190"/>
        <v>0</v>
      </c>
      <c r="BM142" s="361">
        <f t="shared" si="191"/>
        <v>0</v>
      </c>
      <c r="BN142" s="361">
        <f t="shared" si="192"/>
        <v>1</v>
      </c>
      <c r="BO142" s="361">
        <f t="shared" si="193"/>
        <v>0</v>
      </c>
      <c r="BP142" s="361">
        <f t="shared" si="194"/>
        <v>1</v>
      </c>
      <c r="BQ142" s="361">
        <f t="shared" si="195"/>
        <v>1</v>
      </c>
      <c r="BR142" s="361">
        <f t="shared" si="196"/>
        <v>1</v>
      </c>
      <c r="BS142" s="361">
        <f t="shared" si="197"/>
        <v>1</v>
      </c>
      <c r="BT142" s="361">
        <f t="shared" si="198"/>
        <v>1</v>
      </c>
      <c r="BU142" s="361">
        <f t="shared" si="199"/>
        <v>1</v>
      </c>
      <c r="BV142" s="361">
        <f t="shared" si="200"/>
        <v>1</v>
      </c>
      <c r="BW142" s="361">
        <f t="shared" si="201"/>
        <v>1</v>
      </c>
      <c r="BX142" s="361">
        <f t="shared" si="202"/>
        <v>1</v>
      </c>
      <c r="BY142" s="361">
        <f t="shared" si="203"/>
        <v>1</v>
      </c>
      <c r="BZ142" s="361">
        <f t="shared" si="204"/>
        <v>1</v>
      </c>
      <c r="CA142" s="361">
        <f t="shared" si="205"/>
        <v>1</v>
      </c>
      <c r="CB142" s="361">
        <f t="shared" si="206"/>
        <v>1</v>
      </c>
      <c r="CC142" s="361">
        <f t="shared" si="207"/>
        <v>1</v>
      </c>
      <c r="CH142" s="341" t="str">
        <f t="shared" si="220"/>
        <v/>
      </c>
      <c r="CI142" s="341" t="str">
        <f t="shared" si="220"/>
        <v/>
      </c>
      <c r="CJ142" s="341" t="str">
        <f t="shared" si="220"/>
        <v/>
      </c>
      <c r="CK142" s="341" t="str">
        <f t="shared" si="220"/>
        <v/>
      </c>
      <c r="CL142" s="341" t="str">
        <f t="shared" si="220"/>
        <v/>
      </c>
      <c r="CM142" s="341" t="str">
        <f t="shared" si="220"/>
        <v/>
      </c>
      <c r="CN142" s="341" t="str">
        <f t="shared" si="220"/>
        <v/>
      </c>
      <c r="CO142" s="341" t="str">
        <f t="shared" si="220"/>
        <v/>
      </c>
      <c r="CP142" s="341" t="str">
        <f t="shared" si="220"/>
        <v/>
      </c>
      <c r="CQ142" s="341" t="str">
        <f t="shared" si="220"/>
        <v/>
      </c>
      <c r="CT142" s="353"/>
      <c r="CU142" s="353"/>
      <c r="CV142" s="353"/>
      <c r="CW142" s="353" t="b">
        <f t="shared" si="208"/>
        <v>0</v>
      </c>
      <c r="CX142" s="353" t="b">
        <f t="shared" si="209"/>
        <v>0</v>
      </c>
      <c r="CY142" s="353" t="b">
        <f t="shared" si="210"/>
        <v>1</v>
      </c>
      <c r="DC142" s="347">
        <f t="shared" si="211"/>
        <v>1</v>
      </c>
      <c r="DD142" s="353" t="b">
        <f t="shared" si="212"/>
        <v>0</v>
      </c>
      <c r="DE142" s="353" t="b">
        <f t="shared" si="213"/>
        <v>0</v>
      </c>
      <c r="DF142" s="353" t="b">
        <f t="shared" si="214"/>
        <v>1</v>
      </c>
      <c r="DG142" s="353"/>
      <c r="DH142" s="353"/>
      <c r="DI142" s="353"/>
      <c r="DJ142" s="353"/>
      <c r="DK142" s="353">
        <f t="shared" si="215"/>
        <v>1</v>
      </c>
      <c r="DM142" s="341" t="str">
        <f t="shared" si="216"/>
        <v/>
      </c>
    </row>
  </sheetData>
  <sheetProtection algorithmName="SHA-512" hashValue="ugW0YAvl7bXleXAbLQYssaKTZnMjZ5nkhEw88o0daz27jaVQBZ3fDvpfYZtsLCWoDZSDTfL2i/U9C/nw7XkTkg==" saltValue="nclNAL/vGq3arsdhD/dItw==" spinCount="100000" sheet="1" scenarios="1" formatColumns="0" formatRows="0" autoFilter="0"/>
  <mergeCells count="14">
    <mergeCell ref="AO29:AO30"/>
    <mergeCell ref="AP29:AP30"/>
    <mergeCell ref="Z29:Z30"/>
    <mergeCell ref="B1:AQ1"/>
    <mergeCell ref="B29:B30"/>
    <mergeCell ref="C29:C30"/>
    <mergeCell ref="D29:D30"/>
    <mergeCell ref="E29:E30"/>
    <mergeCell ref="F29:F30"/>
    <mergeCell ref="AF29:AF30"/>
    <mergeCell ref="AK29:AK30"/>
    <mergeCell ref="AM29:AM30"/>
    <mergeCell ref="AN29:AN30"/>
    <mergeCell ref="AH29:AH30"/>
  </mergeCells>
  <conditionalFormatting sqref="G31:P47 AH31:AQ142 I32:R32 G33:R34 R35:R130 R141:R142">
    <cfRule type="expression" dxfId="360" priority="1260">
      <formula>G31&lt;G$5</formula>
    </cfRule>
  </conditionalFormatting>
  <conditionalFormatting sqref="G38:P95 G96:Q96 G97:P104 G105:Q105 G106:P106 G107:Q110 G111:P113 G114:Q114 G115:P130 G131:R140 S132:Y140 G141:P142 Q31:R34">
    <cfRule type="expression" dxfId="359" priority="63">
      <formula>G31&lt;G$5</formula>
    </cfRule>
  </conditionalFormatting>
  <conditionalFormatting sqref="G35:Q130 G131:R140 S132:Y140 G141:Y142">
    <cfRule type="expression" dxfId="358" priority="4">
      <formula>$F35=""</formula>
    </cfRule>
  </conditionalFormatting>
  <conditionalFormatting sqref="G35:Q130 G131:R142 S132:Y142">
    <cfRule type="expression" dxfId="357" priority="5">
      <formula>G$30&lt;&gt;""</formula>
    </cfRule>
  </conditionalFormatting>
  <conditionalFormatting sqref="G35:Q130 G141:Y142 G131:R140 S132:Y140">
    <cfRule type="expression" dxfId="356" priority="3" stopIfTrue="1">
      <formula>AND($F35="",G35&lt;&gt;"")</formula>
    </cfRule>
  </conditionalFormatting>
  <conditionalFormatting sqref="G31:R34 B31:E142 AF31:AQ142 R35:R130 T58:T59">
    <cfRule type="expression" dxfId="355" priority="1258">
      <formula>B$30&lt;&gt;""</formula>
    </cfRule>
    <cfRule type="expression" dxfId="354" priority="1257">
      <formula>$F31=""</formula>
    </cfRule>
  </conditionalFormatting>
  <conditionalFormatting sqref="G4:AL4">
    <cfRule type="cellIs" dxfId="353" priority="1254" operator="equal">
      <formula>99</formula>
    </cfRule>
  </conditionalFormatting>
  <conditionalFormatting sqref="G5:AL5">
    <cfRule type="expression" dxfId="352" priority="1253">
      <formula>AND(G4=1,ISBLANK(G5))</formula>
    </cfRule>
  </conditionalFormatting>
  <conditionalFormatting sqref="Q35:Q130 Q141:S142">
    <cfRule type="expression" dxfId="351" priority="2">
      <formula>Q35&lt;Q$5</formula>
    </cfRule>
  </conditionalFormatting>
  <conditionalFormatting sqref="R35:R130">
    <cfRule type="expression" dxfId="350" priority="1250">
      <formula>R35&lt;R$5</formula>
    </cfRule>
  </conditionalFormatting>
  <conditionalFormatting sqref="R61">
    <cfRule type="expression" dxfId="349" priority="21">
      <formula>R61&lt;R$5</formula>
    </cfRule>
    <cfRule type="expression" dxfId="348" priority="22" stopIfTrue="1">
      <formula>AND($F61="",R61&lt;&gt;"")</formula>
    </cfRule>
    <cfRule type="expression" dxfId="347" priority="23">
      <formula>$F61=""</formula>
    </cfRule>
    <cfRule type="expression" dxfId="346" priority="24">
      <formula>R$30&lt;&gt;""</formula>
    </cfRule>
  </conditionalFormatting>
  <conditionalFormatting sqref="S31:S70">
    <cfRule type="expression" dxfId="345" priority="243">
      <formula>S31&lt;S$5</formula>
    </cfRule>
  </conditionalFormatting>
  <conditionalFormatting sqref="S50:S59">
    <cfRule type="expression" dxfId="344" priority="299">
      <formula>S$30&lt;&gt;""</formula>
    </cfRule>
    <cfRule type="expression" dxfId="343" priority="298">
      <formula>$F50=""</formula>
    </cfRule>
    <cfRule type="expression" dxfId="342" priority="297" stopIfTrue="1">
      <formula>AND($F50="",S50&lt;&gt;"")</formula>
    </cfRule>
  </conditionalFormatting>
  <conditionalFormatting sqref="S75:S90">
    <cfRule type="expression" dxfId="341" priority="449">
      <formula>S75&lt;S$5</formula>
    </cfRule>
  </conditionalFormatting>
  <conditionalFormatting sqref="S101:S131">
    <cfRule type="expression" dxfId="340" priority="53">
      <formula>S101&lt;S$5</formula>
    </cfRule>
  </conditionalFormatting>
  <conditionalFormatting sqref="S118">
    <cfRule type="expression" dxfId="339" priority="54" stopIfTrue="1">
      <formula>AND($F118="",S118&lt;&gt;"")</formula>
    </cfRule>
    <cfRule type="expression" dxfId="338" priority="55">
      <formula>$F118=""</formula>
    </cfRule>
    <cfRule type="expression" dxfId="337" priority="56">
      <formula>S$30&lt;&gt;""</formula>
    </cfRule>
  </conditionalFormatting>
  <conditionalFormatting sqref="S60:T62">
    <cfRule type="expression" dxfId="336" priority="333">
      <formula>S$30&lt;&gt;""</formula>
    </cfRule>
    <cfRule type="expression" dxfId="335" priority="332">
      <formula>$F60=""</formula>
    </cfRule>
    <cfRule type="expression" dxfId="334" priority="331" stopIfTrue="1">
      <formula>AND($F60="",S60&lt;&gt;"")</formula>
    </cfRule>
  </conditionalFormatting>
  <conditionalFormatting sqref="S90:T90">
    <cfRule type="expression" dxfId="333" priority="452">
      <formula>S$30&lt;&gt;""</formula>
    </cfRule>
    <cfRule type="expression" dxfId="332" priority="451">
      <formula>$F90=""</formula>
    </cfRule>
    <cfRule type="expression" dxfId="331" priority="450" stopIfTrue="1">
      <formula>AND($F90="",S90&lt;&gt;"")</formula>
    </cfRule>
  </conditionalFormatting>
  <conditionalFormatting sqref="S6:Y6">
    <cfRule type="expression" dxfId="330" priority="46">
      <formula>AND(S5=1,ISBLANK(S6))</formula>
    </cfRule>
  </conditionalFormatting>
  <conditionalFormatting sqref="S31:Y47">
    <cfRule type="expression" dxfId="329" priority="1165">
      <formula>$F31=""</formula>
    </cfRule>
    <cfRule type="expression" dxfId="328" priority="1164" stopIfTrue="1">
      <formula>AND($F31="",S31&lt;&gt;"")</formula>
    </cfRule>
    <cfRule type="expression" dxfId="327" priority="1166">
      <formula>S$30&lt;&gt;""</formula>
    </cfRule>
  </conditionalFormatting>
  <conditionalFormatting sqref="S48:Y49">
    <cfRule type="expression" dxfId="326" priority="234" stopIfTrue="1">
      <formula>AND($F48="",S48&lt;&gt;"")</formula>
    </cfRule>
    <cfRule type="expression" dxfId="325" priority="235">
      <formula>$F48=""</formula>
    </cfRule>
    <cfRule type="expression" dxfId="324" priority="236">
      <formula>S$30&lt;&gt;""</formula>
    </cfRule>
  </conditionalFormatting>
  <conditionalFormatting sqref="S63:Y70">
    <cfRule type="expression" dxfId="323" priority="270" stopIfTrue="1">
      <formula>AND($F63="",S63&lt;&gt;"")</formula>
    </cfRule>
    <cfRule type="expression" dxfId="322" priority="271">
      <formula>$F63=""</formula>
    </cfRule>
    <cfRule type="expression" dxfId="321" priority="272">
      <formula>S$30&lt;&gt;""</formula>
    </cfRule>
  </conditionalFormatting>
  <conditionalFormatting sqref="S71:Y72">
    <cfRule type="expression" dxfId="320" priority="254">
      <formula>$F71=""</formula>
    </cfRule>
    <cfRule type="expression" dxfId="319" priority="255">
      <formula>S$30&lt;&gt;""</formula>
    </cfRule>
    <cfRule type="expression" dxfId="318" priority="253" stopIfTrue="1">
      <formula>AND($F71="",S71&lt;&gt;"")</formula>
    </cfRule>
  </conditionalFormatting>
  <conditionalFormatting sqref="S71:Y74">
    <cfRule type="expression" dxfId="317" priority="252">
      <formula>S71&lt;S$5</formula>
    </cfRule>
  </conditionalFormatting>
  <conditionalFormatting sqref="S73:Y89">
    <cfRule type="expression" dxfId="316" priority="649" stopIfTrue="1">
      <formula>AND($F73="",S73&lt;&gt;"")</formula>
    </cfRule>
    <cfRule type="expression" dxfId="315" priority="651">
      <formula>S$30&lt;&gt;""</formula>
    </cfRule>
    <cfRule type="expression" dxfId="314" priority="650">
      <formula>$F73=""</formula>
    </cfRule>
  </conditionalFormatting>
  <conditionalFormatting sqref="S91:Y100">
    <cfRule type="expression" dxfId="313" priority="464">
      <formula>S$30&lt;&gt;""</formula>
    </cfRule>
    <cfRule type="expression" dxfId="312" priority="463">
      <formula>$F91=""</formula>
    </cfRule>
    <cfRule type="expression" dxfId="311" priority="462" stopIfTrue="1">
      <formula>AND($F91="",S91&lt;&gt;"")</formula>
    </cfRule>
    <cfRule type="expression" dxfId="310" priority="461">
      <formula>S91&lt;S$5</formula>
    </cfRule>
  </conditionalFormatting>
  <conditionalFormatting sqref="S101:Y102">
    <cfRule type="expression" dxfId="309" priority="307" stopIfTrue="1">
      <formula>AND($F101="",S101&lt;&gt;"")</formula>
    </cfRule>
    <cfRule type="expression" dxfId="308" priority="308">
      <formula>$F101=""</formula>
    </cfRule>
    <cfRule type="expression" dxfId="307" priority="309">
      <formula>S$30&lt;&gt;""</formula>
    </cfRule>
  </conditionalFormatting>
  <conditionalFormatting sqref="S103:Y104">
    <cfRule type="expression" dxfId="306" priority="396">
      <formula>S$30&lt;&gt;""</formula>
    </cfRule>
    <cfRule type="expression" dxfId="305" priority="394" stopIfTrue="1">
      <formula>AND($F103="",S103&lt;&gt;"")</formula>
    </cfRule>
    <cfRule type="expression" dxfId="304" priority="395">
      <formula>$F103=""</formula>
    </cfRule>
  </conditionalFormatting>
  <conditionalFormatting sqref="S105:Y117">
    <cfRule type="expression" dxfId="303" priority="67">
      <formula>$F105=""</formula>
    </cfRule>
    <cfRule type="expression" dxfId="302" priority="66" stopIfTrue="1">
      <formula>AND($F105="",S105&lt;&gt;"")</formula>
    </cfRule>
    <cfRule type="expression" dxfId="301" priority="68">
      <formula>S$30&lt;&gt;""</formula>
    </cfRule>
  </conditionalFormatting>
  <conditionalFormatting sqref="T58:T61">
    <cfRule type="expression" dxfId="300" priority="340">
      <formula>T58&lt;T$5</formula>
    </cfRule>
  </conditionalFormatting>
  <conditionalFormatting sqref="T62 T63:Y70">
    <cfRule type="expression" dxfId="299" priority="269">
      <formula>T62&lt;T$5</formula>
    </cfRule>
  </conditionalFormatting>
  <conditionalFormatting sqref="T90">
    <cfRule type="expression" dxfId="298" priority="459">
      <formula>T90&lt;T$5</formula>
    </cfRule>
  </conditionalFormatting>
  <conditionalFormatting sqref="T31:Y47">
    <cfRule type="expression" dxfId="297" priority="1168">
      <formula>T31&lt;T$5</formula>
    </cfRule>
  </conditionalFormatting>
  <conditionalFormatting sqref="T48:Y49">
    <cfRule type="expression" dxfId="296" priority="238">
      <formula>T48&lt;T$5</formula>
    </cfRule>
  </conditionalFormatting>
  <conditionalFormatting sqref="T50:Y54">
    <cfRule type="expression" dxfId="295" priority="1130">
      <formula>$F50=""</formula>
    </cfRule>
    <cfRule type="expression" dxfId="294" priority="1131">
      <formula>T$30&lt;&gt;""</formula>
    </cfRule>
    <cfRule type="expression" dxfId="293" priority="1133">
      <formula>T50&lt;T$5</formula>
    </cfRule>
    <cfRule type="expression" dxfId="292" priority="1129" stopIfTrue="1">
      <formula>AND($F50="",T50&lt;&gt;"")</formula>
    </cfRule>
  </conditionalFormatting>
  <conditionalFormatting sqref="T53:Y53 S119:Y131">
    <cfRule type="expression" dxfId="291" priority="1224" stopIfTrue="1">
      <formula>AND($F53="",S53&lt;&gt;"")</formula>
    </cfRule>
    <cfRule type="expression" dxfId="290" priority="1225">
      <formula>$F53=""</formula>
    </cfRule>
    <cfRule type="expression" dxfId="289" priority="1226">
      <formula>S$30&lt;&gt;""</formula>
    </cfRule>
  </conditionalFormatting>
  <conditionalFormatting sqref="T53:Y53 T119:Y131 T141:Y142">
    <cfRule type="expression" dxfId="288" priority="1228">
      <formula>T53&lt;T$5</formula>
    </cfRule>
  </conditionalFormatting>
  <conditionalFormatting sqref="T54:Y55">
    <cfRule type="expression" dxfId="287" priority="1119" stopIfTrue="1">
      <formula>AND($F54="",T54&lt;&gt;"")</formula>
    </cfRule>
    <cfRule type="expression" dxfId="286" priority="1120">
      <formula>$F54=""</formula>
    </cfRule>
    <cfRule type="expression" dxfId="285" priority="1121">
      <formula>T$30&lt;&gt;""</formula>
    </cfRule>
    <cfRule type="expression" dxfId="284" priority="1123">
      <formula>T54&lt;T$5</formula>
    </cfRule>
  </conditionalFormatting>
  <conditionalFormatting sqref="T55:Y57">
    <cfRule type="expression" dxfId="283" priority="294">
      <formula>T55&lt;T$5</formula>
    </cfRule>
    <cfRule type="expression" dxfId="282" priority="292">
      <formula>T$30&lt;&gt;""</formula>
    </cfRule>
    <cfRule type="expression" dxfId="281" priority="291">
      <formula>$F55=""</formula>
    </cfRule>
  </conditionalFormatting>
  <conditionalFormatting sqref="T55:Y59">
    <cfRule type="expression" dxfId="280" priority="290" stopIfTrue="1">
      <formula>AND($F55="",T55&lt;&gt;"")</formula>
    </cfRule>
  </conditionalFormatting>
  <conditionalFormatting sqref="T56:Y56">
    <cfRule type="expression" dxfId="279" priority="285" stopIfTrue="1">
      <formula>AND($F56="",T56&lt;&gt;"")</formula>
    </cfRule>
    <cfRule type="expression" dxfId="278" priority="286">
      <formula>$F56=""</formula>
    </cfRule>
    <cfRule type="expression" dxfId="277" priority="289">
      <formula>T56&lt;T$5</formula>
    </cfRule>
    <cfRule type="expression" dxfId="276" priority="287">
      <formula>T$30&lt;&gt;""</formula>
    </cfRule>
  </conditionalFormatting>
  <conditionalFormatting sqref="T75:Y75">
    <cfRule type="expression" dxfId="275" priority="906">
      <formula>T75&lt;T$5</formula>
    </cfRule>
  </conditionalFormatting>
  <conditionalFormatting sqref="T76:Y89">
    <cfRule type="expression" dxfId="274" priority="648">
      <formula>T76&lt;T$5</formula>
    </cfRule>
  </conditionalFormatting>
  <conditionalFormatting sqref="T101:Y104">
    <cfRule type="expression" dxfId="273" priority="311">
      <formula>T101&lt;T$5</formula>
    </cfRule>
  </conditionalFormatting>
  <conditionalFormatting sqref="T105:Y109">
    <cfRule type="expression" dxfId="272" priority="204">
      <formula>T105&lt;T$5</formula>
    </cfRule>
  </conditionalFormatting>
  <conditionalFormatting sqref="T110:Y118">
    <cfRule type="expression" dxfId="271" priority="48">
      <formula>T110&lt;T$5</formula>
    </cfRule>
  </conditionalFormatting>
  <conditionalFormatting sqref="T118:Y118">
    <cfRule type="expression" dxfId="270" priority="51">
      <formula>T$30&lt;&gt;""</formula>
    </cfRule>
    <cfRule type="expression" dxfId="269" priority="50">
      <formula>$F118=""</formula>
    </cfRule>
    <cfRule type="expression" dxfId="268" priority="49" stopIfTrue="1">
      <formula>AND($F118="",T118&lt;&gt;"")</formula>
    </cfRule>
  </conditionalFormatting>
  <conditionalFormatting sqref="U58:Y58">
    <cfRule type="expression" dxfId="267" priority="1113">
      <formula>U58&lt;U$5</formula>
    </cfRule>
    <cfRule type="expression" dxfId="266" priority="1110">
      <formula>$F58=""</formula>
    </cfRule>
    <cfRule type="expression" dxfId="265" priority="1111">
      <formula>U$30&lt;&gt;""</formula>
    </cfRule>
    <cfRule type="expression" dxfId="264" priority="1109" stopIfTrue="1">
      <formula>AND($F58="",U58&lt;&gt;"")</formula>
    </cfRule>
  </conditionalFormatting>
  <conditionalFormatting sqref="U58:Y62">
    <cfRule type="expression" dxfId="263" priority="325">
      <formula>$F58=""</formula>
    </cfRule>
    <cfRule type="expression" dxfId="262" priority="326">
      <formula>U$30&lt;&gt;""</formula>
    </cfRule>
    <cfRule type="expression" dxfId="261" priority="328">
      <formula>U58&lt;U$5</formula>
    </cfRule>
  </conditionalFormatting>
  <conditionalFormatting sqref="U60:Y62">
    <cfRule type="expression" dxfId="260" priority="324" stopIfTrue="1">
      <formula>AND($F60="",U60&lt;&gt;"")</formula>
    </cfRule>
  </conditionalFormatting>
  <conditionalFormatting sqref="U90:Y90">
    <cfRule type="expression" dxfId="259" priority="445">
      <formula>U$30&lt;&gt;""</formula>
    </cfRule>
    <cfRule type="expression" dxfId="258" priority="447">
      <formula>U90&lt;U$5</formula>
    </cfRule>
    <cfRule type="expression" dxfId="257" priority="443" stopIfTrue="1">
      <formula>AND($F90="",U90&lt;&gt;"")</formula>
    </cfRule>
    <cfRule type="expression" dxfId="256" priority="444">
      <formula>$F90=""</formula>
    </cfRule>
  </conditionalFormatting>
  <conditionalFormatting sqref="Z31:AE142">
    <cfRule type="expression" dxfId="255" priority="37">
      <formula>$F31=""</formula>
    </cfRule>
    <cfRule type="expression" dxfId="254" priority="36" stopIfTrue="1">
      <formula>AND($F31="",Z31&lt;&gt;"")</formula>
    </cfRule>
    <cfRule type="expression" dxfId="253" priority="38">
      <formula>Z$30&lt;&gt;""</formula>
    </cfRule>
  </conditionalFormatting>
  <conditionalFormatting sqref="Z31:AG142">
    <cfRule type="expression" dxfId="252" priority="40">
      <formula>Z31&lt;Z$5</formula>
    </cfRule>
  </conditionalFormatting>
  <conditionalFormatting sqref="AA6:AE6">
    <cfRule type="expression" dxfId="251" priority="26">
      <formula>AND(AA5=1,ISBLANK(AA6))</formula>
    </cfRule>
  </conditionalFormatting>
  <conditionalFormatting sqref="AB31:AE142">
    <cfRule type="expression" dxfId="250" priority="28">
      <formula>$AA31=1</formula>
    </cfRule>
  </conditionalFormatting>
  <conditionalFormatting sqref="AE31:AE142">
    <cfRule type="expression" dxfId="249" priority="27">
      <formula>$AB31="לא"</formula>
    </cfRule>
  </conditionalFormatting>
  <conditionalFormatting sqref="AF31:AQ142 R35:R130 G31:R34 B31:E142">
    <cfRule type="expression" dxfId="248" priority="1256" stopIfTrue="1">
      <formula>AND($F31="",B31&lt;&gt;"")</formula>
    </cfRule>
  </conditionalFormatting>
  <conditionalFormatting sqref="AH6">
    <cfRule type="expression" dxfId="247" priority="25">
      <formula>AND(AH5=1,ISBLANK(AH6))</formula>
    </cfRule>
  </conditionalFormatting>
  <conditionalFormatting sqref="AP31:AP142">
    <cfRule type="cellIs" dxfId="246" priority="1255" operator="equal">
      <formula>1</formula>
    </cfRule>
  </conditionalFormatting>
  <dataValidations count="7">
    <dataValidation type="list" allowBlank="1" showInputMessage="1" showErrorMessage="1" errorTitle="נתון שגוי" error="ניתן להזין רק 0 או 1_x000d__x000a_0= התנאי אינו מתקיים_x000d__x000a_1= התנאי מתקיים" sqref="G31 H31:S142 G33:G142" xr:uid="{00000000-0002-0000-0300-000000000000}">
      <formula1>$AS31:$AT31</formula1>
    </dataValidation>
    <dataValidation type="list" allowBlank="1" showInputMessage="1" showErrorMessage="1" errorTitle="נתון שגוי." error="ניתן להזין רק 0 או 1._x000a_0 = לא עומד בתנאי._x000a_1 = עומד בתנאי." sqref="AA31:AA142 AH31:AJ142 AC31:AE142 T31:Y142 AL31:AL142" xr:uid="{00000000-0002-0000-0300-000001000000}">
      <formula1>$AS31:$AT31</formula1>
    </dataValidation>
    <dataValidation type="list" allowBlank="1" showInputMessage="1" showErrorMessage="1" errorTitle="נתון שגוי." error="ניתן להזין רק 0 או 1._x000a_0 = לא עומד בתנאי._x000a_1 = עומד בתנאי." sqref="AK31:AK142" xr:uid="{00000000-0002-0000-0300-000002000000}">
      <formula1>$AS$31:$AT$31</formula1>
    </dataValidation>
    <dataValidation allowBlank="1" showInputMessage="1" showErrorMessage="1" errorTitle="נתון שגוי." error="ניתן להזין רק 0 או 1._x000a_0 = לא עומד בתנאי._x000a_1 = עומד בתנאי." sqref="AM31:AO142 G32 Z31:Z142" xr:uid="{00000000-0002-0000-0300-000003000000}"/>
    <dataValidation type="list" allowBlank="1" showInputMessage="1" showErrorMessage="1" sqref="G4:AK4" xr:uid="{00000000-0002-0000-0300-000004000000}">
      <formula1>"1,0,99"</formula1>
    </dataValidation>
    <dataValidation type="list" allowBlank="1" showInputMessage="1" showErrorMessage="1" sqref="AL30 AI30:AJ30 G30:Y30 AA30:AE30 AG30" xr:uid="{00000000-0002-0000-0300-000005000000}">
      <formula1>OFFSET($AV$1,0,0,1,COUNTA($AV$1:$CF$1))</formula1>
    </dataValidation>
    <dataValidation type="list" allowBlank="1" showInputMessage="1" showErrorMessage="1" errorTitle="נתון שגוי." error="ניתן להזין רק 0 או 1._x000a_0 = לא עומד בתנאי._x000a_1 = עומד בתנאי." sqref="AB31:AB142" xr:uid="{00000000-0002-0000-0300-000006000000}">
      <formula1>$BH$1:$BI$1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26" orientation="portrait" r:id="rId1"/>
  <headerFooter>
    <oddHeader>&amp;C&amp;Uמבחנים לתמיכה של משרד התרבות והספורט</oddHeader>
    <oddFooter>&amp;Lא. חפץ ושות'
יעוץ כלכלי&amp;C&amp;P</oddFooter>
  </headerFooter>
  <colBreaks count="1" manualBreakCount="1">
    <brk id="12" max="1048575" man="1"/>
  </colBreaks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1259" operator="containsText" id="{696860CC-ED00-47CB-85C2-7205135FAEF5}">
            <xm:f>NOT(ISERROR(SEARCH($AS$1,B31)))</xm:f>
            <xm:f>$AS$1</xm:f>
            <x14:dxf>
              <fill>
                <patternFill>
                  <bgColor rgb="FFFF0000"/>
                </patternFill>
              </fill>
            </x14:dxf>
          </x14:cfRule>
          <xm:sqref>G31:P47 B31:E142 AH31:AQ142 I32:R32 G33:R34 R35:R130 T58:T61 T53:Y53 S119:Y131 S61:S62 S50:S55 S57:Y57</xm:sqref>
        </x14:conditionalFormatting>
        <x14:conditionalFormatting xmlns:xm="http://schemas.microsoft.com/office/excel/2006/main">
          <x14:cfRule type="containsText" priority="62" operator="containsText" id="{F5C979DC-2E79-4C3F-8DEF-BC78941E4117}">
            <xm:f>NOT(ISERROR(SEARCH($AS$1,G31)))</xm:f>
            <xm:f>$AS$1</xm:f>
            <x14:dxf>
              <fill>
                <patternFill>
                  <bgColor rgb="FFFF0000"/>
                </patternFill>
              </fill>
            </x14:dxf>
          </x14:cfRule>
          <xm:sqref>G38:P95 G96:Q96 G97:P104 G105:Q105 G106:P106 G107:Q110 G111:P113 G114:Q114 G115:P130 G131:R140 S132:Y140 G141:Y142 Q31:R34</xm:sqref>
        </x14:conditionalFormatting>
        <x14:conditionalFormatting xmlns:xm="http://schemas.microsoft.com/office/excel/2006/main">
          <x14:cfRule type="containsText" priority="1" operator="containsText" id="{7AE3BFAD-33F3-486C-8750-C573AF35E11C}">
            <xm:f>NOT(ISERROR(SEARCH($AS$1,Q35)))</xm:f>
            <xm:f>$AS$1</xm:f>
            <x14:dxf>
              <fill>
                <patternFill>
                  <bgColor rgb="FFFF0000"/>
                </patternFill>
              </fill>
            </x14:dxf>
          </x14:cfRule>
          <xm:sqref>Q35:Q130</xm:sqref>
        </x14:conditionalFormatting>
        <x14:conditionalFormatting xmlns:xm="http://schemas.microsoft.com/office/excel/2006/main">
          <x14:cfRule type="containsText" priority="1249" operator="containsText" id="{E6ECF571-E5F4-4A76-916C-2FECED70B92D}">
            <xm:f>NOT(ISERROR(SEARCH($AS$1,R35)))</xm:f>
            <xm:f>$AS$1</xm:f>
            <x14:dxf>
              <fill>
                <patternFill>
                  <bgColor rgb="FFFF0000"/>
                </patternFill>
              </fill>
            </x14:dxf>
          </x14:cfRule>
          <xm:sqref>R35:R130</xm:sqref>
        </x14:conditionalFormatting>
        <x14:conditionalFormatting xmlns:xm="http://schemas.microsoft.com/office/excel/2006/main">
          <x14:cfRule type="containsText" priority="242" operator="containsText" id="{5535148B-110B-4763-BF13-151EB78B657D}">
            <xm:f>NOT(ISERROR(SEARCH($AS$1,S31)))</xm:f>
            <xm:f>$AS$1</xm:f>
            <x14:dxf>
              <fill>
                <patternFill>
                  <bgColor rgb="FFFF0000"/>
                </patternFill>
              </fill>
            </x14:dxf>
          </x14:cfRule>
          <xm:sqref>S31:S49</xm:sqref>
        </x14:conditionalFormatting>
        <x14:conditionalFormatting xmlns:xm="http://schemas.microsoft.com/office/excel/2006/main">
          <x14:cfRule type="containsText" priority="329" operator="containsText" id="{9A5E6ED6-0AA8-4E6A-A047-E8BD1D3E4A0F}">
            <xm:f>NOT(ISERROR(SEARCH($AS$1,S58)))</xm:f>
            <xm:f>$AS$1</xm:f>
            <x14:dxf>
              <fill>
                <patternFill>
                  <bgColor rgb="FFFF0000"/>
                </patternFill>
              </fill>
            </x14:dxf>
          </x14:cfRule>
          <xm:sqref>S58:S60</xm:sqref>
        </x14:conditionalFormatting>
        <x14:conditionalFormatting xmlns:xm="http://schemas.microsoft.com/office/excel/2006/main">
          <x14:cfRule type="containsText" priority="448" operator="containsText" id="{CDC7413C-6BA4-401A-8121-737F376498BC}">
            <xm:f>NOT(ISERROR(SEARCH($AS$1,S75)))</xm:f>
            <xm:f>$AS$1</xm:f>
            <x14:dxf>
              <fill>
                <patternFill>
                  <bgColor rgb="FFFF0000"/>
                </patternFill>
              </fill>
            </x14:dxf>
          </x14:cfRule>
          <xm:sqref>S75:S90</xm:sqref>
        </x14:conditionalFormatting>
        <x14:conditionalFormatting xmlns:xm="http://schemas.microsoft.com/office/excel/2006/main">
          <x14:cfRule type="containsText" priority="52" operator="containsText" id="{07C36660-B01F-460E-A68C-114ED6E5C3D4}">
            <xm:f>NOT(ISERROR(SEARCH($AS$1,S101)))</xm:f>
            <xm:f>$AS$1</xm:f>
            <x14:dxf>
              <fill>
                <patternFill>
                  <bgColor rgb="FFFF0000"/>
                </patternFill>
              </fill>
            </x14:dxf>
          </x14:cfRule>
          <xm:sqref>S101:S118</xm:sqref>
        </x14:conditionalFormatting>
        <x14:conditionalFormatting xmlns:xm="http://schemas.microsoft.com/office/excel/2006/main">
          <x14:cfRule type="containsText" priority="293" operator="containsText" id="{54FC1F28-F10F-4CC8-9614-63685F61BCBF}">
            <xm:f>NOT(ISERROR(SEARCH($AS$1,S56)))</xm:f>
            <xm:f>$AS$1</xm:f>
            <x14:dxf>
              <fill>
                <patternFill>
                  <bgColor rgb="FFFF0000"/>
                </patternFill>
              </fill>
            </x14:dxf>
          </x14:cfRule>
          <xm:sqref>S56:Y56</xm:sqref>
        </x14:conditionalFormatting>
        <x14:conditionalFormatting xmlns:xm="http://schemas.microsoft.com/office/excel/2006/main">
          <x14:cfRule type="containsText" priority="251" operator="containsText" id="{4EE5F6DD-D5BF-4F4E-B280-F12D243A62C0}">
            <xm:f>NOT(ISERROR(SEARCH($AS$1,S63)))</xm:f>
            <xm:f>$AS$1</xm:f>
            <x14:dxf>
              <fill>
                <patternFill>
                  <bgColor rgb="FFFF0000"/>
                </patternFill>
              </fill>
            </x14:dxf>
          </x14:cfRule>
          <xm:sqref>S63:Y74</xm:sqref>
        </x14:conditionalFormatting>
        <x14:conditionalFormatting xmlns:xm="http://schemas.microsoft.com/office/excel/2006/main">
          <x14:cfRule type="containsText" priority="460" operator="containsText" id="{08D365B7-0685-4AFA-B9B4-6FB0C21B15FC}">
            <xm:f>NOT(ISERROR(SEARCH($AS$1,S91)))</xm:f>
            <xm:f>$AS$1</xm:f>
            <x14:dxf>
              <fill>
                <patternFill>
                  <bgColor rgb="FFFF0000"/>
                </patternFill>
              </fill>
            </x14:dxf>
          </x14:cfRule>
          <xm:sqref>S91:Y100</xm:sqref>
        </x14:conditionalFormatting>
        <x14:conditionalFormatting xmlns:xm="http://schemas.microsoft.com/office/excel/2006/main">
          <x14:cfRule type="containsText" priority="268" operator="containsText" id="{C3D5264A-873E-4CE9-A7C3-B1198E408876}">
            <xm:f>NOT(ISERROR(SEARCH($AS$1,T62)))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T62</xm:sqref>
        </x14:conditionalFormatting>
        <x14:conditionalFormatting xmlns:xm="http://schemas.microsoft.com/office/excel/2006/main">
          <x14:cfRule type="containsText" priority="458" operator="containsText" id="{E0958936-D158-4815-B6A1-D2CA685FF24A}">
            <xm:f>NOT(ISERROR(SEARCH($AS$1,T90)))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T90</xm:sqref>
        </x14:conditionalFormatting>
        <x14:conditionalFormatting xmlns:xm="http://schemas.microsoft.com/office/excel/2006/main">
          <x14:cfRule type="containsText" priority="1167" operator="containsText" id="{B2A4AE03-DCE4-4C65-90B9-3312480958B4}">
            <xm:f>NOT(ISERROR(SEARCH($AS$1,T31)))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T31:Y47</xm:sqref>
        </x14:conditionalFormatting>
        <x14:conditionalFormatting xmlns:xm="http://schemas.microsoft.com/office/excel/2006/main">
          <x14:cfRule type="containsText" priority="237" operator="containsText" id="{3D5120A1-D8B9-4979-B56B-9C8DB96C686F}">
            <xm:f>NOT(ISERROR(SEARCH($AS$1,T48)))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T48:Y49</xm:sqref>
        </x14:conditionalFormatting>
        <x14:conditionalFormatting xmlns:xm="http://schemas.microsoft.com/office/excel/2006/main">
          <x14:cfRule type="containsText" priority="1132" operator="containsText" id="{359C2A04-3D2C-49C2-B791-902E3DE5E654}">
            <xm:f>NOT(ISERROR(SEARCH($AS$1,T50)))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T50:Y54</xm:sqref>
        </x14:conditionalFormatting>
        <x14:conditionalFormatting xmlns:xm="http://schemas.microsoft.com/office/excel/2006/main">
          <x14:cfRule type="containsText" priority="1122" operator="containsText" id="{2E9BFCE9-0849-4187-99D2-2EB8BB99E928}">
            <xm:f>NOT(ISERROR(SEARCH($AS$1,T54)))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T54:Y55</xm:sqref>
        </x14:conditionalFormatting>
        <x14:conditionalFormatting xmlns:xm="http://schemas.microsoft.com/office/excel/2006/main">
          <x14:cfRule type="containsText" priority="1117" operator="containsText" id="{6BEBA421-B582-4A26-ABC5-FE3510D88F25}">
            <xm:f>NOT(ISERROR(SEARCH($AS$1,T55)))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T55:Y55</xm:sqref>
        </x14:conditionalFormatting>
        <x14:conditionalFormatting xmlns:xm="http://schemas.microsoft.com/office/excel/2006/main">
          <x14:cfRule type="containsText" priority="288" operator="containsText" id="{E8DB2884-5D70-4802-87E3-AEB2C0DD82F5}">
            <xm:f>NOT(ISERROR(SEARCH($AS$1,T56)))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T56:Y56</xm:sqref>
        </x14:conditionalFormatting>
        <x14:conditionalFormatting xmlns:xm="http://schemas.microsoft.com/office/excel/2006/main">
          <x14:cfRule type="containsText" priority="905" operator="containsText" id="{F5C3E3CF-D5D9-49D6-AD5C-918AC4EFD9FC}">
            <xm:f>NOT(ISERROR(SEARCH($AS$1,T75)))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T75:Y75</xm:sqref>
        </x14:conditionalFormatting>
        <x14:conditionalFormatting xmlns:xm="http://schemas.microsoft.com/office/excel/2006/main">
          <x14:cfRule type="containsText" priority="647" operator="containsText" id="{C8D5A125-E3AF-4D76-A034-BAD635433462}">
            <xm:f>NOT(ISERROR(SEARCH($AS$1,T76)))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T76:Y89</xm:sqref>
        </x14:conditionalFormatting>
        <x14:conditionalFormatting xmlns:xm="http://schemas.microsoft.com/office/excel/2006/main">
          <x14:cfRule type="containsText" priority="310" operator="containsText" id="{829B7A26-3B4D-4C78-844A-C5B2BBB7738D}">
            <xm:f>NOT(ISERROR(SEARCH($AS$1,T101)))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T101:Y104</xm:sqref>
        </x14:conditionalFormatting>
        <x14:conditionalFormatting xmlns:xm="http://schemas.microsoft.com/office/excel/2006/main">
          <x14:cfRule type="containsText" priority="203" operator="containsText" id="{A0E6A7A2-CCD4-4E12-9F9C-B04DDBE1B3E0}">
            <xm:f>NOT(ISERROR(SEARCH($AS$1,T105)))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T105:Y109</xm:sqref>
        </x14:conditionalFormatting>
        <x14:conditionalFormatting xmlns:xm="http://schemas.microsoft.com/office/excel/2006/main">
          <x14:cfRule type="containsText" priority="47" operator="containsText" id="{F50BE4E6-8A7A-4289-B418-178BFFF45288}">
            <xm:f>NOT(ISERROR(SEARCH($AS$1,T110)))</xm:f>
            <xm:f>$AS$1</xm:f>
            <x14:dxf>
              <fill>
                <patternFill>
                  <bgColor rgb="FFFF0000"/>
                </patternFill>
              </fill>
            </x14:dxf>
          </x14:cfRule>
          <xm:sqref>T110:Y118</xm:sqref>
        </x14:conditionalFormatting>
        <x14:conditionalFormatting xmlns:xm="http://schemas.microsoft.com/office/excel/2006/main">
          <x14:cfRule type="containsText" priority="1112" operator="containsText" id="{E03C1C90-57D8-4AD4-B8D7-42ED40E34C77}">
            <xm:f>NOT(ISERROR(SEARCH($AS$1,U58)))</xm:f>
            <xm:f>$AS$1</xm:f>
            <x14:dxf>
              <fill>
                <patternFill>
                  <bgColor rgb="FFFF0000"/>
                </patternFill>
              </fill>
            </x14:dxf>
          </x14:cfRule>
          <xm:sqref>U58:Y58</xm:sqref>
        </x14:conditionalFormatting>
        <x14:conditionalFormatting xmlns:xm="http://schemas.microsoft.com/office/excel/2006/main">
          <x14:cfRule type="containsText" priority="327" operator="containsText" id="{34301B2C-02E6-4FF1-9AAF-926AC1EE6393}">
            <xm:f>NOT(ISERROR(SEARCH($AS$1,U58)))</xm:f>
            <xm:f>$AS$1</xm:f>
            <x14:dxf>
              <fill>
                <patternFill>
                  <bgColor rgb="FFFF0000"/>
                </patternFill>
              </fill>
            </x14:dxf>
          </x14:cfRule>
          <xm:sqref>U58:Y62</xm:sqref>
        </x14:conditionalFormatting>
        <x14:conditionalFormatting xmlns:xm="http://schemas.microsoft.com/office/excel/2006/main">
          <x14:cfRule type="containsText" priority="446" operator="containsText" id="{9769BE95-ED6B-4197-82DA-6E9CF339B96F}">
            <xm:f>NOT(ISERROR(SEARCH($AS$1,U90)))</xm:f>
            <xm:f>$AS$1</xm:f>
            <x14:dxf>
              <fill>
                <patternFill>
                  <bgColor rgb="FFFF0000"/>
                </patternFill>
              </fill>
            </x14:dxf>
          </x14:cfRule>
          <xm:sqref>U90:Y90</xm:sqref>
        </x14:conditionalFormatting>
        <x14:conditionalFormatting xmlns:xm="http://schemas.microsoft.com/office/excel/2006/main">
          <x14:cfRule type="containsText" priority="39" operator="containsText" id="{CB7E40E9-FEDE-412A-A681-3F7AA851D1A5}">
            <xm:f>NOT(ISERROR(SEARCH($AS$1,Z31)))</xm:f>
            <xm:f>$AS$1</xm:f>
            <x14:dxf>
              <fill>
                <patternFill>
                  <bgColor rgb="FFFF0000"/>
                </patternFill>
              </fill>
            </x14:dxf>
          </x14:cfRule>
          <xm:sqref>Z31:AG142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/>
  </sheetPr>
  <dimension ref="A5:H31"/>
  <sheetViews>
    <sheetView rightToLeft="1" workbookViewId="0">
      <selection activeCell="D33" sqref="D33"/>
    </sheetView>
  </sheetViews>
  <sheetFormatPr defaultRowHeight="12.75" x14ac:dyDescent="0.2"/>
  <cols>
    <col min="2" max="2" width="16.42578125" bestFit="1" customWidth="1"/>
    <col min="3" max="3" width="19.140625" customWidth="1"/>
    <col min="4" max="4" width="58" bestFit="1" customWidth="1"/>
    <col min="5" max="5" width="49.42578125" customWidth="1"/>
    <col min="6" max="6" width="34.140625" customWidth="1"/>
    <col min="7" max="7" width="28.5703125" customWidth="1"/>
  </cols>
  <sheetData>
    <row r="5" spans="1:7" ht="25.5" x14ac:dyDescent="0.2">
      <c r="A5" t="s">
        <v>423</v>
      </c>
      <c r="B5" s="504" t="s">
        <v>72</v>
      </c>
      <c r="C5" s="504" t="s">
        <v>73</v>
      </c>
      <c r="D5" s="503" t="s">
        <v>27</v>
      </c>
      <c r="E5" s="503" t="s">
        <v>428</v>
      </c>
      <c r="F5" s="503" t="s">
        <v>430</v>
      </c>
      <c r="G5" s="513" t="s">
        <v>389</v>
      </c>
    </row>
    <row r="6" spans="1:7" x14ac:dyDescent="0.2">
      <c r="A6" t="s">
        <v>244</v>
      </c>
      <c r="B6" s="512"/>
      <c r="C6" s="512"/>
      <c r="D6" s="503" t="s">
        <v>427</v>
      </c>
    </row>
    <row r="7" spans="1:7" x14ac:dyDescent="0.2">
      <c r="A7">
        <v>2020</v>
      </c>
      <c r="B7" s="512"/>
      <c r="C7" s="512"/>
      <c r="D7" s="503" t="s">
        <v>427</v>
      </c>
    </row>
    <row r="8" spans="1:7" x14ac:dyDescent="0.2">
      <c r="A8">
        <v>2021</v>
      </c>
      <c r="B8" s="512"/>
      <c r="C8" s="512"/>
      <c r="D8" s="503" t="s">
        <v>427</v>
      </c>
    </row>
    <row r="9" spans="1:7" x14ac:dyDescent="0.2">
      <c r="A9">
        <v>2022</v>
      </c>
      <c r="B9" s="512">
        <v>0.1</v>
      </c>
      <c r="C9" s="512">
        <v>0.9</v>
      </c>
      <c r="D9" s="503" t="s">
        <v>427</v>
      </c>
      <c r="E9" s="503" t="s">
        <v>429</v>
      </c>
      <c r="F9" s="503" t="s">
        <v>431</v>
      </c>
      <c r="G9" s="503" t="s">
        <v>432</v>
      </c>
    </row>
    <row r="10" spans="1:7" x14ac:dyDescent="0.2">
      <c r="A10">
        <v>2023</v>
      </c>
      <c r="B10" s="512">
        <v>0.2</v>
      </c>
      <c r="C10" s="512">
        <v>0.8</v>
      </c>
      <c r="D10" s="503" t="s">
        <v>427</v>
      </c>
      <c r="E10" s="503" t="s">
        <v>411</v>
      </c>
      <c r="F10" s="503" t="s">
        <v>420</v>
      </c>
      <c r="G10" t="s">
        <v>422</v>
      </c>
    </row>
    <row r="11" spans="1:7" x14ac:dyDescent="0.2">
      <c r="A11">
        <v>2024</v>
      </c>
      <c r="B11" s="512">
        <v>0.2</v>
      </c>
      <c r="C11" s="512">
        <v>0.8</v>
      </c>
      <c r="D11" s="503" t="s">
        <v>402</v>
      </c>
      <c r="E11" s="503" t="s">
        <v>411</v>
      </c>
      <c r="F11" s="503" t="s">
        <v>420</v>
      </c>
      <c r="G11" t="s">
        <v>422</v>
      </c>
    </row>
    <row r="12" spans="1:7" x14ac:dyDescent="0.2">
      <c r="A12">
        <v>2025</v>
      </c>
      <c r="B12" s="512">
        <v>0.2</v>
      </c>
      <c r="C12" s="512">
        <v>0.8</v>
      </c>
      <c r="D12" s="503" t="s">
        <v>402</v>
      </c>
      <c r="E12" s="503" t="s">
        <v>411</v>
      </c>
      <c r="F12" s="503" t="s">
        <v>420</v>
      </c>
      <c r="G12" t="s">
        <v>422</v>
      </c>
    </row>
    <row r="13" spans="1:7" x14ac:dyDescent="0.2">
      <c r="A13">
        <v>2026</v>
      </c>
      <c r="B13" s="512">
        <v>0.2</v>
      </c>
      <c r="C13" s="512">
        <v>0.8</v>
      </c>
      <c r="D13" s="503" t="s">
        <v>402</v>
      </c>
      <c r="E13" s="503" t="s">
        <v>411</v>
      </c>
      <c r="F13" s="503" t="s">
        <v>420</v>
      </c>
      <c r="G13" t="s">
        <v>422</v>
      </c>
    </row>
    <row r="14" spans="1:7" x14ac:dyDescent="0.2">
      <c r="A14">
        <v>2027</v>
      </c>
      <c r="B14" s="512">
        <v>0.2</v>
      </c>
      <c r="C14" s="512">
        <v>0.8</v>
      </c>
      <c r="D14" s="503" t="s">
        <v>402</v>
      </c>
      <c r="E14" s="503" t="s">
        <v>411</v>
      </c>
      <c r="F14" s="503" t="s">
        <v>420</v>
      </c>
      <c r="G14" t="s">
        <v>422</v>
      </c>
    </row>
    <row r="15" spans="1:7" x14ac:dyDescent="0.2">
      <c r="A15">
        <v>2028</v>
      </c>
      <c r="B15" s="512">
        <v>0.2</v>
      </c>
      <c r="C15" s="512">
        <v>0.8</v>
      </c>
      <c r="D15" s="503" t="s">
        <v>402</v>
      </c>
      <c r="E15" s="503" t="s">
        <v>411</v>
      </c>
      <c r="F15" s="503" t="s">
        <v>420</v>
      </c>
      <c r="G15" t="s">
        <v>422</v>
      </c>
    </row>
    <row r="16" spans="1:7" x14ac:dyDescent="0.2">
      <c r="A16">
        <v>2029</v>
      </c>
      <c r="B16" s="512">
        <v>0.2</v>
      </c>
      <c r="C16" s="512">
        <v>0.8</v>
      </c>
      <c r="D16" s="503" t="s">
        <v>402</v>
      </c>
      <c r="E16" s="503" t="s">
        <v>411</v>
      </c>
      <c r="F16" s="503" t="s">
        <v>420</v>
      </c>
      <c r="G16" t="s">
        <v>422</v>
      </c>
    </row>
    <row r="17" spans="1:8" x14ac:dyDescent="0.2">
      <c r="A17">
        <v>2030</v>
      </c>
      <c r="B17" s="512">
        <v>0.2</v>
      </c>
      <c r="C17" s="512">
        <v>0.8</v>
      </c>
      <c r="D17" s="503" t="s">
        <v>402</v>
      </c>
      <c r="E17" s="503" t="s">
        <v>411</v>
      </c>
      <c r="F17" s="503" t="s">
        <v>420</v>
      </c>
      <c r="G17" t="s">
        <v>422</v>
      </c>
    </row>
    <row r="21" spans="1:8" ht="13.5" thickBot="1" x14ac:dyDescent="0.25"/>
    <row r="22" spans="1:8" ht="19.5" customHeight="1" thickBot="1" x14ac:dyDescent="0.25">
      <c r="A22" s="666" t="s">
        <v>50</v>
      </c>
      <c r="B22" s="667"/>
      <c r="C22" s="667"/>
      <c r="D22" s="667"/>
      <c r="E22" s="667"/>
      <c r="F22" s="667"/>
      <c r="G22" s="667"/>
      <c r="H22" s="668"/>
    </row>
    <row r="23" spans="1:8" ht="13.5" thickBot="1" x14ac:dyDescent="0.25">
      <c r="A23" s="741" t="s">
        <v>425</v>
      </c>
      <c r="B23" s="742"/>
      <c r="C23" s="742"/>
      <c r="D23" s="743"/>
      <c r="E23" s="736" t="s">
        <v>426</v>
      </c>
      <c r="F23" s="736"/>
      <c r="G23" s="736"/>
      <c r="H23" s="737"/>
    </row>
    <row r="24" spans="1:8" ht="19.5" thickBot="1" x14ac:dyDescent="0.25">
      <c r="A24" s="666" t="s">
        <v>51</v>
      </c>
      <c r="B24" s="667"/>
      <c r="C24" s="666" t="s">
        <v>9</v>
      </c>
      <c r="D24" s="668"/>
      <c r="E24" s="666" t="s">
        <v>51</v>
      </c>
      <c r="F24" s="667"/>
      <c r="G24" s="666" t="s">
        <v>9</v>
      </c>
      <c r="H24" s="668"/>
    </row>
    <row r="25" spans="1:8" ht="12.75" customHeight="1" x14ac:dyDescent="0.2">
      <c r="A25" s="688" t="s">
        <v>424</v>
      </c>
      <c r="B25" s="738" t="s">
        <v>17</v>
      </c>
      <c r="C25" s="688" t="s">
        <v>424</v>
      </c>
      <c r="D25" s="675" t="s">
        <v>17</v>
      </c>
      <c r="E25" s="688" t="s">
        <v>416</v>
      </c>
      <c r="F25" s="738" t="s">
        <v>17</v>
      </c>
      <c r="G25" s="688" t="s">
        <v>417</v>
      </c>
      <c r="H25" s="675" t="s">
        <v>17</v>
      </c>
    </row>
    <row r="26" spans="1:8" ht="13.5" thickBot="1" x14ac:dyDescent="0.25">
      <c r="A26" s="740"/>
      <c r="B26" s="739"/>
      <c r="C26" s="740"/>
      <c r="D26" s="676"/>
      <c r="E26" s="689"/>
      <c r="F26" s="739"/>
      <c r="G26" s="689"/>
      <c r="H26" s="676"/>
    </row>
    <row r="27" spans="1:8" ht="15.75" x14ac:dyDescent="0.2">
      <c r="A27" s="581">
        <v>5</v>
      </c>
      <c r="B27" s="506">
        <v>8</v>
      </c>
      <c r="C27" s="581">
        <v>5</v>
      </c>
      <c r="D27" s="507">
        <v>8</v>
      </c>
      <c r="E27" s="578">
        <v>5</v>
      </c>
      <c r="F27" s="508">
        <v>8</v>
      </c>
      <c r="G27" s="578">
        <v>5</v>
      </c>
      <c r="H27" s="496">
        <v>8</v>
      </c>
    </row>
    <row r="28" spans="1:8" ht="15.75" x14ac:dyDescent="0.2">
      <c r="A28" s="579">
        <v>4</v>
      </c>
      <c r="B28" s="509">
        <v>5</v>
      </c>
      <c r="C28" s="579">
        <v>4</v>
      </c>
      <c r="D28" s="508">
        <v>5</v>
      </c>
      <c r="E28" s="493">
        <v>4.99</v>
      </c>
      <c r="F28" s="497">
        <v>5</v>
      </c>
      <c r="G28" s="493">
        <v>4.99</v>
      </c>
      <c r="H28" s="510">
        <v>5</v>
      </c>
    </row>
    <row r="29" spans="1:8" ht="15.75" x14ac:dyDescent="0.2">
      <c r="A29" s="579">
        <v>2.99</v>
      </c>
      <c r="B29" s="509">
        <v>2</v>
      </c>
      <c r="C29" s="579">
        <v>1.99</v>
      </c>
      <c r="D29" s="508">
        <v>2</v>
      </c>
      <c r="E29" s="579">
        <v>4</v>
      </c>
      <c r="F29" s="509">
        <v>3</v>
      </c>
      <c r="G29" s="579">
        <v>4</v>
      </c>
      <c r="H29" s="508">
        <v>3</v>
      </c>
    </row>
    <row r="30" spans="1:8" ht="16.5" thickBot="1" x14ac:dyDescent="0.25">
      <c r="A30" s="494">
        <v>0</v>
      </c>
      <c r="B30" s="509">
        <v>0</v>
      </c>
      <c r="C30" s="495">
        <v>0</v>
      </c>
      <c r="D30" s="511">
        <v>0</v>
      </c>
      <c r="E30" s="494">
        <v>3.5</v>
      </c>
      <c r="F30" s="509">
        <v>2</v>
      </c>
      <c r="G30" s="494">
        <v>3.5</v>
      </c>
      <c r="H30" s="508">
        <v>2</v>
      </c>
    </row>
    <row r="31" spans="1:8" ht="16.5" thickBot="1" x14ac:dyDescent="0.25">
      <c r="E31" s="579">
        <v>2.99</v>
      </c>
      <c r="F31" s="509">
        <v>0</v>
      </c>
      <c r="G31" s="580">
        <v>1.99</v>
      </c>
      <c r="H31" s="511">
        <v>0</v>
      </c>
    </row>
  </sheetData>
  <sheetProtection algorithmName="SHA-512" hashValue="tI5qozfvb9vTfXX7UXafOsJ1hz2pSlVkZ8NQBsImwLBNU0CMEhKviIQCXrRd0tboxBFq5vNEieB3GldpFrLtKA==" saltValue="Wh6APWpPr48HJkqM57zY8Q==" spinCount="100000" sheet="1" scenarios="1" formatColumns="0" formatRows="0" autoFilter="0"/>
  <mergeCells count="15">
    <mergeCell ref="E24:F24"/>
    <mergeCell ref="G24:H24"/>
    <mergeCell ref="E23:H23"/>
    <mergeCell ref="A22:H22"/>
    <mergeCell ref="E25:E26"/>
    <mergeCell ref="F25:F26"/>
    <mergeCell ref="G25:G26"/>
    <mergeCell ref="H25:H26"/>
    <mergeCell ref="A24:B24"/>
    <mergeCell ref="C24:D24"/>
    <mergeCell ref="A25:A26"/>
    <mergeCell ref="B25:B26"/>
    <mergeCell ref="C25:C26"/>
    <mergeCell ref="D25:D26"/>
    <mergeCell ref="A23:D23"/>
  </mergeCells>
  <conditionalFormatting sqref="A27:A30">
    <cfRule type="containsBlanks" dxfId="217" priority="4">
      <formula>LEN(TRIM(A27))=0</formula>
    </cfRule>
  </conditionalFormatting>
  <conditionalFormatting sqref="C27:C30">
    <cfRule type="containsBlanks" dxfId="216" priority="3">
      <formula>LEN(TRIM(C27))=0</formula>
    </cfRule>
  </conditionalFormatting>
  <conditionalFormatting sqref="E27:E31">
    <cfRule type="containsBlanks" dxfId="215" priority="2">
      <formula>LEN(TRIM(E27))=0</formula>
    </cfRule>
  </conditionalFormatting>
  <conditionalFormatting sqref="G27:G31">
    <cfRule type="containsBlanks" dxfId="214" priority="1">
      <formula>LEN(TRIM(G27))=0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2">
    <tabColor theme="5" tint="0.39997558519241921"/>
    <pageSetUpPr fitToPage="1"/>
  </sheetPr>
  <dimension ref="A1:GT132"/>
  <sheetViews>
    <sheetView rightToLeft="1" view="pageBreakPreview" zoomScaleNormal="70" zoomScaleSheetLayoutView="100" workbookViewId="0"/>
  </sheetViews>
  <sheetFormatPr defaultColWidth="9.140625" defaultRowHeight="12.75" outlineLevelRow="1" x14ac:dyDescent="0.2"/>
  <cols>
    <col min="1" max="1" width="9" style="1" customWidth="1"/>
    <col min="2" max="2" width="35.85546875" style="1" customWidth="1"/>
    <col min="3" max="5" width="18.28515625" style="269" hidden="1" customWidth="1"/>
    <col min="6" max="6" width="16.42578125" style="269" hidden="1" customWidth="1"/>
    <col min="7" max="7" width="17.28515625" style="269" hidden="1" customWidth="1"/>
    <col min="8" max="8" width="15.42578125" style="1" customWidth="1"/>
    <col min="9" max="9" width="16.7109375" style="1" customWidth="1"/>
    <col min="10" max="10" width="25.7109375" style="1" customWidth="1"/>
    <col min="11" max="11" width="25.85546875" style="1" customWidth="1"/>
    <col min="12" max="12" width="18.42578125" style="1" customWidth="1"/>
    <col min="13" max="13" width="15" style="1" customWidth="1"/>
    <col min="14" max="14" width="35.42578125" style="1" customWidth="1"/>
    <col min="15" max="17" width="22" style="1" customWidth="1"/>
    <col min="18" max="18" width="34.5703125" style="1" customWidth="1"/>
    <col min="19" max="23" width="22" style="1" customWidth="1"/>
    <col min="24" max="24" width="23.28515625" style="1" customWidth="1"/>
    <col min="25" max="25" width="23.42578125" style="1" customWidth="1"/>
    <col min="26" max="26" width="16.85546875" style="1" customWidth="1"/>
    <col min="27" max="27" width="14" style="1" customWidth="1"/>
    <col min="28" max="28" width="12.140625" style="1" customWidth="1"/>
    <col min="29" max="31" width="15.140625" style="1" hidden="1" customWidth="1"/>
    <col min="32" max="32" width="13.85546875" style="1" hidden="1" customWidth="1"/>
    <col min="33" max="34" width="8.42578125" style="1" hidden="1" customWidth="1"/>
    <col min="35" max="35" width="7.85546875" style="1" hidden="1" customWidth="1"/>
    <col min="36" max="39" width="15.42578125" style="1" hidden="1" customWidth="1"/>
    <col min="40" max="41" width="5.28515625" style="1" hidden="1" customWidth="1"/>
    <col min="42" max="42" width="15.140625" style="1" hidden="1" customWidth="1"/>
    <col min="43" max="48" width="9.140625" style="1" hidden="1" customWidth="1"/>
    <col min="49" max="201" width="9.140625" style="1" customWidth="1"/>
    <col min="202" max="202" width="9.140625" style="1" hidden="1" customWidth="1"/>
    <col min="203" max="16384" width="9.140625" style="1"/>
  </cols>
  <sheetData>
    <row r="1" spans="1:37" ht="19.5" outlineLevel="1" thickBot="1" x14ac:dyDescent="0.25">
      <c r="C1" s="1"/>
      <c r="D1" s="1"/>
      <c r="E1" s="1"/>
      <c r="F1" s="1"/>
      <c r="G1" s="1"/>
      <c r="K1" s="232" t="str">
        <f>פרמטרים!C1</f>
        <v>שנת התקציב</v>
      </c>
      <c r="L1" s="50">
        <f>פרמטרים!E1</f>
        <v>2025</v>
      </c>
    </row>
    <row r="2" spans="1:37" ht="19.5" outlineLevel="1" thickBot="1" x14ac:dyDescent="0.25">
      <c r="C2" s="1"/>
      <c r="D2" s="1"/>
      <c r="E2" s="1"/>
      <c r="F2" s="1"/>
      <c r="G2" s="1"/>
      <c r="K2" s="232" t="str">
        <f>פרמטרים!C2</f>
        <v>תקציב</v>
      </c>
      <c r="L2" s="51">
        <f>פרמטרים!E2</f>
        <v>8082764</v>
      </c>
    </row>
    <row r="3" spans="1:37" s="481" customFormat="1" ht="13.5" outlineLevel="1" thickBot="1" x14ac:dyDescent="0.25"/>
    <row r="4" spans="1:37" ht="63.75" outlineLevel="1" thickBot="1" x14ac:dyDescent="0.25">
      <c r="B4" s="749" t="s">
        <v>195</v>
      </c>
      <c r="C4" s="750"/>
      <c r="D4" s="1"/>
      <c r="E4" s="1"/>
      <c r="F4" s="749" t="s">
        <v>195</v>
      </c>
      <c r="G4" s="750"/>
      <c r="H4" s="262" t="str">
        <f>פרמטרים!C105</f>
        <v>מספר שנות ותק נכון ליום 1 בינואר של שנת התמיכה</v>
      </c>
      <c r="I4" s="262" t="str">
        <f>פרמטרים!D105</f>
        <v>מספר שנות ותק רצופות כיוצר מחול עצמאי</v>
      </c>
      <c r="J4" s="262" t="str">
        <f>פרמטרים!E105</f>
        <v>מספר הפקות ב-5 השנים הקודמות (בכל אחת מהן נכללה יצירה חדשה)</v>
      </c>
      <c r="K4" s="262" t="str">
        <f>פרמטרים!F105</f>
        <v>מספר הפקות ב-3 השנים הקודמות (בכל אחת מהן נכללה יצירה חדשה)</v>
      </c>
      <c r="L4" s="262" t="str">
        <f>פרמטרים!G105</f>
        <v>מספר הרצות בארץ בשנת ההערכה</v>
      </c>
      <c r="M4" s="262" t="str">
        <f>פרמטרים!H105</f>
        <v>בעל רמה אמנותית נאותה</v>
      </c>
      <c r="N4" s="262" t="str">
        <f>פרמטרים!I105</f>
        <v>בעל מוניטין ותרומה מיוחדת וקיבל תמיכה בשנת הכספים הקודמת ובשנת התקציב המבוקר (0/1)</v>
      </c>
      <c r="O4" s="262" t="str">
        <f>פרמטרים!J105</f>
        <v xml:space="preserve">קיבל תמיכה בשנת הכספים הקודמת ובשנת התקציב המבוקר </v>
      </c>
      <c r="P4" s="262" t="str">
        <f>פרמטרים!K105</f>
        <v>העלה לפחות הפקה שכללה יצירה חדשה אחת לפחות שלו</v>
      </c>
      <c r="Q4" s="31" t="str">
        <f>פרמטרים!B109</f>
        <v>מקדם</v>
      </c>
      <c r="R4" s="755" t="str">
        <f>פרמטרים!C109</f>
        <v>רמה אמנותית מינימלית לקבלת אישור מיוחד של מדור לסיווג כיוצר ותיק</v>
      </c>
      <c r="Y4" s="243"/>
    </row>
    <row r="5" spans="1:37" ht="15.75" outlineLevel="1" x14ac:dyDescent="0.2">
      <c r="B5" s="756" t="str">
        <f>פרמטרים!$B8</f>
        <v>יוצר ותיק</v>
      </c>
      <c r="C5" s="757"/>
      <c r="D5" s="1"/>
      <c r="E5" s="1"/>
      <c r="F5" s="751" t="str">
        <f>פרמטרים!$B8</f>
        <v>יוצר ותיק</v>
      </c>
      <c r="G5" s="752"/>
      <c r="H5" s="271">
        <f>פרמטרים!C106</f>
        <v>30</v>
      </c>
      <c r="I5" s="271">
        <f>פרמטרים!D106</f>
        <v>0</v>
      </c>
      <c r="J5" s="271">
        <f>פרמטרים!E106</f>
        <v>0</v>
      </c>
      <c r="K5" s="271">
        <f>פרמטרים!F106</f>
        <v>0</v>
      </c>
      <c r="L5" s="271">
        <f>פרמטרים!G106</f>
        <v>2</v>
      </c>
      <c r="M5" s="271">
        <f>פרמטרים!H106</f>
        <v>3</v>
      </c>
      <c r="N5" s="271">
        <f>פרמטרים!I106</f>
        <v>1</v>
      </c>
      <c r="O5" s="271">
        <f>פרמטרים!J106</f>
        <v>1</v>
      </c>
      <c r="P5" s="271">
        <f>פרמטרים!K106</f>
        <v>1</v>
      </c>
      <c r="Q5" s="245">
        <f>פרמטרים!B110</f>
        <v>0.33</v>
      </c>
      <c r="R5" s="755"/>
    </row>
    <row r="6" spans="1:37" ht="15.75" outlineLevel="1" x14ac:dyDescent="0.2">
      <c r="B6" s="756" t="str">
        <f>פרמטרים!$B9</f>
        <v>יוצר בראשית דרכו</v>
      </c>
      <c r="C6" s="757"/>
      <c r="D6" s="1"/>
      <c r="E6" s="1"/>
      <c r="F6" s="751" t="str">
        <f>פרמטרים!B9</f>
        <v>יוצר בראשית דרכו</v>
      </c>
      <c r="G6" s="752"/>
      <c r="H6" s="271">
        <f>פרמטרים!C107</f>
        <v>0</v>
      </c>
      <c r="I6" s="271" t="str">
        <f>פרמטרים!D107</f>
        <v>2-5</v>
      </c>
      <c r="J6" s="271">
        <f>פרמטרים!E107</f>
        <v>0</v>
      </c>
      <c r="K6" s="271">
        <f>פרמטרים!F107</f>
        <v>2</v>
      </c>
      <c r="L6" s="271">
        <f>פרמטרים!G107</f>
        <v>3</v>
      </c>
      <c r="M6" s="271">
        <f>פרמטרים!H107</f>
        <v>3</v>
      </c>
      <c r="N6" s="271">
        <f>פרמטרים!I107</f>
        <v>0</v>
      </c>
      <c r="O6" s="271">
        <f>פרמטרים!J107</f>
        <v>0</v>
      </c>
      <c r="P6" s="271">
        <f>פרמטרים!K107</f>
        <v>0</v>
      </c>
      <c r="Q6" s="245">
        <f>פרמטרים!B111</f>
        <v>0.66</v>
      </c>
      <c r="R6" s="398">
        <f>פרמטרים!C111</f>
        <v>2</v>
      </c>
    </row>
    <row r="7" spans="1:37" ht="16.5" outlineLevel="1" thickBot="1" x14ac:dyDescent="0.25">
      <c r="B7" s="758" t="str">
        <f>פרמטרים!$B10</f>
        <v>יוצר מנוסה</v>
      </c>
      <c r="C7" s="759"/>
      <c r="D7" s="1"/>
      <c r="E7" s="1"/>
      <c r="F7" s="753" t="str">
        <f>פרמטרים!B10</f>
        <v>יוצר מנוסה</v>
      </c>
      <c r="G7" s="754"/>
      <c r="H7" s="271">
        <f>פרמטרים!C108</f>
        <v>0</v>
      </c>
      <c r="I7" s="271">
        <f>פרמטרים!D108</f>
        <v>5</v>
      </c>
      <c r="J7" s="271">
        <f>פרמטרים!E108</f>
        <v>3</v>
      </c>
      <c r="K7" s="271">
        <f>פרמטרים!F108</f>
        <v>0</v>
      </c>
      <c r="L7" s="271">
        <f>פרמטרים!G108</f>
        <v>5</v>
      </c>
      <c r="M7" s="271">
        <f>פרמטרים!H108</f>
        <v>3</v>
      </c>
      <c r="N7" s="271">
        <f>פרמטרים!I108</f>
        <v>0</v>
      </c>
      <c r="O7" s="271">
        <f>פרמטרים!J108</f>
        <v>0</v>
      </c>
      <c r="P7" s="271">
        <f>פרמטרים!K108</f>
        <v>0</v>
      </c>
      <c r="Q7" s="245">
        <f>פרמטרים!B112</f>
        <v>1</v>
      </c>
      <c r="AK7" s="1" t="s">
        <v>205</v>
      </c>
    </row>
    <row r="8" spans="1:37" outlineLevel="1" x14ac:dyDescent="0.2">
      <c r="C8" s="1"/>
      <c r="D8" s="1"/>
      <c r="E8" s="1"/>
      <c r="F8" s="1"/>
      <c r="G8" s="1"/>
    </row>
    <row r="9" spans="1:37" hidden="1" outlineLevel="1" x14ac:dyDescent="0.2">
      <c r="C9" s="242"/>
      <c r="D9" s="242"/>
      <c r="E9" s="242"/>
      <c r="F9" s="242"/>
      <c r="G9" s="242"/>
      <c r="H9" s="242"/>
      <c r="I9" s="242"/>
      <c r="X9" s="44"/>
    </row>
    <row r="10" spans="1:37" hidden="1" outlineLevel="1" x14ac:dyDescent="0.2">
      <c r="C10" s="242"/>
      <c r="D10" s="242"/>
      <c r="E10" s="242"/>
      <c r="F10" s="242"/>
      <c r="G10" s="242"/>
      <c r="H10" s="242"/>
      <c r="I10" s="242"/>
      <c r="X10" s="44"/>
    </row>
    <row r="11" spans="1:37" hidden="1" outlineLevel="1" x14ac:dyDescent="0.2">
      <c r="C11" s="242"/>
      <c r="D11" s="242"/>
      <c r="E11" s="242"/>
      <c r="F11" s="242"/>
      <c r="G11" s="242"/>
      <c r="H11" s="242"/>
    </row>
    <row r="12" spans="1:37" hidden="1" outlineLevel="1" x14ac:dyDescent="0.2">
      <c r="A12" s="45"/>
      <c r="C12" s="242"/>
      <c r="D12" s="242"/>
      <c r="E12" s="242"/>
      <c r="F12" s="242"/>
      <c r="G12" s="242"/>
      <c r="H12" s="242"/>
    </row>
    <row r="13" spans="1:37" hidden="1" outlineLevel="1" x14ac:dyDescent="0.2">
      <c r="A13" s="45"/>
      <c r="C13" s="242"/>
      <c r="D13" s="242"/>
      <c r="E13" s="242"/>
      <c r="F13" s="242"/>
      <c r="G13" s="242"/>
      <c r="H13" s="242"/>
    </row>
    <row r="14" spans="1:37" hidden="1" outlineLevel="1" x14ac:dyDescent="0.2">
      <c r="A14" s="45"/>
      <c r="C14" s="242"/>
      <c r="D14" s="242"/>
      <c r="E14" s="242"/>
      <c r="F14" s="242"/>
      <c r="G14" s="242"/>
      <c r="H14" s="242"/>
    </row>
    <row r="15" spans="1:37" hidden="1" outlineLevel="1" x14ac:dyDescent="0.2">
      <c r="C15" s="242"/>
      <c r="D15" s="242"/>
      <c r="E15" s="242"/>
      <c r="F15" s="242"/>
      <c r="G15" s="242"/>
      <c r="H15" s="242"/>
    </row>
    <row r="16" spans="1:37" hidden="1" outlineLevel="1" x14ac:dyDescent="0.2">
      <c r="B16" s="42"/>
      <c r="C16" s="242"/>
      <c r="D16" s="242"/>
      <c r="E16" s="242"/>
      <c r="F16" s="242"/>
      <c r="G16" s="242"/>
      <c r="H16" s="242"/>
    </row>
    <row r="17" spans="1:48" outlineLevel="1" x14ac:dyDescent="0.2">
      <c r="B17" s="42"/>
      <c r="C17" s="43"/>
      <c r="D17" s="43"/>
      <c r="E17" s="43"/>
      <c r="F17" s="43"/>
      <c r="G17" s="43"/>
      <c r="H17" s="43"/>
    </row>
    <row r="18" spans="1:48" ht="18" customHeight="1" thickBot="1" x14ac:dyDescent="0.35">
      <c r="A18" s="748" t="s">
        <v>46</v>
      </c>
      <c r="B18" s="715"/>
      <c r="C18" s="715"/>
      <c r="D18" s="715"/>
      <c r="E18" s="715"/>
      <c r="F18" s="715"/>
      <c r="G18" s="715"/>
      <c r="H18" s="715"/>
      <c r="I18" s="715"/>
      <c r="J18" s="715"/>
      <c r="K18" s="715"/>
      <c r="L18" s="715"/>
      <c r="M18" s="715"/>
      <c r="N18" s="715"/>
      <c r="O18" s="715"/>
      <c r="P18" s="715"/>
      <c r="Q18" s="715"/>
      <c r="R18" s="715"/>
      <c r="S18" s="715"/>
      <c r="T18" s="715"/>
      <c r="U18" s="715"/>
      <c r="V18" s="715"/>
      <c r="W18" s="715"/>
      <c r="X18" s="715"/>
      <c r="Y18" s="715"/>
      <c r="Z18" s="715"/>
      <c r="AA18" s="715"/>
      <c r="AB18" s="715"/>
    </row>
    <row r="19" spans="1:48" ht="18" customHeight="1" thickBot="1" x14ac:dyDescent="0.35">
      <c r="A19" s="744" t="s">
        <v>206</v>
      </c>
      <c r="B19" s="744" t="s">
        <v>207</v>
      </c>
      <c r="C19" s="744" t="s">
        <v>208</v>
      </c>
      <c r="D19" s="744" t="s">
        <v>209</v>
      </c>
      <c r="E19" s="744" t="s">
        <v>210</v>
      </c>
      <c r="F19" s="744" t="s">
        <v>211</v>
      </c>
      <c r="G19" s="744" t="s">
        <v>212</v>
      </c>
      <c r="H19" s="744" t="s">
        <v>196</v>
      </c>
      <c r="I19" s="744" t="s">
        <v>197</v>
      </c>
      <c r="J19" s="744" t="s">
        <v>198</v>
      </c>
      <c r="K19" s="744" t="s">
        <v>199</v>
      </c>
      <c r="L19" s="744" t="s">
        <v>200</v>
      </c>
      <c r="M19" s="744" t="s">
        <v>201</v>
      </c>
      <c r="N19" s="744" t="s">
        <v>213</v>
      </c>
      <c r="O19" s="744" t="s">
        <v>214</v>
      </c>
      <c r="P19" s="746" t="s">
        <v>391</v>
      </c>
      <c r="Q19" s="744" t="s">
        <v>215</v>
      </c>
      <c r="R19" s="324" t="s">
        <v>216</v>
      </c>
      <c r="S19" s="324"/>
      <c r="T19" s="324"/>
      <c r="U19" s="324"/>
      <c r="V19" s="324"/>
      <c r="W19" s="324"/>
      <c r="X19" s="324"/>
      <c r="Y19" s="323"/>
      <c r="Z19" s="323"/>
      <c r="AA19" s="323"/>
      <c r="AB19" s="323"/>
    </row>
    <row r="20" spans="1:48" ht="78" customHeight="1" thickBot="1" x14ac:dyDescent="0.25">
      <c r="A20" s="745"/>
      <c r="B20" s="745"/>
      <c r="C20" s="745"/>
      <c r="D20" s="745"/>
      <c r="E20" s="745"/>
      <c r="F20" s="745"/>
      <c r="G20" s="745"/>
      <c r="H20" s="745"/>
      <c r="I20" s="745"/>
      <c r="J20" s="745"/>
      <c r="K20" s="745"/>
      <c r="L20" s="745"/>
      <c r="M20" s="745"/>
      <c r="N20" s="745"/>
      <c r="O20" s="745"/>
      <c r="P20" s="747"/>
      <c r="Q20" s="745"/>
      <c r="R20" s="26" t="s">
        <v>217</v>
      </c>
      <c r="S20" s="26" t="s">
        <v>393</v>
      </c>
      <c r="T20" s="26" t="str">
        <f>"היוצר קיבל "&amp;R6&amp;" נקודות לפחות ברמה אמנותית"</f>
        <v>היוצר קיבל 2 נקודות לפחות ברמה אמנותית</v>
      </c>
      <c r="U20" s="26" t="s">
        <v>218</v>
      </c>
      <c r="V20" s="26" t="s">
        <v>219</v>
      </c>
      <c r="W20" s="26" t="s">
        <v>220</v>
      </c>
      <c r="X20" s="26" t="s">
        <v>221</v>
      </c>
      <c r="Y20" s="26" t="s">
        <v>46</v>
      </c>
      <c r="Z20" s="26" t="s">
        <v>222</v>
      </c>
      <c r="AA20" s="26" t="s">
        <v>116</v>
      </c>
      <c r="AB20" s="31" t="s">
        <v>7</v>
      </c>
      <c r="AC20" s="1" t="s">
        <v>223</v>
      </c>
      <c r="AK20" s="1" t="s">
        <v>224</v>
      </c>
      <c r="AM20" s="1" t="str">
        <f t="array" ref="AM20:AO20">TRANSPOSE(F5:F7)</f>
        <v>יוצר ותיק</v>
      </c>
      <c r="AN20" s="1" t="str">
        <v>יוצר בראשית דרכו</v>
      </c>
      <c r="AO20" s="1" t="str">
        <v>יוצר מנוסה</v>
      </c>
      <c r="AQ20" s="1">
        <v>0</v>
      </c>
      <c r="AR20" s="1">
        <v>1</v>
      </c>
      <c r="AT20" s="1" t="str">
        <f t="array" ref="AT20:AV20">TRANSPOSE(F5:F7)</f>
        <v>יוצר ותיק</v>
      </c>
      <c r="AU20" s="1" t="str">
        <v>יוצר בראשית דרכו</v>
      </c>
      <c r="AV20" s="1" t="str">
        <v>יוצר מנוסה</v>
      </c>
    </row>
    <row r="21" spans="1:48" ht="21.75" customHeight="1" x14ac:dyDescent="0.25">
      <c r="A21" s="257">
        <v>1</v>
      </c>
      <c r="B21" s="379" t="str">
        <f>IF('תנאי סף - כלליים'!F31="","",'תנאי סף - כלליים'!F31)</f>
        <v>סילביה דוראן</v>
      </c>
      <c r="C21" s="288"/>
      <c r="D21" s="288"/>
      <c r="E21" s="288"/>
      <c r="F21" s="288"/>
      <c r="G21" s="270">
        <f>IF(B21="","",IF(AND(C21=1,D21=1,E21&gt;400000,F21&gt;400000,$L$1=2017),פרמטרים!$C$12,1))</f>
        <v>1</v>
      </c>
      <c r="H21" s="10">
        <v>60</v>
      </c>
      <c r="I21" s="10">
        <v>60</v>
      </c>
      <c r="J21" s="10">
        <v>10</v>
      </c>
      <c r="K21" s="10">
        <v>8</v>
      </c>
      <c r="L21" s="10">
        <v>2</v>
      </c>
      <c r="M21" s="557">
        <v>3.3</v>
      </c>
      <c r="N21" s="10"/>
      <c r="O21" s="10">
        <v>1</v>
      </c>
      <c r="P21" s="10">
        <v>1</v>
      </c>
      <c r="Q21" s="10">
        <v>1</v>
      </c>
      <c r="R21" s="10"/>
      <c r="S21" s="10"/>
      <c r="T21" s="259">
        <f t="shared" ref="T21:T52" si="0">IF($B21="","",IF(M21&gt;=$R$6,1,0))</f>
        <v>1</v>
      </c>
      <c r="U21" s="10"/>
      <c r="V21" s="10"/>
      <c r="W21" s="10"/>
      <c r="X21" s="259">
        <f>IF($B21="","",IF(AND(R21=1,S21=1,T21=1,U21&lt;3,OR(U21&lt;=1,V21=1),W21=1),1,0))</f>
        <v>0</v>
      </c>
      <c r="Y21" s="259" t="str">
        <f t="shared" ref="Y21:Y52" si="1">IF($B21="","",IF(AV21=1,$AV$20,IF(AU21=1,$AU$20,IF(AT21=1,$AT$20,$AK$7))))</f>
        <v>יוצר ותיק</v>
      </c>
      <c r="Z21" s="259">
        <f>'תנאי סף - כלליים'!AP31</f>
        <v>1</v>
      </c>
      <c r="AA21" s="260">
        <f t="shared" ref="AA21:AA52" si="2">IF(B21="","",IF(AK21&lt;&gt;1,"בדוק נתוני הזנה",IF(OR(AND(Z21=1,Y21&lt;&gt;$AK$7,I21&gt;=2),AND($L$1=2016,I21&gt;=2)),1,0)))</f>
        <v>1</v>
      </c>
      <c r="AB21" s="261">
        <f t="shared" ref="AB21:AB52" si="3">IFERROR(IF(B21="","",INDEX($Q$5:$Q$7,MATCH(Y21,$F$5:$F$7,0))),"")</f>
        <v>0.33</v>
      </c>
      <c r="AC21" s="1">
        <f t="shared" ref="AC21:AC52" si="4">IF(OR($B21="",ISERR(H21/3)),0,IF(OR(H21&lt;0,H21&lt;&gt;ROUND(H21,0)),0,1))</f>
        <v>1</v>
      </c>
      <c r="AD21" s="1">
        <f t="shared" ref="AD21:AD52" si="5">IF(OR($B21="",ISERR(I21/3)),0,IF(OR(I21&lt;0,I21&lt;&gt;ROUND(I21,0)),0,1))</f>
        <v>1</v>
      </c>
      <c r="AE21" s="1">
        <f t="shared" ref="AE21:AE52" si="6">IF(OR($B21="",ISERR(J21/3)),0,IF(OR(J21&lt;0,J21&lt;&gt;ROUND(J21,0)),0,1))</f>
        <v>1</v>
      </c>
      <c r="AF21" s="1">
        <f t="shared" ref="AF21:AF52" si="7">IF(OR($B21="",ISERR(K21/3)),0,IF(OR(K21&lt;0,K21&lt;&gt;ROUND(K21,0)),0,1))</f>
        <v>1</v>
      </c>
      <c r="AG21" s="1">
        <f t="shared" ref="AG21:AG52" si="8">IF(OR($B21="",ISERR(L21/3)),0,IF(OR(L21&lt;0,L21&lt;&gt;ROUND(L21,0)),0,1))</f>
        <v>1</v>
      </c>
      <c r="AH21" s="1">
        <f>IF(OR($B21="",ISERR(M21/3)),0,IF(M21&lt;0,0,1))</f>
        <v>1</v>
      </c>
      <c r="AK21" s="1">
        <f t="shared" ref="AK21:AK52" si="9">IF(SUM(AC21:AJ21)=COUNT(AC21:AJ21),1,0)</f>
        <v>1</v>
      </c>
      <c r="AM21" s="1" t="str">
        <f>IF($B21="","",AM$20)</f>
        <v>יוצר ותיק</v>
      </c>
      <c r="AN21" s="1" t="str">
        <f t="shared" ref="AN21:AR36" si="10">IF($B21="","",AN$20)</f>
        <v>יוצר בראשית דרכו</v>
      </c>
      <c r="AO21" s="1" t="str">
        <f t="shared" si="10"/>
        <v>יוצר מנוסה</v>
      </c>
      <c r="AQ21" s="1">
        <f t="shared" si="10"/>
        <v>0</v>
      </c>
      <c r="AR21" s="1">
        <f t="shared" si="10"/>
        <v>1</v>
      </c>
      <c r="AT21" s="1">
        <f t="shared" ref="AT21:AT52" si="11">IF(AND(H21&gt;=$H$5,I21&gt;=$I$5,J21&gt;=$J$5,K21&gt;=$K$5,L21&gt;=$L$5,OR((M21&gt;=$M$5),AND(N21=1,M21&gt;=$R$6)),SUMPRODUCT(--(O21:Q21&gt;=$N$5:$P$5))=COUNTA($N$4:$P$4),AV21=0),1,0)</f>
        <v>1</v>
      </c>
      <c r="AU21" s="1">
        <f t="shared" ref="AU21:AU52" si="12">IF(AND(H21&gt;=$H$6,I21&gt;=LEFT($I$6,1)*1,I21&lt;=RIGHT($I$6,1)*1,J21&gt;=$J$6,K21&gt;=$K$6,L21&gt;=$L$6,OR(M21&gt;=$M$6,X21=1),SUMPRODUCT(--(O21:Q21&gt;=$N$6:$P$6))=COUNTA($N$4:$P$4),AV21=0),1,0)</f>
        <v>0</v>
      </c>
      <c r="AV21" s="1">
        <f t="shared" ref="AV21:AV52" si="13">IF(AND(H21&gt;=$H$7,I21&gt;=$I$7,J21&gt;=$J$7,K21&gt;=$K$7,L21&gt;=$L$7,OR(M21&gt;=$M$7,X21=1),SUMPRODUCT(--(O21:Q21&gt;=$N$7:$P$7))=COUNTA($N$4:$P$4)),1,0)</f>
        <v>0</v>
      </c>
    </row>
    <row r="22" spans="1:48" ht="21.75" customHeight="1" x14ac:dyDescent="0.25">
      <c r="A22" s="46">
        <f t="shared" ref="A22:A85" si="14">A21+1</f>
        <v>2</v>
      </c>
      <c r="B22" s="379" t="str">
        <f>IF('תנאי סף - כלליים'!F32="","",'תנאי סף - כלליים'!F32)</f>
        <v>רנה שינפלד</v>
      </c>
      <c r="C22" s="288"/>
      <c r="D22" s="288"/>
      <c r="E22" s="288"/>
      <c r="F22" s="288"/>
      <c r="G22" s="270">
        <f>IF(B22="","",IF(AND(C22=1,D22=1,E22&gt;400000,F22&gt;400000,$L$1=2017),פרמטרים!$C$12,1))</f>
        <v>1</v>
      </c>
      <c r="H22" s="399">
        <v>59</v>
      </c>
      <c r="I22" s="399">
        <v>59</v>
      </c>
      <c r="J22" s="399">
        <v>23</v>
      </c>
      <c r="K22" s="399">
        <v>20</v>
      </c>
      <c r="L22" s="399">
        <v>21</v>
      </c>
      <c r="M22" s="557">
        <v>4.3</v>
      </c>
      <c r="N22" s="10"/>
      <c r="O22" s="399"/>
      <c r="P22" s="10"/>
      <c r="Q22" s="10"/>
      <c r="R22" s="10"/>
      <c r="S22" s="10"/>
      <c r="T22" s="259">
        <f t="shared" si="0"/>
        <v>1</v>
      </c>
      <c r="U22" s="10"/>
      <c r="V22" s="10"/>
      <c r="W22" s="10"/>
      <c r="X22" s="259">
        <f t="shared" ref="X22:X85" si="15">IF($B22="","",IF(AND(R22=1,S22=1,T22=1,U22&lt;3,OR(U22&lt;=1,V22=1),W22=1),1,0))</f>
        <v>0</v>
      </c>
      <c r="Y22" s="259" t="str">
        <f t="shared" si="1"/>
        <v>יוצר מנוסה</v>
      </c>
      <c r="Z22" s="259">
        <f>'תנאי סף - כלליים'!AP32</f>
        <v>1</v>
      </c>
      <c r="AA22" s="260">
        <f t="shared" si="2"/>
        <v>1</v>
      </c>
      <c r="AB22" s="256">
        <f t="shared" si="3"/>
        <v>1</v>
      </c>
      <c r="AC22" s="1">
        <f t="shared" si="4"/>
        <v>1</v>
      </c>
      <c r="AD22" s="1">
        <f t="shared" si="5"/>
        <v>1</v>
      </c>
      <c r="AE22" s="1">
        <f t="shared" si="6"/>
        <v>1</v>
      </c>
      <c r="AF22" s="1">
        <f t="shared" si="7"/>
        <v>1</v>
      </c>
      <c r="AG22" s="1">
        <f t="shared" si="8"/>
        <v>1</v>
      </c>
      <c r="AH22" s="1">
        <f t="shared" ref="AH22:AH85" si="16">IF(OR($B22="",ISERR(M22/3)),0,IF(M22&lt;0,0,1))</f>
        <v>1</v>
      </c>
      <c r="AK22" s="1">
        <f t="shared" si="9"/>
        <v>1</v>
      </c>
      <c r="AM22" s="1" t="str">
        <f t="shared" ref="AM22:AR53" si="17">IF($B22="","",AM$20)</f>
        <v>יוצר ותיק</v>
      </c>
      <c r="AN22" s="1" t="str">
        <f t="shared" si="10"/>
        <v>יוצר בראשית דרכו</v>
      </c>
      <c r="AO22" s="1" t="str">
        <f t="shared" si="10"/>
        <v>יוצר מנוסה</v>
      </c>
      <c r="AQ22" s="1">
        <f t="shared" si="10"/>
        <v>0</v>
      </c>
      <c r="AR22" s="1">
        <f t="shared" si="10"/>
        <v>1</v>
      </c>
      <c r="AT22" s="1">
        <f t="shared" si="11"/>
        <v>0</v>
      </c>
      <c r="AU22" s="1">
        <f t="shared" si="12"/>
        <v>0</v>
      </c>
      <c r="AV22" s="1">
        <f t="shared" si="13"/>
        <v>1</v>
      </c>
    </row>
    <row r="23" spans="1:48" ht="21.75" customHeight="1" x14ac:dyDescent="0.25">
      <c r="A23" s="46">
        <f t="shared" si="14"/>
        <v>3</v>
      </c>
      <c r="B23" s="379" t="str">
        <f>IF('תנאי סף - כלליים'!F33="","",'תנאי סף - כלליים'!F33)</f>
        <v>אבי קייזר וסרג'יו אנטוניניו</v>
      </c>
      <c r="C23" s="288"/>
      <c r="D23" s="288"/>
      <c r="E23" s="288"/>
      <c r="F23" s="288"/>
      <c r="G23" s="270">
        <f>IF(B23="","",IF(AND(C23=1,D23=1,E23&gt;400000,F23&gt;400000,$L$1=2017),פרמטרים!$C$12,1))</f>
        <v>1</v>
      </c>
      <c r="H23" s="399">
        <v>24</v>
      </c>
      <c r="I23" s="399">
        <v>24</v>
      </c>
      <c r="J23" s="399">
        <v>12</v>
      </c>
      <c r="K23" s="399">
        <v>8</v>
      </c>
      <c r="L23" s="399">
        <v>20</v>
      </c>
      <c r="M23" s="557">
        <v>3.07</v>
      </c>
      <c r="N23" s="10"/>
      <c r="O23" s="399"/>
      <c r="P23" s="10"/>
      <c r="Q23" s="10"/>
      <c r="R23" s="10"/>
      <c r="S23" s="10"/>
      <c r="T23" s="259">
        <f t="shared" si="0"/>
        <v>1</v>
      </c>
      <c r="U23" s="10"/>
      <c r="V23" s="10"/>
      <c r="W23" s="10"/>
      <c r="X23" s="259">
        <f t="shared" si="15"/>
        <v>0</v>
      </c>
      <c r="Y23" s="259" t="str">
        <f>IF($B23="","",IF(AV23=1,$AV$20,IF(AU23=1,$AU$20,IF(AT23=1,$AT$20,$AK$7))))</f>
        <v>יוצר מנוסה</v>
      </c>
      <c r="Z23" s="259">
        <f>'תנאי סף - כלליים'!AP33</f>
        <v>1</v>
      </c>
      <c r="AA23" s="260">
        <f t="shared" si="2"/>
        <v>1</v>
      </c>
      <c r="AB23" s="256">
        <f t="shared" si="3"/>
        <v>1</v>
      </c>
      <c r="AC23" s="1">
        <f t="shared" si="4"/>
        <v>1</v>
      </c>
      <c r="AD23" s="1">
        <f t="shared" si="5"/>
        <v>1</v>
      </c>
      <c r="AE23" s="1">
        <f t="shared" si="6"/>
        <v>1</v>
      </c>
      <c r="AF23" s="1">
        <f t="shared" si="7"/>
        <v>1</v>
      </c>
      <c r="AG23" s="1">
        <f t="shared" si="8"/>
        <v>1</v>
      </c>
      <c r="AH23" s="1">
        <f t="shared" si="16"/>
        <v>1</v>
      </c>
      <c r="AK23" s="1">
        <f t="shared" si="9"/>
        <v>1</v>
      </c>
      <c r="AM23" s="1" t="str">
        <f t="shared" si="17"/>
        <v>יוצר ותיק</v>
      </c>
      <c r="AN23" s="1" t="str">
        <f t="shared" si="10"/>
        <v>יוצר בראשית דרכו</v>
      </c>
      <c r="AO23" s="1" t="str">
        <f t="shared" si="10"/>
        <v>יוצר מנוסה</v>
      </c>
      <c r="AQ23" s="1">
        <f t="shared" si="10"/>
        <v>0</v>
      </c>
      <c r="AR23" s="1">
        <f t="shared" si="10"/>
        <v>1</v>
      </c>
      <c r="AT23" s="1">
        <f t="shared" si="11"/>
        <v>0</v>
      </c>
      <c r="AU23" s="1">
        <f t="shared" si="12"/>
        <v>0</v>
      </c>
      <c r="AV23" s="1">
        <f t="shared" si="13"/>
        <v>1</v>
      </c>
    </row>
    <row r="24" spans="1:48" ht="21.75" customHeight="1" x14ac:dyDescent="0.25">
      <c r="A24" s="46">
        <f t="shared" si="14"/>
        <v>4</v>
      </c>
      <c r="B24" s="379" t="str">
        <f>IF('תנאי סף - כלליים'!F34="","",'תנאי סף - כלליים'!F34)</f>
        <v/>
      </c>
      <c r="C24" s="288"/>
      <c r="D24" s="288"/>
      <c r="E24" s="288"/>
      <c r="F24" s="288"/>
      <c r="G24" s="270" t="str">
        <f>IF(B24="","",IF(AND(C24=1,D24=1,E24&gt;400000,F24&gt;400000,$L$1=2017),פרמטרים!$C$12,1))</f>
        <v/>
      </c>
      <c r="H24" s="399"/>
      <c r="I24" s="399"/>
      <c r="J24" s="399"/>
      <c r="K24" s="399"/>
      <c r="L24" s="399"/>
      <c r="M24" s="557"/>
      <c r="N24" s="10"/>
      <c r="O24" s="399"/>
      <c r="P24" s="10"/>
      <c r="Q24" s="10"/>
      <c r="R24" s="10"/>
      <c r="S24" s="10"/>
      <c r="T24" s="259" t="str">
        <f t="shared" si="0"/>
        <v/>
      </c>
      <c r="U24" s="10"/>
      <c r="V24" s="10"/>
      <c r="W24" s="10"/>
      <c r="X24" s="259" t="str">
        <f t="shared" si="15"/>
        <v/>
      </c>
      <c r="Y24" s="259" t="str">
        <f t="shared" si="1"/>
        <v/>
      </c>
      <c r="Z24" s="259" t="str">
        <f>IF(B24="","",'תנאי סף - כלליים'!AP34)</f>
        <v/>
      </c>
      <c r="AA24" s="260" t="str">
        <f t="shared" si="2"/>
        <v/>
      </c>
      <c r="AB24" s="256" t="str">
        <f t="shared" si="3"/>
        <v/>
      </c>
      <c r="AC24" s="1">
        <f t="shared" si="4"/>
        <v>0</v>
      </c>
      <c r="AD24" s="1">
        <f t="shared" si="5"/>
        <v>0</v>
      </c>
      <c r="AE24" s="1">
        <f t="shared" si="6"/>
        <v>0</v>
      </c>
      <c r="AF24" s="1">
        <f t="shared" si="7"/>
        <v>0</v>
      </c>
      <c r="AG24" s="1">
        <f t="shared" si="8"/>
        <v>0</v>
      </c>
      <c r="AH24" s="1">
        <f t="shared" si="16"/>
        <v>0</v>
      </c>
      <c r="AK24" s="1">
        <f t="shared" si="9"/>
        <v>0</v>
      </c>
      <c r="AM24" s="1" t="str">
        <f t="shared" si="17"/>
        <v/>
      </c>
      <c r="AN24" s="1" t="str">
        <f t="shared" si="10"/>
        <v/>
      </c>
      <c r="AO24" s="1" t="str">
        <f t="shared" si="10"/>
        <v/>
      </c>
      <c r="AQ24" s="1" t="str">
        <f t="shared" si="10"/>
        <v/>
      </c>
      <c r="AR24" s="1" t="str">
        <f t="shared" si="10"/>
        <v/>
      </c>
      <c r="AT24" s="1">
        <f t="shared" si="11"/>
        <v>0</v>
      </c>
      <c r="AU24" s="1">
        <f t="shared" si="12"/>
        <v>0</v>
      </c>
      <c r="AV24" s="1">
        <f t="shared" si="13"/>
        <v>0</v>
      </c>
    </row>
    <row r="25" spans="1:48" ht="21.75" customHeight="1" x14ac:dyDescent="0.25">
      <c r="A25" s="46">
        <f t="shared" si="14"/>
        <v>5</v>
      </c>
      <c r="B25" s="379" t="str">
        <f>IF('תנאי סף - כלליים'!F35="","",'תנאי סף - כלליים'!F35)</f>
        <v>אדוה ירמיהו</v>
      </c>
      <c r="C25" s="288"/>
      <c r="D25" s="288"/>
      <c r="E25" s="288"/>
      <c r="F25" s="288"/>
      <c r="G25" s="270">
        <f>IF(B25="","",IF(AND(C25=1,D25=1,E25&gt;400000,F25&gt;400000,$L$1=2017),פרמטרים!$C$12,1))</f>
        <v>1</v>
      </c>
      <c r="H25" s="399">
        <v>14</v>
      </c>
      <c r="I25" s="399">
        <v>14</v>
      </c>
      <c r="J25" s="399">
        <v>5</v>
      </c>
      <c r="K25" s="399">
        <v>3</v>
      </c>
      <c r="L25" s="399">
        <v>11</v>
      </c>
      <c r="M25" s="557">
        <v>3.6</v>
      </c>
      <c r="N25" s="10"/>
      <c r="O25" s="399"/>
      <c r="P25" s="10"/>
      <c r="Q25" s="10"/>
      <c r="R25" s="10"/>
      <c r="S25" s="10"/>
      <c r="T25" s="259">
        <f t="shared" si="0"/>
        <v>1</v>
      </c>
      <c r="U25" s="10"/>
      <c r="V25" s="10"/>
      <c r="W25" s="10"/>
      <c r="X25" s="259">
        <f t="shared" si="15"/>
        <v>0</v>
      </c>
      <c r="Y25" s="259" t="str">
        <f t="shared" si="1"/>
        <v>יוצר מנוסה</v>
      </c>
      <c r="Z25" s="259">
        <f>'תנאי סף - כלליים'!AP35</f>
        <v>1</v>
      </c>
      <c r="AA25" s="260">
        <f t="shared" si="2"/>
        <v>1</v>
      </c>
      <c r="AB25" s="256">
        <f t="shared" si="3"/>
        <v>1</v>
      </c>
      <c r="AC25" s="1">
        <f t="shared" si="4"/>
        <v>1</v>
      </c>
      <c r="AD25" s="1">
        <f t="shared" si="5"/>
        <v>1</v>
      </c>
      <c r="AE25" s="1">
        <f t="shared" si="6"/>
        <v>1</v>
      </c>
      <c r="AF25" s="1">
        <f t="shared" si="7"/>
        <v>1</v>
      </c>
      <c r="AG25" s="1">
        <f t="shared" si="8"/>
        <v>1</v>
      </c>
      <c r="AH25" s="1">
        <f t="shared" si="16"/>
        <v>1</v>
      </c>
      <c r="AK25" s="1">
        <f t="shared" si="9"/>
        <v>1</v>
      </c>
      <c r="AM25" s="1" t="str">
        <f t="shared" si="17"/>
        <v>יוצר ותיק</v>
      </c>
      <c r="AN25" s="1" t="str">
        <f t="shared" si="10"/>
        <v>יוצר בראשית דרכו</v>
      </c>
      <c r="AO25" s="1" t="str">
        <f t="shared" si="10"/>
        <v>יוצר מנוסה</v>
      </c>
      <c r="AQ25" s="1">
        <f t="shared" si="10"/>
        <v>0</v>
      </c>
      <c r="AR25" s="1">
        <f t="shared" si="10"/>
        <v>1</v>
      </c>
      <c r="AT25" s="1">
        <f t="shared" si="11"/>
        <v>0</v>
      </c>
      <c r="AU25" s="1">
        <f t="shared" si="12"/>
        <v>0</v>
      </c>
      <c r="AV25" s="1">
        <f t="shared" si="13"/>
        <v>1</v>
      </c>
    </row>
    <row r="26" spans="1:48" ht="21.75" customHeight="1" x14ac:dyDescent="0.25">
      <c r="A26" s="46">
        <f t="shared" si="14"/>
        <v>6</v>
      </c>
      <c r="B26" s="379" t="str">
        <f>IF('תנאי סף - כלליים'!F36="","",'תנאי סף - כלליים'!F36)</f>
        <v>אהרונה ישראל</v>
      </c>
      <c r="C26" s="288"/>
      <c r="D26" s="288"/>
      <c r="E26" s="288"/>
      <c r="F26" s="288"/>
      <c r="G26" s="270">
        <f>IF(B26="","",IF(AND(C26=1,D26=1,E26&gt;400000,F26&gt;400000,$L$1=2017),פרמטרים!$C$12,1))</f>
        <v>1</v>
      </c>
      <c r="H26" s="399">
        <v>20</v>
      </c>
      <c r="I26" s="399">
        <v>20</v>
      </c>
      <c r="J26" s="399">
        <v>5</v>
      </c>
      <c r="K26" s="399">
        <v>2</v>
      </c>
      <c r="L26" s="399">
        <v>8</v>
      </c>
      <c r="M26" s="557">
        <v>3</v>
      </c>
      <c r="N26" s="10"/>
      <c r="O26" s="399"/>
      <c r="P26" s="10"/>
      <c r="Q26" s="10"/>
      <c r="R26" s="10"/>
      <c r="S26" s="10"/>
      <c r="T26" s="259">
        <f t="shared" si="0"/>
        <v>1</v>
      </c>
      <c r="U26" s="10"/>
      <c r="V26" s="10"/>
      <c r="W26" s="10"/>
      <c r="X26" s="259">
        <f t="shared" si="15"/>
        <v>0</v>
      </c>
      <c r="Y26" s="259" t="str">
        <f t="shared" si="1"/>
        <v>יוצר מנוסה</v>
      </c>
      <c r="Z26" s="259">
        <f>'תנאי סף - כלליים'!AP36</f>
        <v>1</v>
      </c>
      <c r="AA26" s="260">
        <f t="shared" si="2"/>
        <v>1</v>
      </c>
      <c r="AB26" s="256">
        <f t="shared" si="3"/>
        <v>1</v>
      </c>
      <c r="AC26" s="1">
        <f t="shared" si="4"/>
        <v>1</v>
      </c>
      <c r="AD26" s="1">
        <f t="shared" si="5"/>
        <v>1</v>
      </c>
      <c r="AE26" s="1">
        <f t="shared" si="6"/>
        <v>1</v>
      </c>
      <c r="AF26" s="1">
        <f t="shared" si="7"/>
        <v>1</v>
      </c>
      <c r="AG26" s="1">
        <f t="shared" si="8"/>
        <v>1</v>
      </c>
      <c r="AH26" s="1">
        <f t="shared" si="16"/>
        <v>1</v>
      </c>
      <c r="AK26" s="1">
        <f t="shared" si="9"/>
        <v>1</v>
      </c>
      <c r="AM26" s="1" t="str">
        <f t="shared" si="17"/>
        <v>יוצר ותיק</v>
      </c>
      <c r="AN26" s="1" t="str">
        <f t="shared" si="10"/>
        <v>יוצר בראשית דרכו</v>
      </c>
      <c r="AO26" s="1" t="str">
        <f t="shared" si="10"/>
        <v>יוצר מנוסה</v>
      </c>
      <c r="AQ26" s="1">
        <f t="shared" si="10"/>
        <v>0</v>
      </c>
      <c r="AR26" s="1">
        <f t="shared" si="10"/>
        <v>1</v>
      </c>
      <c r="AT26" s="1">
        <f t="shared" si="11"/>
        <v>0</v>
      </c>
      <c r="AU26" s="1">
        <f t="shared" si="12"/>
        <v>0</v>
      </c>
      <c r="AV26" s="1">
        <f t="shared" si="13"/>
        <v>1</v>
      </c>
    </row>
    <row r="27" spans="1:48" ht="21.75" customHeight="1" x14ac:dyDescent="0.25">
      <c r="A27" s="46">
        <f t="shared" si="14"/>
        <v>7</v>
      </c>
      <c r="B27" s="379" t="str">
        <f>IF('תנאי סף - כלליים'!F37="","",'תנאי סף - כלליים'!F37)</f>
        <v>אופיר יודילביץ</v>
      </c>
      <c r="C27" s="288"/>
      <c r="D27" s="288"/>
      <c r="E27" s="288"/>
      <c r="F27" s="288"/>
      <c r="G27" s="270">
        <f>IF(B27="","",IF(AND(C27=1,D27=1,E27&gt;400000,F27&gt;400000,$L$1=2017),פרמטרים!$C$12,1))</f>
        <v>1</v>
      </c>
      <c r="H27" s="399">
        <v>10</v>
      </c>
      <c r="I27" s="399">
        <v>10</v>
      </c>
      <c r="J27" s="399">
        <v>5</v>
      </c>
      <c r="K27" s="399">
        <v>4</v>
      </c>
      <c r="L27" s="399">
        <v>20</v>
      </c>
      <c r="M27" s="557">
        <v>3.7</v>
      </c>
      <c r="N27" s="10"/>
      <c r="O27" s="399"/>
      <c r="P27" s="10"/>
      <c r="Q27" s="10"/>
      <c r="R27" s="10"/>
      <c r="S27" s="10"/>
      <c r="T27" s="259">
        <f t="shared" si="0"/>
        <v>1</v>
      </c>
      <c r="U27" s="10"/>
      <c r="V27" s="10"/>
      <c r="W27" s="10"/>
      <c r="X27" s="259">
        <f t="shared" si="15"/>
        <v>0</v>
      </c>
      <c r="Y27" s="259" t="str">
        <f t="shared" si="1"/>
        <v>יוצר מנוסה</v>
      </c>
      <c r="Z27" s="259">
        <f>'תנאי סף - כלליים'!AP37</f>
        <v>1</v>
      </c>
      <c r="AA27" s="260">
        <f t="shared" si="2"/>
        <v>1</v>
      </c>
      <c r="AB27" s="256">
        <f t="shared" si="3"/>
        <v>1</v>
      </c>
      <c r="AC27" s="1">
        <f t="shared" si="4"/>
        <v>1</v>
      </c>
      <c r="AD27" s="1">
        <f t="shared" si="5"/>
        <v>1</v>
      </c>
      <c r="AE27" s="1">
        <f t="shared" si="6"/>
        <v>1</v>
      </c>
      <c r="AF27" s="1">
        <f t="shared" si="7"/>
        <v>1</v>
      </c>
      <c r="AG27" s="1">
        <f t="shared" si="8"/>
        <v>1</v>
      </c>
      <c r="AH27" s="1">
        <f t="shared" si="16"/>
        <v>1</v>
      </c>
      <c r="AK27" s="1">
        <f t="shared" si="9"/>
        <v>1</v>
      </c>
      <c r="AM27" s="1" t="str">
        <f t="shared" si="17"/>
        <v>יוצר ותיק</v>
      </c>
      <c r="AN27" s="1" t="str">
        <f t="shared" si="10"/>
        <v>יוצר בראשית דרכו</v>
      </c>
      <c r="AO27" s="1" t="str">
        <f t="shared" si="10"/>
        <v>יוצר מנוסה</v>
      </c>
      <c r="AQ27" s="1">
        <f t="shared" si="10"/>
        <v>0</v>
      </c>
      <c r="AR27" s="1">
        <f t="shared" si="10"/>
        <v>1</v>
      </c>
      <c r="AT27" s="1">
        <f t="shared" si="11"/>
        <v>0</v>
      </c>
      <c r="AU27" s="1">
        <f t="shared" si="12"/>
        <v>0</v>
      </c>
      <c r="AV27" s="1">
        <f t="shared" si="13"/>
        <v>1</v>
      </c>
    </row>
    <row r="28" spans="1:48" ht="21.75" customHeight="1" x14ac:dyDescent="0.25">
      <c r="A28" s="46">
        <f t="shared" si="14"/>
        <v>8</v>
      </c>
      <c r="B28" s="379" t="str">
        <f>IF('תנאי סף - כלליים'!F38="","",'תנאי סף - כלליים'!F38)</f>
        <v>אור מרין ואורן נחום</v>
      </c>
      <c r="C28" s="288"/>
      <c r="D28" s="288"/>
      <c r="E28" s="288"/>
      <c r="F28" s="288"/>
      <c r="G28" s="270">
        <f>IF(B28="","",IF(AND(C28=1,D28=1,E28&gt;400000,F28&gt;400000,$L$1=2017),פרמטרים!$C$12,1))</f>
        <v>1</v>
      </c>
      <c r="H28" s="399">
        <v>18</v>
      </c>
      <c r="I28" s="399">
        <v>18</v>
      </c>
      <c r="J28" s="399">
        <v>6</v>
      </c>
      <c r="K28" s="399">
        <v>5</v>
      </c>
      <c r="L28" s="399">
        <v>7</v>
      </c>
      <c r="M28" s="557">
        <v>3.5</v>
      </c>
      <c r="N28" s="10"/>
      <c r="O28" s="399"/>
      <c r="P28" s="10"/>
      <c r="Q28" s="10"/>
      <c r="R28" s="10"/>
      <c r="S28" s="10"/>
      <c r="T28" s="259">
        <f t="shared" si="0"/>
        <v>1</v>
      </c>
      <c r="U28" s="10"/>
      <c r="V28" s="10"/>
      <c r="W28" s="10"/>
      <c r="X28" s="259">
        <f t="shared" si="15"/>
        <v>0</v>
      </c>
      <c r="Y28" s="259" t="str">
        <f t="shared" si="1"/>
        <v>יוצר מנוסה</v>
      </c>
      <c r="Z28" s="259">
        <f>'תנאי סף - כלליים'!AP38</f>
        <v>1</v>
      </c>
      <c r="AA28" s="260">
        <f t="shared" si="2"/>
        <v>1</v>
      </c>
      <c r="AB28" s="256">
        <f t="shared" si="3"/>
        <v>1</v>
      </c>
      <c r="AC28" s="1">
        <f t="shared" si="4"/>
        <v>1</v>
      </c>
      <c r="AD28" s="1">
        <f t="shared" si="5"/>
        <v>1</v>
      </c>
      <c r="AE28" s="1">
        <f t="shared" si="6"/>
        <v>1</v>
      </c>
      <c r="AF28" s="1">
        <f t="shared" si="7"/>
        <v>1</v>
      </c>
      <c r="AG28" s="1">
        <f t="shared" si="8"/>
        <v>1</v>
      </c>
      <c r="AH28" s="1">
        <f t="shared" si="16"/>
        <v>1</v>
      </c>
      <c r="AK28" s="1">
        <f t="shared" si="9"/>
        <v>1</v>
      </c>
      <c r="AM28" s="1" t="str">
        <f t="shared" si="17"/>
        <v>יוצר ותיק</v>
      </c>
      <c r="AN28" s="1" t="str">
        <f t="shared" si="10"/>
        <v>יוצר בראשית דרכו</v>
      </c>
      <c r="AO28" s="1" t="str">
        <f t="shared" si="10"/>
        <v>יוצר מנוסה</v>
      </c>
      <c r="AQ28" s="1">
        <f t="shared" si="10"/>
        <v>0</v>
      </c>
      <c r="AR28" s="1">
        <f t="shared" si="10"/>
        <v>1</v>
      </c>
      <c r="AT28" s="1">
        <f t="shared" si="11"/>
        <v>0</v>
      </c>
      <c r="AU28" s="1">
        <f t="shared" si="12"/>
        <v>0</v>
      </c>
      <c r="AV28" s="1">
        <f t="shared" si="13"/>
        <v>1</v>
      </c>
    </row>
    <row r="29" spans="1:48" ht="21.75" customHeight="1" x14ac:dyDescent="0.25">
      <c r="A29" s="46">
        <f t="shared" si="14"/>
        <v>9</v>
      </c>
      <c r="B29" s="379" t="str">
        <f>IF('תנאי סף - כלליים'!F39="","",'תנאי סף - כלליים'!F39)</f>
        <v>אורי שפיר</v>
      </c>
      <c r="C29" s="288"/>
      <c r="D29" s="288"/>
      <c r="E29" s="288"/>
      <c r="F29" s="288"/>
      <c r="G29" s="270">
        <f>IF(B29="","",IF(AND(C29=1,D29=1,E29&gt;400000,F29&gt;400000,$L$1=2017),פרמטרים!$C$12,1))</f>
        <v>1</v>
      </c>
      <c r="H29" s="399">
        <v>12</v>
      </c>
      <c r="I29" s="399">
        <v>12</v>
      </c>
      <c r="J29" s="399">
        <v>6</v>
      </c>
      <c r="K29" s="399">
        <v>6</v>
      </c>
      <c r="L29" s="399">
        <v>29</v>
      </c>
      <c r="M29" s="557">
        <v>4</v>
      </c>
      <c r="N29" s="10"/>
      <c r="O29" s="399"/>
      <c r="P29" s="10"/>
      <c r="Q29" s="10"/>
      <c r="R29" s="10"/>
      <c r="S29" s="10"/>
      <c r="T29" s="259">
        <f t="shared" si="0"/>
        <v>1</v>
      </c>
      <c r="U29" s="10"/>
      <c r="V29" s="10"/>
      <c r="W29" s="10"/>
      <c r="X29" s="259">
        <f t="shared" si="15"/>
        <v>0</v>
      </c>
      <c r="Y29" s="259" t="str">
        <f t="shared" si="1"/>
        <v>יוצר מנוסה</v>
      </c>
      <c r="Z29" s="259">
        <f>'תנאי סף - כלליים'!AP39</f>
        <v>1</v>
      </c>
      <c r="AA29" s="260">
        <f t="shared" si="2"/>
        <v>1</v>
      </c>
      <c r="AB29" s="256">
        <f t="shared" si="3"/>
        <v>1</v>
      </c>
      <c r="AC29" s="1">
        <f t="shared" si="4"/>
        <v>1</v>
      </c>
      <c r="AD29" s="1">
        <f t="shared" si="5"/>
        <v>1</v>
      </c>
      <c r="AE29" s="1">
        <f t="shared" si="6"/>
        <v>1</v>
      </c>
      <c r="AF29" s="1">
        <f t="shared" si="7"/>
        <v>1</v>
      </c>
      <c r="AG29" s="1">
        <f t="shared" si="8"/>
        <v>1</v>
      </c>
      <c r="AH29" s="1">
        <f t="shared" si="16"/>
        <v>1</v>
      </c>
      <c r="AK29" s="1">
        <f t="shared" si="9"/>
        <v>1</v>
      </c>
      <c r="AM29" s="1" t="str">
        <f t="shared" si="17"/>
        <v>יוצר ותיק</v>
      </c>
      <c r="AN29" s="1" t="str">
        <f t="shared" si="10"/>
        <v>יוצר בראשית דרכו</v>
      </c>
      <c r="AO29" s="1" t="str">
        <f t="shared" si="10"/>
        <v>יוצר מנוסה</v>
      </c>
      <c r="AQ29" s="1">
        <f t="shared" si="10"/>
        <v>0</v>
      </c>
      <c r="AR29" s="1">
        <f t="shared" si="10"/>
        <v>1</v>
      </c>
      <c r="AT29" s="1">
        <f t="shared" si="11"/>
        <v>0</v>
      </c>
      <c r="AU29" s="1">
        <f t="shared" si="12"/>
        <v>0</v>
      </c>
      <c r="AV29" s="1">
        <f t="shared" si="13"/>
        <v>1</v>
      </c>
    </row>
    <row r="30" spans="1:48" ht="21.75" customHeight="1" x14ac:dyDescent="0.25">
      <c r="A30" s="46">
        <f t="shared" si="14"/>
        <v>10</v>
      </c>
      <c r="B30" s="379" t="str">
        <f>IF('תנאי סף - כלליים'!F40="","",'תנאי סף - כלליים'!F40)</f>
        <v>אורלי פורטל</v>
      </c>
      <c r="C30" s="288"/>
      <c r="D30" s="288"/>
      <c r="E30" s="288"/>
      <c r="F30" s="288"/>
      <c r="G30" s="270">
        <f>IF(B30="","",IF(AND(C30=1,D30=1,E30&gt;400000,F30&gt;400000,$L$1=2017),פרמטרים!$C$12,1))</f>
        <v>1</v>
      </c>
      <c r="H30" s="399">
        <v>27</v>
      </c>
      <c r="I30" s="399">
        <v>27</v>
      </c>
      <c r="J30" s="399">
        <v>8</v>
      </c>
      <c r="K30" s="399">
        <v>7</v>
      </c>
      <c r="L30" s="399">
        <v>18</v>
      </c>
      <c r="M30" s="557">
        <v>4.7</v>
      </c>
      <c r="N30" s="10"/>
      <c r="O30" s="399"/>
      <c r="P30" s="10"/>
      <c r="Q30" s="10"/>
      <c r="R30" s="10"/>
      <c r="S30" s="10"/>
      <c r="T30" s="259">
        <f t="shared" si="0"/>
        <v>1</v>
      </c>
      <c r="U30" s="10"/>
      <c r="V30" s="10"/>
      <c r="W30" s="10"/>
      <c r="X30" s="259">
        <f t="shared" si="15"/>
        <v>0</v>
      </c>
      <c r="Y30" s="259" t="str">
        <f t="shared" si="1"/>
        <v>יוצר מנוסה</v>
      </c>
      <c r="Z30" s="259">
        <f>'תנאי סף - כלליים'!AP40</f>
        <v>1</v>
      </c>
      <c r="AA30" s="260">
        <f t="shared" si="2"/>
        <v>1</v>
      </c>
      <c r="AB30" s="256">
        <f t="shared" si="3"/>
        <v>1</v>
      </c>
      <c r="AC30" s="1">
        <f t="shared" si="4"/>
        <v>1</v>
      </c>
      <c r="AD30" s="1">
        <f t="shared" si="5"/>
        <v>1</v>
      </c>
      <c r="AE30" s="1">
        <f t="shared" si="6"/>
        <v>1</v>
      </c>
      <c r="AF30" s="1">
        <f t="shared" si="7"/>
        <v>1</v>
      </c>
      <c r="AG30" s="1">
        <f t="shared" si="8"/>
        <v>1</v>
      </c>
      <c r="AH30" s="1">
        <f t="shared" si="16"/>
        <v>1</v>
      </c>
      <c r="AK30" s="1">
        <f t="shared" si="9"/>
        <v>1</v>
      </c>
      <c r="AM30" s="1" t="str">
        <f t="shared" si="17"/>
        <v>יוצר ותיק</v>
      </c>
      <c r="AN30" s="1" t="str">
        <f t="shared" si="10"/>
        <v>יוצר בראשית דרכו</v>
      </c>
      <c r="AO30" s="1" t="str">
        <f t="shared" si="10"/>
        <v>יוצר מנוסה</v>
      </c>
      <c r="AQ30" s="1">
        <f t="shared" si="10"/>
        <v>0</v>
      </c>
      <c r="AR30" s="1">
        <f t="shared" si="10"/>
        <v>1</v>
      </c>
      <c r="AT30" s="1">
        <f t="shared" si="11"/>
        <v>0</v>
      </c>
      <c r="AU30" s="1">
        <f t="shared" si="12"/>
        <v>0</v>
      </c>
      <c r="AV30" s="1">
        <f t="shared" si="13"/>
        <v>1</v>
      </c>
    </row>
    <row r="31" spans="1:48" ht="21.75" customHeight="1" x14ac:dyDescent="0.25">
      <c r="A31" s="46">
        <f t="shared" si="14"/>
        <v>11</v>
      </c>
      <c r="B31" s="379" t="str">
        <f>IF('תנאי סף - כלליים'!F41="","",'תנאי סף - כלליים'!F41)</f>
        <v/>
      </c>
      <c r="C31" s="288"/>
      <c r="D31" s="288"/>
      <c r="E31" s="288"/>
      <c r="F31" s="288"/>
      <c r="G31" s="270" t="str">
        <f>IF(B31="","",IF(AND(C31=1,D31=1,E31&gt;400000,F31&gt;400000,$L$1=2017),פרמטרים!$C$12,1))</f>
        <v/>
      </c>
      <c r="H31" s="399"/>
      <c r="I31" s="399"/>
      <c r="J31" s="399"/>
      <c r="K31" s="399"/>
      <c r="L31" s="399"/>
      <c r="M31" s="557"/>
      <c r="N31" s="10"/>
      <c r="O31" s="399"/>
      <c r="P31" s="10"/>
      <c r="Q31" s="10"/>
      <c r="R31" s="10"/>
      <c r="S31" s="10"/>
      <c r="T31" s="259" t="str">
        <f t="shared" si="0"/>
        <v/>
      </c>
      <c r="U31" s="10"/>
      <c r="V31" s="10"/>
      <c r="W31" s="10"/>
      <c r="X31" s="259" t="str">
        <f t="shared" si="15"/>
        <v/>
      </c>
      <c r="Y31" s="259" t="str">
        <f t="shared" si="1"/>
        <v/>
      </c>
      <c r="Z31" s="259" t="str">
        <f>'תנאי סף - כלליים'!AP41</f>
        <v/>
      </c>
      <c r="AA31" s="260" t="str">
        <f t="shared" si="2"/>
        <v/>
      </c>
      <c r="AB31" s="256" t="str">
        <f t="shared" si="3"/>
        <v/>
      </c>
      <c r="AC31" s="1">
        <f t="shared" si="4"/>
        <v>0</v>
      </c>
      <c r="AD31" s="1">
        <f t="shared" si="5"/>
        <v>0</v>
      </c>
      <c r="AE31" s="1">
        <f t="shared" si="6"/>
        <v>0</v>
      </c>
      <c r="AF31" s="1">
        <f t="shared" si="7"/>
        <v>0</v>
      </c>
      <c r="AG31" s="1">
        <f t="shared" si="8"/>
        <v>0</v>
      </c>
      <c r="AH31" s="1">
        <f t="shared" si="16"/>
        <v>0</v>
      </c>
      <c r="AK31" s="1">
        <f t="shared" si="9"/>
        <v>0</v>
      </c>
      <c r="AM31" s="1" t="str">
        <f t="shared" si="17"/>
        <v/>
      </c>
      <c r="AN31" s="1" t="str">
        <f t="shared" si="10"/>
        <v/>
      </c>
      <c r="AO31" s="1" t="str">
        <f t="shared" si="10"/>
        <v/>
      </c>
      <c r="AQ31" s="1" t="str">
        <f t="shared" si="10"/>
        <v/>
      </c>
      <c r="AR31" s="1" t="str">
        <f t="shared" si="10"/>
        <v/>
      </c>
      <c r="AT31" s="1">
        <f t="shared" si="11"/>
        <v>0</v>
      </c>
      <c r="AU31" s="1">
        <f t="shared" si="12"/>
        <v>0</v>
      </c>
      <c r="AV31" s="1">
        <f t="shared" si="13"/>
        <v>0</v>
      </c>
    </row>
    <row r="32" spans="1:48" ht="21.75" customHeight="1" x14ac:dyDescent="0.25">
      <c r="A32" s="46">
        <f t="shared" si="14"/>
        <v>12</v>
      </c>
      <c r="B32" s="379" t="str">
        <f>IF('תנאי סף - כלליים'!F42="","",'תנאי סף - כלליים'!F42)</f>
        <v>אורין יוחנן</v>
      </c>
      <c r="C32" s="288"/>
      <c r="D32" s="288"/>
      <c r="E32" s="288"/>
      <c r="F32" s="288"/>
      <c r="G32" s="270">
        <f>IF(B32="","",IF(AND(C32=1,D32=1,E32&gt;400000,F32&gt;400000,$L$1=2017),פרמטרים!$C$12,1))</f>
        <v>1</v>
      </c>
      <c r="H32" s="399">
        <v>10</v>
      </c>
      <c r="I32" s="399">
        <v>10</v>
      </c>
      <c r="J32" s="399">
        <v>5</v>
      </c>
      <c r="K32" s="399">
        <v>4</v>
      </c>
      <c r="L32" s="399">
        <v>7</v>
      </c>
      <c r="M32" s="557">
        <v>4.4000000000000004</v>
      </c>
      <c r="N32" s="10"/>
      <c r="O32" s="399"/>
      <c r="P32" s="10"/>
      <c r="Q32" s="10"/>
      <c r="R32" s="10"/>
      <c r="S32" s="10"/>
      <c r="T32" s="259">
        <f t="shared" si="0"/>
        <v>1</v>
      </c>
      <c r="U32" s="10"/>
      <c r="V32" s="10"/>
      <c r="W32" s="10"/>
      <c r="X32" s="259">
        <f t="shared" si="15"/>
        <v>0</v>
      </c>
      <c r="Y32" s="259" t="str">
        <f t="shared" si="1"/>
        <v>יוצר מנוסה</v>
      </c>
      <c r="Z32" s="259">
        <f>'תנאי סף - כלליים'!AP42</f>
        <v>1</v>
      </c>
      <c r="AA32" s="260">
        <f t="shared" si="2"/>
        <v>1</v>
      </c>
      <c r="AB32" s="256">
        <f t="shared" si="3"/>
        <v>1</v>
      </c>
      <c r="AC32" s="1">
        <f t="shared" si="4"/>
        <v>1</v>
      </c>
      <c r="AD32" s="1">
        <f t="shared" si="5"/>
        <v>1</v>
      </c>
      <c r="AE32" s="1">
        <f t="shared" si="6"/>
        <v>1</v>
      </c>
      <c r="AF32" s="1">
        <f t="shared" si="7"/>
        <v>1</v>
      </c>
      <c r="AG32" s="1">
        <f t="shared" si="8"/>
        <v>1</v>
      </c>
      <c r="AH32" s="1">
        <f t="shared" si="16"/>
        <v>1</v>
      </c>
      <c r="AK32" s="1">
        <f t="shared" si="9"/>
        <v>1</v>
      </c>
      <c r="AM32" s="1" t="str">
        <f t="shared" si="17"/>
        <v>יוצר ותיק</v>
      </c>
      <c r="AN32" s="1" t="str">
        <f t="shared" si="10"/>
        <v>יוצר בראשית דרכו</v>
      </c>
      <c r="AO32" s="1" t="str">
        <f t="shared" si="10"/>
        <v>יוצר מנוסה</v>
      </c>
      <c r="AQ32" s="1">
        <f t="shared" si="10"/>
        <v>0</v>
      </c>
      <c r="AR32" s="1">
        <f t="shared" si="10"/>
        <v>1</v>
      </c>
      <c r="AT32" s="1">
        <f t="shared" si="11"/>
        <v>0</v>
      </c>
      <c r="AU32" s="1">
        <f t="shared" si="12"/>
        <v>0</v>
      </c>
      <c r="AV32" s="1">
        <f t="shared" si="13"/>
        <v>1</v>
      </c>
    </row>
    <row r="33" spans="1:48" ht="21.75" customHeight="1" x14ac:dyDescent="0.25">
      <c r="A33" s="46">
        <f t="shared" si="14"/>
        <v>13</v>
      </c>
      <c r="B33" s="379" t="str">
        <f>IF('תנאי סף - כלליים'!F43="","",'תנאי סף - כלליים'!F43)</f>
        <v>איריס ארז</v>
      </c>
      <c r="C33" s="304"/>
      <c r="D33" s="304"/>
      <c r="E33" s="304"/>
      <c r="F33" s="304"/>
      <c r="G33" s="270">
        <f>IF(B33="","",IF(AND(C33=1,D33=1,E33&gt;400000,F33&gt;400000,$L$1=2017),פרמטרים!$C$12,1))</f>
        <v>1</v>
      </c>
      <c r="H33" s="399">
        <v>20</v>
      </c>
      <c r="I33" s="399">
        <v>20</v>
      </c>
      <c r="J33" s="399">
        <v>9</v>
      </c>
      <c r="K33" s="399">
        <v>5</v>
      </c>
      <c r="L33" s="399">
        <v>18</v>
      </c>
      <c r="M33" s="557">
        <v>5</v>
      </c>
      <c r="N33" s="10"/>
      <c r="O33" s="399"/>
      <c r="P33" s="10"/>
      <c r="Q33" s="10"/>
      <c r="R33" s="10"/>
      <c r="S33" s="10"/>
      <c r="T33" s="259">
        <f t="shared" si="0"/>
        <v>1</v>
      </c>
      <c r="U33" s="10"/>
      <c r="V33" s="10"/>
      <c r="W33" s="10"/>
      <c r="X33" s="259">
        <f t="shared" si="15"/>
        <v>0</v>
      </c>
      <c r="Y33" s="259" t="str">
        <f t="shared" si="1"/>
        <v>יוצר מנוסה</v>
      </c>
      <c r="Z33" s="259">
        <f>'תנאי סף - כלליים'!AP43</f>
        <v>1</v>
      </c>
      <c r="AA33" s="260">
        <f t="shared" si="2"/>
        <v>1</v>
      </c>
      <c r="AB33" s="256">
        <f t="shared" si="3"/>
        <v>1</v>
      </c>
      <c r="AC33" s="1">
        <f t="shared" si="4"/>
        <v>1</v>
      </c>
      <c r="AD33" s="1">
        <f t="shared" si="5"/>
        <v>1</v>
      </c>
      <c r="AE33" s="1">
        <f t="shared" si="6"/>
        <v>1</v>
      </c>
      <c r="AF33" s="1">
        <f t="shared" si="7"/>
        <v>1</v>
      </c>
      <c r="AG33" s="1">
        <f t="shared" si="8"/>
        <v>1</v>
      </c>
      <c r="AH33" s="1">
        <f t="shared" si="16"/>
        <v>1</v>
      </c>
      <c r="AK33" s="1">
        <f t="shared" si="9"/>
        <v>1</v>
      </c>
      <c r="AM33" s="1" t="str">
        <f t="shared" si="17"/>
        <v>יוצר ותיק</v>
      </c>
      <c r="AN33" s="1" t="str">
        <f t="shared" si="10"/>
        <v>יוצר בראשית דרכו</v>
      </c>
      <c r="AO33" s="1" t="str">
        <f t="shared" si="10"/>
        <v>יוצר מנוסה</v>
      </c>
      <c r="AQ33" s="1">
        <f t="shared" si="10"/>
        <v>0</v>
      </c>
      <c r="AR33" s="1">
        <f t="shared" si="10"/>
        <v>1</v>
      </c>
      <c r="AT33" s="1">
        <f t="shared" si="11"/>
        <v>0</v>
      </c>
      <c r="AU33" s="1">
        <f t="shared" si="12"/>
        <v>0</v>
      </c>
      <c r="AV33" s="1">
        <f t="shared" si="13"/>
        <v>1</v>
      </c>
    </row>
    <row r="34" spans="1:48" ht="21.75" customHeight="1" x14ac:dyDescent="0.25">
      <c r="A34" s="46">
        <f t="shared" si="14"/>
        <v>14</v>
      </c>
      <c r="B34" s="379" t="str">
        <f>IF('תנאי סף - כלליים'!F44="","",'תנאי סף - כלליים'!F44)</f>
        <v/>
      </c>
      <c r="C34" s="304"/>
      <c r="D34" s="304"/>
      <c r="E34" s="304"/>
      <c r="F34" s="304"/>
      <c r="G34" s="270" t="str">
        <f>IF(B34="","",IF(AND(C34=1,D34=1,E34&gt;400000,F34&gt;400000,$L$1=2017),פרמטרים!$C$12,1))</f>
        <v/>
      </c>
      <c r="H34" s="399"/>
      <c r="I34" s="399"/>
      <c r="J34" s="399"/>
      <c r="K34" s="399"/>
      <c r="L34" s="399"/>
      <c r="M34" s="557"/>
      <c r="N34" s="10"/>
      <c r="O34" s="399"/>
      <c r="P34" s="10"/>
      <c r="Q34" s="10"/>
      <c r="R34" s="10"/>
      <c r="S34" s="10"/>
      <c r="T34" s="259" t="str">
        <f t="shared" si="0"/>
        <v/>
      </c>
      <c r="U34" s="10"/>
      <c r="V34" s="10"/>
      <c r="W34" s="10"/>
      <c r="X34" s="259" t="str">
        <f t="shared" si="15"/>
        <v/>
      </c>
      <c r="Y34" s="259" t="str">
        <f t="shared" si="1"/>
        <v/>
      </c>
      <c r="Z34" s="259" t="str">
        <f>'תנאי סף - כלליים'!AP44</f>
        <v/>
      </c>
      <c r="AA34" s="260" t="str">
        <f t="shared" si="2"/>
        <v/>
      </c>
      <c r="AB34" s="256" t="str">
        <f t="shared" si="3"/>
        <v/>
      </c>
      <c r="AC34" s="1">
        <f t="shared" si="4"/>
        <v>0</v>
      </c>
      <c r="AD34" s="1">
        <f t="shared" si="5"/>
        <v>0</v>
      </c>
      <c r="AE34" s="1">
        <f t="shared" si="6"/>
        <v>0</v>
      </c>
      <c r="AF34" s="1">
        <f t="shared" si="7"/>
        <v>0</v>
      </c>
      <c r="AG34" s="1">
        <f t="shared" si="8"/>
        <v>0</v>
      </c>
      <c r="AH34" s="1">
        <f t="shared" si="16"/>
        <v>0</v>
      </c>
      <c r="AK34" s="1">
        <f t="shared" si="9"/>
        <v>0</v>
      </c>
      <c r="AM34" s="1" t="str">
        <f t="shared" si="17"/>
        <v/>
      </c>
      <c r="AN34" s="1" t="str">
        <f t="shared" si="10"/>
        <v/>
      </c>
      <c r="AO34" s="1" t="str">
        <f t="shared" si="10"/>
        <v/>
      </c>
      <c r="AQ34" s="1" t="str">
        <f t="shared" si="10"/>
        <v/>
      </c>
      <c r="AR34" s="1" t="str">
        <f t="shared" si="10"/>
        <v/>
      </c>
      <c r="AT34" s="1">
        <f t="shared" si="11"/>
        <v>0</v>
      </c>
      <c r="AU34" s="1">
        <f t="shared" si="12"/>
        <v>0</v>
      </c>
      <c r="AV34" s="1">
        <f t="shared" si="13"/>
        <v>0</v>
      </c>
    </row>
    <row r="35" spans="1:48" ht="21.75" customHeight="1" x14ac:dyDescent="0.25">
      <c r="A35" s="46">
        <f t="shared" si="14"/>
        <v>15</v>
      </c>
      <c r="B35" s="379" t="str">
        <f>IF('תנאי סף - כלליים'!F45="","",'תנאי סף - כלליים'!F45)</f>
        <v>ענבל אושמן</v>
      </c>
      <c r="C35" s="304"/>
      <c r="D35" s="304"/>
      <c r="E35" s="304"/>
      <c r="F35" s="304"/>
      <c r="G35" s="270">
        <f>IF(B35="","",IF(AND(C35=1,D35=1,E35&gt;400000,F35&gt;400000,$L$1=2017),פרמטרים!$C$12,1))</f>
        <v>1</v>
      </c>
      <c r="H35" s="399">
        <v>13</v>
      </c>
      <c r="I35" s="399">
        <v>13</v>
      </c>
      <c r="J35" s="399">
        <v>3</v>
      </c>
      <c r="K35" s="399">
        <v>3</v>
      </c>
      <c r="L35" s="399">
        <v>10</v>
      </c>
      <c r="M35" s="557">
        <v>3.1</v>
      </c>
      <c r="N35" s="10"/>
      <c r="O35" s="399"/>
      <c r="P35" s="10"/>
      <c r="Q35" s="10"/>
      <c r="R35" s="10"/>
      <c r="S35" s="10"/>
      <c r="T35" s="259">
        <f t="shared" si="0"/>
        <v>1</v>
      </c>
      <c r="U35" s="10"/>
      <c r="V35" s="10"/>
      <c r="W35" s="10"/>
      <c r="X35" s="259">
        <f t="shared" si="15"/>
        <v>0</v>
      </c>
      <c r="Y35" s="259" t="str">
        <f t="shared" si="1"/>
        <v>יוצר מנוסה</v>
      </c>
      <c r="Z35" s="259">
        <f>'תנאי סף - כלליים'!AP45</f>
        <v>1</v>
      </c>
      <c r="AA35" s="260">
        <f t="shared" si="2"/>
        <v>1</v>
      </c>
      <c r="AB35" s="256">
        <f t="shared" si="3"/>
        <v>1</v>
      </c>
      <c r="AC35" s="1">
        <f t="shared" si="4"/>
        <v>1</v>
      </c>
      <c r="AD35" s="1">
        <f t="shared" si="5"/>
        <v>1</v>
      </c>
      <c r="AE35" s="1">
        <f t="shared" si="6"/>
        <v>1</v>
      </c>
      <c r="AF35" s="1">
        <f t="shared" si="7"/>
        <v>1</v>
      </c>
      <c r="AG35" s="1">
        <f t="shared" si="8"/>
        <v>1</v>
      </c>
      <c r="AH35" s="1">
        <f t="shared" si="16"/>
        <v>1</v>
      </c>
      <c r="AK35" s="1">
        <f t="shared" si="9"/>
        <v>1</v>
      </c>
      <c r="AM35" s="1" t="str">
        <f t="shared" si="17"/>
        <v>יוצר ותיק</v>
      </c>
      <c r="AN35" s="1" t="str">
        <f t="shared" si="10"/>
        <v>יוצר בראשית דרכו</v>
      </c>
      <c r="AO35" s="1" t="str">
        <f t="shared" si="10"/>
        <v>יוצר מנוסה</v>
      </c>
      <c r="AQ35" s="1">
        <f t="shared" si="10"/>
        <v>0</v>
      </c>
      <c r="AR35" s="1">
        <f t="shared" si="10"/>
        <v>1</v>
      </c>
      <c r="AT35" s="1">
        <f t="shared" si="11"/>
        <v>0</v>
      </c>
      <c r="AU35" s="1">
        <f t="shared" si="12"/>
        <v>0</v>
      </c>
      <c r="AV35" s="1">
        <f t="shared" si="13"/>
        <v>1</v>
      </c>
    </row>
    <row r="36" spans="1:48" ht="21.75" customHeight="1" x14ac:dyDescent="0.25">
      <c r="A36" s="46">
        <f t="shared" si="14"/>
        <v>16</v>
      </c>
      <c r="B36" s="379" t="str">
        <f>IF('תנאי סף - כלליים'!F46="","",'תנאי סף - כלליים'!F46)</f>
        <v>אנדריאה מרטיני</v>
      </c>
      <c r="C36" s="304"/>
      <c r="D36" s="304"/>
      <c r="E36" s="304"/>
      <c r="F36" s="304"/>
      <c r="G36" s="270">
        <f>IF(B36="","",IF(AND(C36=1,D36=1,E36&gt;400000,F36&gt;400000,$L$1=2017),פרמטרים!$C$12,1))</f>
        <v>1</v>
      </c>
      <c r="H36" s="399">
        <v>10</v>
      </c>
      <c r="I36" s="399">
        <v>10</v>
      </c>
      <c r="J36" s="399">
        <v>3</v>
      </c>
      <c r="K36" s="399">
        <v>3</v>
      </c>
      <c r="L36" s="399">
        <v>8</v>
      </c>
      <c r="M36" s="557">
        <v>3.8</v>
      </c>
      <c r="N36" s="10"/>
      <c r="O36" s="399"/>
      <c r="P36" s="10"/>
      <c r="Q36" s="10"/>
      <c r="R36" s="10"/>
      <c r="S36" s="10"/>
      <c r="T36" s="259">
        <f t="shared" si="0"/>
        <v>1</v>
      </c>
      <c r="U36" s="10"/>
      <c r="V36" s="10"/>
      <c r="W36" s="10"/>
      <c r="X36" s="259">
        <f t="shared" si="15"/>
        <v>0</v>
      </c>
      <c r="Y36" s="259" t="str">
        <f t="shared" si="1"/>
        <v>יוצר מנוסה</v>
      </c>
      <c r="Z36" s="259">
        <f>'תנאי סף - כלליים'!AP46</f>
        <v>1</v>
      </c>
      <c r="AA36" s="260">
        <f t="shared" si="2"/>
        <v>1</v>
      </c>
      <c r="AB36" s="256">
        <f t="shared" si="3"/>
        <v>1</v>
      </c>
      <c r="AC36" s="1">
        <f t="shared" si="4"/>
        <v>1</v>
      </c>
      <c r="AD36" s="1">
        <f t="shared" si="5"/>
        <v>1</v>
      </c>
      <c r="AE36" s="1">
        <f t="shared" si="6"/>
        <v>1</v>
      </c>
      <c r="AF36" s="1">
        <f t="shared" si="7"/>
        <v>1</v>
      </c>
      <c r="AG36" s="1">
        <f t="shared" si="8"/>
        <v>1</v>
      </c>
      <c r="AH36" s="1">
        <f t="shared" si="16"/>
        <v>1</v>
      </c>
      <c r="AK36" s="1">
        <f t="shared" si="9"/>
        <v>1</v>
      </c>
      <c r="AM36" s="1" t="str">
        <f t="shared" si="17"/>
        <v>יוצר ותיק</v>
      </c>
      <c r="AN36" s="1" t="str">
        <f t="shared" si="10"/>
        <v>יוצר בראשית דרכו</v>
      </c>
      <c r="AO36" s="1" t="str">
        <f t="shared" si="10"/>
        <v>יוצר מנוסה</v>
      </c>
      <c r="AQ36" s="1">
        <f t="shared" si="10"/>
        <v>0</v>
      </c>
      <c r="AR36" s="1">
        <f t="shared" si="10"/>
        <v>1</v>
      </c>
      <c r="AT36" s="1">
        <f t="shared" si="11"/>
        <v>0</v>
      </c>
      <c r="AU36" s="1">
        <f t="shared" si="12"/>
        <v>0</v>
      </c>
      <c r="AV36" s="1">
        <f t="shared" si="13"/>
        <v>1</v>
      </c>
    </row>
    <row r="37" spans="1:48" ht="21.75" customHeight="1" x14ac:dyDescent="0.25">
      <c r="A37" s="46">
        <f t="shared" si="14"/>
        <v>17</v>
      </c>
      <c r="B37" s="379" t="str">
        <f>IF('תנאי סף - כלליים'!F47="","",'תנאי סף - כלליים'!F47)</f>
        <v>אפרת רובין</v>
      </c>
      <c r="C37" s="304"/>
      <c r="D37" s="304"/>
      <c r="E37" s="304"/>
      <c r="F37" s="304"/>
      <c r="G37" s="270">
        <f>IF(B37="","",IF(AND(C37=1,D37=1,E37&gt;400000,F37&gt;400000,$L$1=2017),פרמטרים!$C$12,1))</f>
        <v>1</v>
      </c>
      <c r="H37" s="399">
        <v>14</v>
      </c>
      <c r="I37" s="399">
        <v>14</v>
      </c>
      <c r="J37" s="399">
        <v>6</v>
      </c>
      <c r="K37" s="399">
        <v>5</v>
      </c>
      <c r="L37" s="399">
        <v>19</v>
      </c>
      <c r="M37" s="557">
        <v>3</v>
      </c>
      <c r="N37" s="10"/>
      <c r="O37" s="399"/>
      <c r="P37" s="10"/>
      <c r="Q37" s="10"/>
      <c r="R37" s="10"/>
      <c r="S37" s="10"/>
      <c r="T37" s="259">
        <f t="shared" si="0"/>
        <v>1</v>
      </c>
      <c r="U37" s="10"/>
      <c r="V37" s="10"/>
      <c r="W37" s="10"/>
      <c r="X37" s="259">
        <f t="shared" si="15"/>
        <v>0</v>
      </c>
      <c r="Y37" s="259" t="str">
        <f t="shared" si="1"/>
        <v>יוצר מנוסה</v>
      </c>
      <c r="Z37" s="259">
        <f>'תנאי סף - כלליים'!AP47</f>
        <v>1</v>
      </c>
      <c r="AA37" s="260">
        <f t="shared" si="2"/>
        <v>1</v>
      </c>
      <c r="AB37" s="256">
        <f t="shared" si="3"/>
        <v>1</v>
      </c>
      <c r="AC37" s="1">
        <f t="shared" si="4"/>
        <v>1</v>
      </c>
      <c r="AD37" s="1">
        <f t="shared" si="5"/>
        <v>1</v>
      </c>
      <c r="AE37" s="1">
        <f t="shared" si="6"/>
        <v>1</v>
      </c>
      <c r="AF37" s="1">
        <f t="shared" si="7"/>
        <v>1</v>
      </c>
      <c r="AG37" s="1">
        <f t="shared" si="8"/>
        <v>1</v>
      </c>
      <c r="AH37" s="1">
        <f t="shared" si="16"/>
        <v>1</v>
      </c>
      <c r="AK37" s="1">
        <f t="shared" si="9"/>
        <v>1</v>
      </c>
      <c r="AM37" s="1" t="str">
        <f t="shared" si="17"/>
        <v>יוצר ותיק</v>
      </c>
      <c r="AN37" s="1" t="str">
        <f t="shared" si="17"/>
        <v>יוצר בראשית דרכו</v>
      </c>
      <c r="AO37" s="1" t="str">
        <f t="shared" si="17"/>
        <v>יוצר מנוסה</v>
      </c>
      <c r="AQ37" s="1">
        <f t="shared" si="17"/>
        <v>0</v>
      </c>
      <c r="AR37" s="1">
        <f t="shared" si="17"/>
        <v>1</v>
      </c>
      <c r="AT37" s="1">
        <f t="shared" si="11"/>
        <v>0</v>
      </c>
      <c r="AU37" s="1">
        <f t="shared" si="12"/>
        <v>0</v>
      </c>
      <c r="AV37" s="1">
        <f t="shared" si="13"/>
        <v>1</v>
      </c>
    </row>
    <row r="38" spans="1:48" ht="21.75" customHeight="1" x14ac:dyDescent="0.25">
      <c r="A38" s="46">
        <f t="shared" si="14"/>
        <v>18</v>
      </c>
      <c r="B38" s="379" t="str">
        <f>IF('תנאי סף - כלליים'!F48="","",'תנאי סף - כלליים'!F48)</f>
        <v>שרון צוקרמן</v>
      </c>
      <c r="C38" s="304"/>
      <c r="D38" s="304"/>
      <c r="E38" s="304"/>
      <c r="F38" s="304"/>
      <c r="G38" s="270">
        <f>IF(B38="","",IF(AND(C38=1,D38=1,E38&gt;400000,F38&gt;400000,$L$1=2017),פרמטרים!$C$12,1))</f>
        <v>1</v>
      </c>
      <c r="H38" s="399">
        <v>23</v>
      </c>
      <c r="I38" s="399">
        <v>23</v>
      </c>
      <c r="J38" s="399">
        <v>6</v>
      </c>
      <c r="K38" s="399">
        <v>5</v>
      </c>
      <c r="L38" s="399">
        <v>12</v>
      </c>
      <c r="M38" s="557">
        <v>3.47</v>
      </c>
      <c r="N38" s="10"/>
      <c r="O38" s="399"/>
      <c r="P38" s="10"/>
      <c r="Q38" s="10"/>
      <c r="R38" s="10"/>
      <c r="S38" s="10"/>
      <c r="T38" s="259">
        <f t="shared" si="0"/>
        <v>1</v>
      </c>
      <c r="U38" s="10"/>
      <c r="V38" s="10"/>
      <c r="W38" s="10"/>
      <c r="X38" s="259">
        <f t="shared" si="15"/>
        <v>0</v>
      </c>
      <c r="Y38" s="259" t="str">
        <f t="shared" si="1"/>
        <v>יוצר מנוסה</v>
      </c>
      <c r="Z38" s="259">
        <f>'תנאי סף - כלליים'!AP48</f>
        <v>1</v>
      </c>
      <c r="AA38" s="260">
        <f t="shared" si="2"/>
        <v>1</v>
      </c>
      <c r="AB38" s="256">
        <f t="shared" si="3"/>
        <v>1</v>
      </c>
      <c r="AC38" s="1">
        <f t="shared" si="4"/>
        <v>1</v>
      </c>
      <c r="AD38" s="1">
        <f t="shared" si="5"/>
        <v>1</v>
      </c>
      <c r="AE38" s="1">
        <f t="shared" si="6"/>
        <v>1</v>
      </c>
      <c r="AF38" s="1">
        <f t="shared" si="7"/>
        <v>1</v>
      </c>
      <c r="AG38" s="1">
        <f t="shared" si="8"/>
        <v>1</v>
      </c>
      <c r="AH38" s="1">
        <f t="shared" si="16"/>
        <v>1</v>
      </c>
      <c r="AK38" s="1">
        <f t="shared" si="9"/>
        <v>1</v>
      </c>
      <c r="AM38" s="1" t="str">
        <f t="shared" si="17"/>
        <v>יוצר ותיק</v>
      </c>
      <c r="AN38" s="1" t="str">
        <f t="shared" si="17"/>
        <v>יוצר בראשית דרכו</v>
      </c>
      <c r="AO38" s="1" t="str">
        <f t="shared" si="17"/>
        <v>יוצר מנוסה</v>
      </c>
      <c r="AQ38" s="1">
        <f t="shared" si="17"/>
        <v>0</v>
      </c>
      <c r="AR38" s="1">
        <f t="shared" si="17"/>
        <v>1</v>
      </c>
      <c r="AT38" s="1">
        <f t="shared" si="11"/>
        <v>0</v>
      </c>
      <c r="AU38" s="1">
        <f t="shared" si="12"/>
        <v>0</v>
      </c>
      <c r="AV38" s="1">
        <f t="shared" si="13"/>
        <v>1</v>
      </c>
    </row>
    <row r="39" spans="1:48" ht="21.75" customHeight="1" x14ac:dyDescent="0.25">
      <c r="A39" s="46">
        <f t="shared" si="14"/>
        <v>19</v>
      </c>
      <c r="B39" s="379" t="str">
        <f>IF('תנאי סף - כלליים'!F49="","",'תנאי סף - כלליים'!F49)</f>
        <v>בשמת נוסן</v>
      </c>
      <c r="C39" s="304"/>
      <c r="D39" s="304"/>
      <c r="E39" s="304"/>
      <c r="F39" s="304"/>
      <c r="G39" s="270">
        <f>IF(B39="","",IF(AND(C39=1,D39=1,E39&gt;400000,F39&gt;400000,$L$1=2017),פרמטרים!$C$12,1))</f>
        <v>1</v>
      </c>
      <c r="H39" s="399">
        <v>11</v>
      </c>
      <c r="I39" s="399">
        <v>11</v>
      </c>
      <c r="J39" s="399">
        <v>9</v>
      </c>
      <c r="K39" s="399">
        <v>6</v>
      </c>
      <c r="L39" s="399">
        <v>14</v>
      </c>
      <c r="M39" s="557">
        <v>4.3</v>
      </c>
      <c r="N39" s="10"/>
      <c r="O39" s="399"/>
      <c r="P39" s="10"/>
      <c r="Q39" s="10"/>
      <c r="R39" s="10"/>
      <c r="S39" s="10"/>
      <c r="T39" s="259">
        <f t="shared" si="0"/>
        <v>1</v>
      </c>
      <c r="U39" s="10"/>
      <c r="V39" s="10"/>
      <c r="W39" s="10"/>
      <c r="X39" s="259">
        <f t="shared" si="15"/>
        <v>0</v>
      </c>
      <c r="Y39" s="259" t="str">
        <f t="shared" si="1"/>
        <v>יוצר מנוסה</v>
      </c>
      <c r="Z39" s="259">
        <f>'תנאי סף - כלליים'!AP49</f>
        <v>1</v>
      </c>
      <c r="AA39" s="260">
        <f t="shared" si="2"/>
        <v>1</v>
      </c>
      <c r="AB39" s="256">
        <f t="shared" si="3"/>
        <v>1</v>
      </c>
      <c r="AC39" s="1">
        <f t="shared" si="4"/>
        <v>1</v>
      </c>
      <c r="AD39" s="1">
        <f t="shared" si="5"/>
        <v>1</v>
      </c>
      <c r="AE39" s="1">
        <f t="shared" si="6"/>
        <v>1</v>
      </c>
      <c r="AF39" s="1">
        <f t="shared" si="7"/>
        <v>1</v>
      </c>
      <c r="AG39" s="1">
        <f t="shared" si="8"/>
        <v>1</v>
      </c>
      <c r="AH39" s="1">
        <f t="shared" si="16"/>
        <v>1</v>
      </c>
      <c r="AK39" s="1">
        <f t="shared" si="9"/>
        <v>1</v>
      </c>
      <c r="AM39" s="1" t="str">
        <f t="shared" si="17"/>
        <v>יוצר ותיק</v>
      </c>
      <c r="AN39" s="1" t="str">
        <f t="shared" si="17"/>
        <v>יוצר בראשית דרכו</v>
      </c>
      <c r="AO39" s="1" t="str">
        <f t="shared" si="17"/>
        <v>יוצר מנוסה</v>
      </c>
      <c r="AQ39" s="1">
        <f t="shared" si="17"/>
        <v>0</v>
      </c>
      <c r="AR39" s="1">
        <f t="shared" si="17"/>
        <v>1</v>
      </c>
      <c r="AT39" s="1">
        <f t="shared" si="11"/>
        <v>0</v>
      </c>
      <c r="AU39" s="1">
        <f t="shared" si="12"/>
        <v>0</v>
      </c>
      <c r="AV39" s="1">
        <f t="shared" si="13"/>
        <v>1</v>
      </c>
    </row>
    <row r="40" spans="1:48" ht="21.75" customHeight="1" x14ac:dyDescent="0.25">
      <c r="A40" s="46">
        <f t="shared" si="14"/>
        <v>20</v>
      </c>
      <c r="B40" s="379" t="str">
        <f>IF('תנאי סף - כלליים'!F50="","",'תנאי סף - כלליים'!F50)</f>
        <v>גיל קרר</v>
      </c>
      <c r="C40" s="304"/>
      <c r="D40" s="304"/>
      <c r="E40" s="304"/>
      <c r="F40" s="304"/>
      <c r="G40" s="270">
        <f>IF(B40="","",IF(AND(C40=1,D40=1,E40&gt;400000,F40&gt;400000,$L$1=2017),פרמטרים!$C$12,1))</f>
        <v>1</v>
      </c>
      <c r="H40" s="399">
        <v>12</v>
      </c>
      <c r="I40" s="399">
        <v>12</v>
      </c>
      <c r="J40" s="399">
        <v>4</v>
      </c>
      <c r="K40" s="399">
        <v>3</v>
      </c>
      <c r="L40" s="399">
        <v>19</v>
      </c>
      <c r="M40" s="557">
        <v>4.2</v>
      </c>
      <c r="N40" s="10"/>
      <c r="O40" s="399"/>
      <c r="P40" s="10"/>
      <c r="Q40" s="10"/>
      <c r="R40" s="10"/>
      <c r="S40" s="10"/>
      <c r="T40" s="259">
        <f t="shared" si="0"/>
        <v>1</v>
      </c>
      <c r="U40" s="10"/>
      <c r="V40" s="10"/>
      <c r="W40" s="10"/>
      <c r="X40" s="259">
        <f t="shared" si="15"/>
        <v>0</v>
      </c>
      <c r="Y40" s="259" t="str">
        <f t="shared" si="1"/>
        <v>יוצר מנוסה</v>
      </c>
      <c r="Z40" s="259">
        <f>'תנאי סף - כלליים'!AP50</f>
        <v>1</v>
      </c>
      <c r="AA40" s="260">
        <f t="shared" si="2"/>
        <v>1</v>
      </c>
      <c r="AB40" s="256">
        <f t="shared" si="3"/>
        <v>1</v>
      </c>
      <c r="AC40" s="1">
        <f t="shared" si="4"/>
        <v>1</v>
      </c>
      <c r="AD40" s="1">
        <f t="shared" si="5"/>
        <v>1</v>
      </c>
      <c r="AE40" s="1">
        <f t="shared" si="6"/>
        <v>1</v>
      </c>
      <c r="AF40" s="1">
        <f t="shared" si="7"/>
        <v>1</v>
      </c>
      <c r="AG40" s="1">
        <f t="shared" si="8"/>
        <v>1</v>
      </c>
      <c r="AH40" s="1">
        <f t="shared" si="16"/>
        <v>1</v>
      </c>
      <c r="AK40" s="1">
        <f t="shared" si="9"/>
        <v>1</v>
      </c>
      <c r="AM40" s="1" t="str">
        <f t="shared" si="17"/>
        <v>יוצר ותיק</v>
      </c>
      <c r="AN40" s="1" t="str">
        <f t="shared" si="17"/>
        <v>יוצר בראשית דרכו</v>
      </c>
      <c r="AO40" s="1" t="str">
        <f t="shared" si="17"/>
        <v>יוצר מנוסה</v>
      </c>
      <c r="AQ40" s="1">
        <f t="shared" si="17"/>
        <v>0</v>
      </c>
      <c r="AR40" s="1">
        <f t="shared" si="17"/>
        <v>1</v>
      </c>
      <c r="AT40" s="1">
        <f t="shared" si="11"/>
        <v>0</v>
      </c>
      <c r="AU40" s="1">
        <f t="shared" si="12"/>
        <v>0</v>
      </c>
      <c r="AV40" s="1">
        <f t="shared" si="13"/>
        <v>1</v>
      </c>
    </row>
    <row r="41" spans="1:48" ht="21.75" customHeight="1" x14ac:dyDescent="0.25">
      <c r="A41" s="46">
        <f t="shared" si="14"/>
        <v>21</v>
      </c>
      <c r="B41" s="379" t="str">
        <f>IF('תנאי סף - כלליים'!F51="","",'תנאי סף - כלליים'!F51)</f>
        <v>דינה תלם</v>
      </c>
      <c r="C41" s="304"/>
      <c r="D41" s="304"/>
      <c r="E41" s="304"/>
      <c r="F41" s="304"/>
      <c r="G41" s="270">
        <f>IF(B41="","",IF(AND(C41=1,D41=1,E41&gt;400000,F41&gt;400000,$L$1=2017),פרמטרים!$C$12,1))</f>
        <v>1</v>
      </c>
      <c r="H41" s="399">
        <v>24</v>
      </c>
      <c r="I41" s="399">
        <v>24</v>
      </c>
      <c r="J41" s="399">
        <v>6</v>
      </c>
      <c r="K41" s="399">
        <v>2</v>
      </c>
      <c r="L41" s="399">
        <v>41</v>
      </c>
      <c r="M41" s="557">
        <v>3.13</v>
      </c>
      <c r="N41" s="10"/>
      <c r="O41" s="399"/>
      <c r="P41" s="10"/>
      <c r="Q41" s="10"/>
      <c r="R41" s="10"/>
      <c r="S41" s="10"/>
      <c r="T41" s="259">
        <f t="shared" si="0"/>
        <v>1</v>
      </c>
      <c r="U41" s="10"/>
      <c r="V41" s="10"/>
      <c r="W41" s="10"/>
      <c r="X41" s="259">
        <f t="shared" si="15"/>
        <v>0</v>
      </c>
      <c r="Y41" s="259" t="str">
        <f t="shared" si="1"/>
        <v>יוצר מנוסה</v>
      </c>
      <c r="Z41" s="259">
        <f>'תנאי סף - כלליים'!AP51</f>
        <v>1</v>
      </c>
      <c r="AA41" s="260">
        <f t="shared" si="2"/>
        <v>1</v>
      </c>
      <c r="AB41" s="256">
        <f t="shared" si="3"/>
        <v>1</v>
      </c>
      <c r="AC41" s="1">
        <f t="shared" si="4"/>
        <v>1</v>
      </c>
      <c r="AD41" s="1">
        <f t="shared" si="5"/>
        <v>1</v>
      </c>
      <c r="AE41" s="1">
        <f t="shared" si="6"/>
        <v>1</v>
      </c>
      <c r="AF41" s="1">
        <f t="shared" si="7"/>
        <v>1</v>
      </c>
      <c r="AG41" s="1">
        <f t="shared" si="8"/>
        <v>1</v>
      </c>
      <c r="AH41" s="1">
        <f t="shared" si="16"/>
        <v>1</v>
      </c>
      <c r="AK41" s="1">
        <f t="shared" si="9"/>
        <v>1</v>
      </c>
      <c r="AM41" s="1" t="str">
        <f t="shared" si="17"/>
        <v>יוצר ותיק</v>
      </c>
      <c r="AN41" s="1" t="str">
        <f t="shared" si="17"/>
        <v>יוצר בראשית דרכו</v>
      </c>
      <c r="AO41" s="1" t="str">
        <f t="shared" si="17"/>
        <v>יוצר מנוסה</v>
      </c>
      <c r="AQ41" s="1">
        <f t="shared" si="17"/>
        <v>0</v>
      </c>
      <c r="AR41" s="1">
        <f t="shared" si="17"/>
        <v>1</v>
      </c>
      <c r="AT41" s="1">
        <f t="shared" si="11"/>
        <v>0</v>
      </c>
      <c r="AU41" s="1">
        <f t="shared" si="12"/>
        <v>0</v>
      </c>
      <c r="AV41" s="1">
        <f t="shared" si="13"/>
        <v>1</v>
      </c>
    </row>
    <row r="42" spans="1:48" ht="21.75" customHeight="1" x14ac:dyDescent="0.25">
      <c r="A42" s="46">
        <f t="shared" si="14"/>
        <v>22</v>
      </c>
      <c r="B42" s="379" t="str">
        <f>IF('תנאי סף - כלליים'!F52="","",'תנאי סף - כלליים'!F52)</f>
        <v>דנה יהלומי</v>
      </c>
      <c r="C42" s="304"/>
      <c r="D42" s="304"/>
      <c r="E42" s="304"/>
      <c r="F42" s="304"/>
      <c r="G42" s="270">
        <f>IF(B42="","",IF(AND(C42=1,D42=1,E42&gt;400000,F42&gt;400000,$L$1=2017),פרמטרים!$C$12,1))</f>
        <v>1</v>
      </c>
      <c r="H42" s="399">
        <v>17</v>
      </c>
      <c r="I42" s="399">
        <v>17</v>
      </c>
      <c r="J42" s="399">
        <v>5</v>
      </c>
      <c r="K42" s="399">
        <v>3</v>
      </c>
      <c r="L42" s="399">
        <v>7</v>
      </c>
      <c r="M42" s="557">
        <v>3.5</v>
      </c>
      <c r="N42" s="10"/>
      <c r="O42" s="399"/>
      <c r="P42" s="10"/>
      <c r="Q42" s="10"/>
      <c r="R42" s="10"/>
      <c r="S42" s="10"/>
      <c r="T42" s="259">
        <f t="shared" si="0"/>
        <v>1</v>
      </c>
      <c r="U42" s="10"/>
      <c r="V42" s="10"/>
      <c r="W42" s="10"/>
      <c r="X42" s="259">
        <f t="shared" si="15"/>
        <v>0</v>
      </c>
      <c r="Y42" s="259" t="str">
        <f t="shared" si="1"/>
        <v>יוצר מנוסה</v>
      </c>
      <c r="Z42" s="259">
        <f>'תנאי סף - כלליים'!AP52</f>
        <v>1</v>
      </c>
      <c r="AA42" s="260">
        <f t="shared" si="2"/>
        <v>1</v>
      </c>
      <c r="AB42" s="256">
        <f t="shared" si="3"/>
        <v>1</v>
      </c>
      <c r="AC42" s="1">
        <f t="shared" si="4"/>
        <v>1</v>
      </c>
      <c r="AD42" s="1">
        <f t="shared" si="5"/>
        <v>1</v>
      </c>
      <c r="AE42" s="1">
        <f t="shared" si="6"/>
        <v>1</v>
      </c>
      <c r="AF42" s="1">
        <f t="shared" si="7"/>
        <v>1</v>
      </c>
      <c r="AG42" s="1">
        <f t="shared" si="8"/>
        <v>1</v>
      </c>
      <c r="AH42" s="1">
        <f t="shared" si="16"/>
        <v>1</v>
      </c>
      <c r="AK42" s="1">
        <f t="shared" si="9"/>
        <v>1</v>
      </c>
      <c r="AM42" s="1" t="str">
        <f t="shared" si="17"/>
        <v>יוצר ותיק</v>
      </c>
      <c r="AN42" s="1" t="str">
        <f t="shared" si="17"/>
        <v>יוצר בראשית דרכו</v>
      </c>
      <c r="AO42" s="1" t="str">
        <f t="shared" si="17"/>
        <v>יוצר מנוסה</v>
      </c>
      <c r="AQ42" s="1">
        <f t="shared" si="17"/>
        <v>0</v>
      </c>
      <c r="AR42" s="1">
        <f t="shared" si="17"/>
        <v>1</v>
      </c>
      <c r="AT42" s="1">
        <f t="shared" si="11"/>
        <v>0</v>
      </c>
      <c r="AU42" s="1">
        <f t="shared" si="12"/>
        <v>0</v>
      </c>
      <c r="AV42" s="1">
        <f t="shared" si="13"/>
        <v>1</v>
      </c>
    </row>
    <row r="43" spans="1:48" ht="21.75" customHeight="1" x14ac:dyDescent="0.25">
      <c r="A43" s="46">
        <f t="shared" si="14"/>
        <v>23</v>
      </c>
      <c r="B43" s="379" t="str">
        <f>IF('תנאי סף - כלליים'!F53="","",'תנאי סף - כלליים'!F53)</f>
        <v>דנה רוטנברג</v>
      </c>
      <c r="C43" s="304"/>
      <c r="D43" s="304"/>
      <c r="E43" s="304"/>
      <c r="F43" s="304"/>
      <c r="G43" s="270">
        <f>IF(B43="","",IF(AND(C43=1,D43=1,E43&gt;400000,F43&gt;400000,$L$1=2017),פרמטרים!$C$12,1))</f>
        <v>1</v>
      </c>
      <c r="H43" s="399">
        <v>20</v>
      </c>
      <c r="I43" s="399">
        <v>20</v>
      </c>
      <c r="J43" s="399">
        <v>5</v>
      </c>
      <c r="K43" s="399">
        <v>4</v>
      </c>
      <c r="L43" s="399">
        <v>53</v>
      </c>
      <c r="M43" s="557">
        <v>3.1</v>
      </c>
      <c r="N43" s="10"/>
      <c r="O43" s="399"/>
      <c r="P43" s="10"/>
      <c r="Q43" s="10"/>
      <c r="R43" s="10"/>
      <c r="S43" s="10"/>
      <c r="T43" s="259">
        <f t="shared" si="0"/>
        <v>1</v>
      </c>
      <c r="U43" s="10"/>
      <c r="V43" s="10"/>
      <c r="W43" s="10"/>
      <c r="X43" s="259">
        <f t="shared" si="15"/>
        <v>0</v>
      </c>
      <c r="Y43" s="259" t="str">
        <f t="shared" si="1"/>
        <v>יוצר מנוסה</v>
      </c>
      <c r="Z43" s="259">
        <f>'תנאי סף - כלליים'!AP53</f>
        <v>1</v>
      </c>
      <c r="AA43" s="260">
        <f t="shared" si="2"/>
        <v>1</v>
      </c>
      <c r="AB43" s="256">
        <f t="shared" si="3"/>
        <v>1</v>
      </c>
      <c r="AC43" s="1">
        <f t="shared" si="4"/>
        <v>1</v>
      </c>
      <c r="AD43" s="1">
        <f t="shared" si="5"/>
        <v>1</v>
      </c>
      <c r="AE43" s="1">
        <f t="shared" si="6"/>
        <v>1</v>
      </c>
      <c r="AF43" s="1">
        <f t="shared" si="7"/>
        <v>1</v>
      </c>
      <c r="AG43" s="1">
        <f t="shared" si="8"/>
        <v>1</v>
      </c>
      <c r="AH43" s="1">
        <f t="shared" si="16"/>
        <v>1</v>
      </c>
      <c r="AK43" s="1">
        <f t="shared" si="9"/>
        <v>1</v>
      </c>
      <c r="AM43" s="1" t="str">
        <f t="shared" si="17"/>
        <v>יוצר ותיק</v>
      </c>
      <c r="AN43" s="1" t="str">
        <f t="shared" si="17"/>
        <v>יוצר בראשית דרכו</v>
      </c>
      <c r="AO43" s="1" t="str">
        <f t="shared" si="17"/>
        <v>יוצר מנוסה</v>
      </c>
      <c r="AQ43" s="1">
        <f t="shared" si="17"/>
        <v>0</v>
      </c>
      <c r="AR43" s="1">
        <f t="shared" si="17"/>
        <v>1</v>
      </c>
      <c r="AT43" s="1">
        <f t="shared" si="11"/>
        <v>0</v>
      </c>
      <c r="AU43" s="1">
        <f t="shared" si="12"/>
        <v>0</v>
      </c>
      <c r="AV43" s="1">
        <f t="shared" si="13"/>
        <v>1</v>
      </c>
    </row>
    <row r="44" spans="1:48" ht="21.75" customHeight="1" x14ac:dyDescent="0.25">
      <c r="A44" s="46">
        <f t="shared" si="14"/>
        <v>24</v>
      </c>
      <c r="B44" s="379" t="str">
        <f>IF('תנאי סף - כלליים'!F54="","",'תנאי סף - כלליים'!F54)</f>
        <v>דפי אלטבב</v>
      </c>
      <c r="C44" s="304"/>
      <c r="D44" s="304"/>
      <c r="E44" s="304"/>
      <c r="F44" s="304"/>
      <c r="G44" s="270">
        <f>IF(B44="","",IF(AND(C44=1,D44=1,E44&gt;400000,F44&gt;400000,$L$1=2017),פרמטרים!$C$12,1))</f>
        <v>1</v>
      </c>
      <c r="H44" s="399">
        <v>18</v>
      </c>
      <c r="I44" s="399">
        <v>18</v>
      </c>
      <c r="J44" s="399">
        <v>7</v>
      </c>
      <c r="K44" s="399">
        <v>5</v>
      </c>
      <c r="L44" s="399">
        <v>20</v>
      </c>
      <c r="M44" s="557">
        <v>4</v>
      </c>
      <c r="N44" s="10"/>
      <c r="O44" s="399"/>
      <c r="P44" s="10"/>
      <c r="Q44" s="10"/>
      <c r="R44" s="10"/>
      <c r="S44" s="10"/>
      <c r="T44" s="259">
        <f t="shared" si="0"/>
        <v>1</v>
      </c>
      <c r="U44" s="10"/>
      <c r="V44" s="10"/>
      <c r="W44" s="10"/>
      <c r="X44" s="259">
        <f t="shared" si="15"/>
        <v>0</v>
      </c>
      <c r="Y44" s="259" t="str">
        <f t="shared" si="1"/>
        <v>יוצר מנוסה</v>
      </c>
      <c r="Z44" s="259">
        <f>'תנאי סף - כלליים'!AP54</f>
        <v>1</v>
      </c>
      <c r="AA44" s="260">
        <f t="shared" si="2"/>
        <v>1</v>
      </c>
      <c r="AB44" s="256">
        <f t="shared" si="3"/>
        <v>1</v>
      </c>
      <c r="AC44" s="1">
        <f t="shared" si="4"/>
        <v>1</v>
      </c>
      <c r="AD44" s="1">
        <f t="shared" si="5"/>
        <v>1</v>
      </c>
      <c r="AE44" s="1">
        <f t="shared" si="6"/>
        <v>1</v>
      </c>
      <c r="AF44" s="1">
        <f t="shared" si="7"/>
        <v>1</v>
      </c>
      <c r="AG44" s="1">
        <f t="shared" si="8"/>
        <v>1</v>
      </c>
      <c r="AH44" s="1">
        <f t="shared" si="16"/>
        <v>1</v>
      </c>
      <c r="AK44" s="1">
        <f t="shared" si="9"/>
        <v>1</v>
      </c>
      <c r="AM44" s="1" t="str">
        <f t="shared" si="17"/>
        <v>יוצר ותיק</v>
      </c>
      <c r="AN44" s="1" t="str">
        <f t="shared" si="17"/>
        <v>יוצר בראשית דרכו</v>
      </c>
      <c r="AO44" s="1" t="str">
        <f t="shared" si="17"/>
        <v>יוצר מנוסה</v>
      </c>
      <c r="AQ44" s="1">
        <f t="shared" si="17"/>
        <v>0</v>
      </c>
      <c r="AR44" s="1">
        <f t="shared" si="17"/>
        <v>1</v>
      </c>
      <c r="AT44" s="1">
        <f t="shared" si="11"/>
        <v>0</v>
      </c>
      <c r="AU44" s="1">
        <f t="shared" si="12"/>
        <v>0</v>
      </c>
      <c r="AV44" s="1">
        <f t="shared" si="13"/>
        <v>1</v>
      </c>
    </row>
    <row r="45" spans="1:48" ht="21.75" customHeight="1" x14ac:dyDescent="0.25">
      <c r="A45" s="46">
        <f t="shared" si="14"/>
        <v>25</v>
      </c>
      <c r="B45" s="379" t="str">
        <f>IF('תנאי סף - כלליים'!F55="","",'תנאי סף - כלליים'!F55)</f>
        <v>הלל קוגן</v>
      </c>
      <c r="C45" s="304"/>
      <c r="D45" s="304"/>
      <c r="E45" s="304"/>
      <c r="F45" s="304"/>
      <c r="G45" s="270">
        <f>IF(B45="","",IF(AND(C45=1,D45=1,E45&gt;400000,F45&gt;400000,$L$1=2017),פרמטרים!$C$12,1))</f>
        <v>1</v>
      </c>
      <c r="H45" s="399">
        <v>24</v>
      </c>
      <c r="I45" s="399">
        <v>24</v>
      </c>
      <c r="J45" s="399">
        <v>3</v>
      </c>
      <c r="K45" s="399">
        <v>3</v>
      </c>
      <c r="L45" s="399">
        <v>30</v>
      </c>
      <c r="M45" s="557">
        <v>4.7699999999999996</v>
      </c>
      <c r="N45" s="10"/>
      <c r="O45" s="399"/>
      <c r="P45" s="10"/>
      <c r="Q45" s="10"/>
      <c r="R45" s="10"/>
      <c r="S45" s="10"/>
      <c r="T45" s="259">
        <f t="shared" si="0"/>
        <v>1</v>
      </c>
      <c r="U45" s="10"/>
      <c r="V45" s="10"/>
      <c r="W45" s="10"/>
      <c r="X45" s="259">
        <f t="shared" si="15"/>
        <v>0</v>
      </c>
      <c r="Y45" s="259" t="str">
        <f t="shared" si="1"/>
        <v>יוצר מנוסה</v>
      </c>
      <c r="Z45" s="259">
        <f>'תנאי סף - כלליים'!AP55</f>
        <v>1</v>
      </c>
      <c r="AA45" s="260">
        <f t="shared" si="2"/>
        <v>1</v>
      </c>
      <c r="AB45" s="256">
        <f t="shared" si="3"/>
        <v>1</v>
      </c>
      <c r="AC45" s="1">
        <f t="shared" si="4"/>
        <v>1</v>
      </c>
      <c r="AD45" s="1">
        <f t="shared" si="5"/>
        <v>1</v>
      </c>
      <c r="AE45" s="1">
        <f t="shared" si="6"/>
        <v>1</v>
      </c>
      <c r="AF45" s="1">
        <f t="shared" si="7"/>
        <v>1</v>
      </c>
      <c r="AG45" s="1">
        <f t="shared" si="8"/>
        <v>1</v>
      </c>
      <c r="AH45" s="1">
        <f t="shared" si="16"/>
        <v>1</v>
      </c>
      <c r="AK45" s="1">
        <f t="shared" si="9"/>
        <v>1</v>
      </c>
      <c r="AM45" s="1" t="str">
        <f t="shared" si="17"/>
        <v>יוצר ותיק</v>
      </c>
      <c r="AN45" s="1" t="str">
        <f t="shared" si="17"/>
        <v>יוצר בראשית דרכו</v>
      </c>
      <c r="AO45" s="1" t="str">
        <f t="shared" si="17"/>
        <v>יוצר מנוסה</v>
      </c>
      <c r="AQ45" s="1">
        <f t="shared" si="17"/>
        <v>0</v>
      </c>
      <c r="AR45" s="1">
        <f t="shared" si="17"/>
        <v>1</v>
      </c>
      <c r="AT45" s="1">
        <f t="shared" si="11"/>
        <v>0</v>
      </c>
      <c r="AU45" s="1">
        <f t="shared" si="12"/>
        <v>0</v>
      </c>
      <c r="AV45" s="1">
        <f t="shared" si="13"/>
        <v>1</v>
      </c>
    </row>
    <row r="46" spans="1:48" ht="21.75" customHeight="1" x14ac:dyDescent="0.25">
      <c r="A46" s="46">
        <f t="shared" si="14"/>
        <v>26</v>
      </c>
      <c r="B46" s="379" t="str">
        <f>IF('תנאי סף - כלליים'!F56="","",'תנאי סף - כלליים'!F56)</f>
        <v>אנאבל דביר</v>
      </c>
      <c r="C46" s="304"/>
      <c r="D46" s="304"/>
      <c r="E46" s="304"/>
      <c r="F46" s="304"/>
      <c r="G46" s="270">
        <f>IF(B46="","",IF(AND(C46=1,D46=1,E46&gt;400000,F46&gt;400000,$L$1=2017),פרמטרים!$C$12,1))</f>
        <v>1</v>
      </c>
      <c r="H46" s="399">
        <v>8</v>
      </c>
      <c r="I46" s="399">
        <v>8</v>
      </c>
      <c r="J46" s="399">
        <v>11</v>
      </c>
      <c r="K46" s="399">
        <v>9</v>
      </c>
      <c r="L46" s="399">
        <v>20</v>
      </c>
      <c r="M46" s="557">
        <v>3.43</v>
      </c>
      <c r="N46" s="10"/>
      <c r="O46" s="399"/>
      <c r="P46" s="10"/>
      <c r="Q46" s="10"/>
      <c r="R46" s="10"/>
      <c r="S46" s="10"/>
      <c r="T46" s="259">
        <f t="shared" si="0"/>
        <v>1</v>
      </c>
      <c r="U46" s="10"/>
      <c r="V46" s="10"/>
      <c r="W46" s="10"/>
      <c r="X46" s="259">
        <f t="shared" si="15"/>
        <v>0</v>
      </c>
      <c r="Y46" s="259" t="str">
        <f t="shared" si="1"/>
        <v>יוצר מנוסה</v>
      </c>
      <c r="Z46" s="259">
        <f>'תנאי סף - כלליים'!AP56</f>
        <v>1</v>
      </c>
      <c r="AA46" s="260">
        <f t="shared" si="2"/>
        <v>1</v>
      </c>
      <c r="AB46" s="256">
        <f t="shared" si="3"/>
        <v>1</v>
      </c>
      <c r="AC46" s="1">
        <f t="shared" si="4"/>
        <v>1</v>
      </c>
      <c r="AD46" s="1">
        <f t="shared" si="5"/>
        <v>1</v>
      </c>
      <c r="AE46" s="1">
        <f t="shared" si="6"/>
        <v>1</v>
      </c>
      <c r="AF46" s="1">
        <f t="shared" si="7"/>
        <v>1</v>
      </c>
      <c r="AG46" s="1">
        <f t="shared" si="8"/>
        <v>1</v>
      </c>
      <c r="AH46" s="1">
        <f t="shared" si="16"/>
        <v>1</v>
      </c>
      <c r="AK46" s="1">
        <f t="shared" si="9"/>
        <v>1</v>
      </c>
      <c r="AM46" s="1" t="str">
        <f t="shared" si="17"/>
        <v>יוצר ותיק</v>
      </c>
      <c r="AN46" s="1" t="str">
        <f t="shared" si="17"/>
        <v>יוצר בראשית דרכו</v>
      </c>
      <c r="AO46" s="1" t="str">
        <f t="shared" si="17"/>
        <v>יוצר מנוסה</v>
      </c>
      <c r="AQ46" s="1">
        <f t="shared" si="17"/>
        <v>0</v>
      </c>
      <c r="AR46" s="1">
        <f t="shared" si="17"/>
        <v>1</v>
      </c>
      <c r="AT46" s="1">
        <f t="shared" si="11"/>
        <v>0</v>
      </c>
      <c r="AU46" s="1">
        <f t="shared" si="12"/>
        <v>0</v>
      </c>
      <c r="AV46" s="1">
        <f t="shared" si="13"/>
        <v>1</v>
      </c>
    </row>
    <row r="47" spans="1:48" ht="21.75" customHeight="1" x14ac:dyDescent="0.25">
      <c r="A47" s="46">
        <f t="shared" si="14"/>
        <v>27</v>
      </c>
      <c r="B47" s="379" t="str">
        <f>IF('תנאי סף - כלליים'!F57="","",'תנאי סף - כלליים'!F57)</f>
        <v>יוסי ברג ועודד גרף</v>
      </c>
      <c r="C47" s="304"/>
      <c r="D47" s="304"/>
      <c r="E47" s="304"/>
      <c r="F47" s="304"/>
      <c r="G47" s="270">
        <f>IF(B47="","",IF(AND(C47=1,D47=1,E47&gt;400000,F47&gt;400000,$L$1=2017),פרמטרים!$C$12,1))</f>
        <v>1</v>
      </c>
      <c r="H47" s="399">
        <v>29</v>
      </c>
      <c r="I47" s="399">
        <v>29</v>
      </c>
      <c r="J47" s="399">
        <v>8</v>
      </c>
      <c r="K47" s="399">
        <v>5</v>
      </c>
      <c r="L47" s="399">
        <v>18</v>
      </c>
      <c r="M47" s="557">
        <v>4.5</v>
      </c>
      <c r="N47" s="10"/>
      <c r="O47" s="399"/>
      <c r="P47" s="10"/>
      <c r="Q47" s="10"/>
      <c r="R47" s="10"/>
      <c r="S47" s="10"/>
      <c r="T47" s="259">
        <f t="shared" si="0"/>
        <v>1</v>
      </c>
      <c r="U47" s="10"/>
      <c r="V47" s="10"/>
      <c r="W47" s="10"/>
      <c r="X47" s="259">
        <f t="shared" si="15"/>
        <v>0</v>
      </c>
      <c r="Y47" s="259" t="str">
        <f t="shared" si="1"/>
        <v>יוצר מנוסה</v>
      </c>
      <c r="Z47" s="259">
        <f>'תנאי סף - כלליים'!AP57</f>
        <v>1</v>
      </c>
      <c r="AA47" s="260">
        <f t="shared" si="2"/>
        <v>1</v>
      </c>
      <c r="AB47" s="256">
        <f t="shared" si="3"/>
        <v>1</v>
      </c>
      <c r="AC47" s="1">
        <f t="shared" si="4"/>
        <v>1</v>
      </c>
      <c r="AD47" s="1">
        <f t="shared" si="5"/>
        <v>1</v>
      </c>
      <c r="AE47" s="1">
        <f t="shared" si="6"/>
        <v>1</v>
      </c>
      <c r="AF47" s="1">
        <f t="shared" si="7"/>
        <v>1</v>
      </c>
      <c r="AG47" s="1">
        <f t="shared" si="8"/>
        <v>1</v>
      </c>
      <c r="AH47" s="1">
        <f t="shared" si="16"/>
        <v>1</v>
      </c>
      <c r="AK47" s="1">
        <f t="shared" si="9"/>
        <v>1</v>
      </c>
      <c r="AM47" s="1" t="str">
        <f t="shared" si="17"/>
        <v>יוצר ותיק</v>
      </c>
      <c r="AN47" s="1" t="str">
        <f t="shared" si="17"/>
        <v>יוצר בראשית דרכו</v>
      </c>
      <c r="AO47" s="1" t="str">
        <f t="shared" si="17"/>
        <v>יוצר מנוסה</v>
      </c>
      <c r="AQ47" s="1">
        <f t="shared" si="17"/>
        <v>0</v>
      </c>
      <c r="AR47" s="1">
        <f t="shared" si="17"/>
        <v>1</v>
      </c>
      <c r="AT47" s="1">
        <f t="shared" si="11"/>
        <v>0</v>
      </c>
      <c r="AU47" s="1">
        <f t="shared" si="12"/>
        <v>0</v>
      </c>
      <c r="AV47" s="1">
        <f t="shared" si="13"/>
        <v>1</v>
      </c>
    </row>
    <row r="48" spans="1:48" ht="21.75" customHeight="1" x14ac:dyDescent="0.25">
      <c r="A48" s="46">
        <f t="shared" si="14"/>
        <v>28</v>
      </c>
      <c r="B48" s="379" t="str">
        <f>IF('תנאי סף - כלליים'!F58="","",'תנאי סף - כלליים'!F58)</f>
        <v>נדין בומר</v>
      </c>
      <c r="C48" s="304"/>
      <c r="D48" s="304"/>
      <c r="E48" s="304"/>
      <c r="F48" s="304"/>
      <c r="G48" s="270">
        <f>IF(B48="","",IF(AND(C48=1,D48=1,E48&gt;400000,F48&gt;400000,$L$1=2017),פרמטרים!$C$12,1))</f>
        <v>1</v>
      </c>
      <c r="H48" s="399">
        <v>33</v>
      </c>
      <c r="I48" s="399">
        <v>33</v>
      </c>
      <c r="J48" s="399">
        <v>11</v>
      </c>
      <c r="K48" s="399">
        <v>9</v>
      </c>
      <c r="L48" s="399">
        <v>17</v>
      </c>
      <c r="M48" s="557">
        <v>3.17</v>
      </c>
      <c r="N48" s="10"/>
      <c r="O48" s="399"/>
      <c r="P48" s="10"/>
      <c r="Q48" s="10"/>
      <c r="R48" s="10"/>
      <c r="S48" s="10"/>
      <c r="T48" s="259">
        <f t="shared" si="0"/>
        <v>1</v>
      </c>
      <c r="U48" s="10"/>
      <c r="V48" s="10"/>
      <c r="W48" s="10"/>
      <c r="X48" s="259">
        <f t="shared" si="15"/>
        <v>0</v>
      </c>
      <c r="Y48" s="259" t="str">
        <f t="shared" si="1"/>
        <v>יוצר מנוסה</v>
      </c>
      <c r="Z48" s="259">
        <f>'תנאי סף - כלליים'!AP58</f>
        <v>1</v>
      </c>
      <c r="AA48" s="260">
        <f t="shared" si="2"/>
        <v>1</v>
      </c>
      <c r="AB48" s="256">
        <f t="shared" si="3"/>
        <v>1</v>
      </c>
      <c r="AC48" s="1">
        <f t="shared" si="4"/>
        <v>1</v>
      </c>
      <c r="AD48" s="1">
        <f t="shared" si="5"/>
        <v>1</v>
      </c>
      <c r="AE48" s="1">
        <f t="shared" si="6"/>
        <v>1</v>
      </c>
      <c r="AF48" s="1">
        <f t="shared" si="7"/>
        <v>1</v>
      </c>
      <c r="AG48" s="1">
        <f t="shared" si="8"/>
        <v>1</v>
      </c>
      <c r="AH48" s="1">
        <f t="shared" si="16"/>
        <v>1</v>
      </c>
      <c r="AK48" s="1">
        <f t="shared" si="9"/>
        <v>1</v>
      </c>
      <c r="AM48" s="1" t="str">
        <f t="shared" si="17"/>
        <v>יוצר ותיק</v>
      </c>
      <c r="AN48" s="1" t="str">
        <f t="shared" si="17"/>
        <v>יוצר בראשית דרכו</v>
      </c>
      <c r="AO48" s="1" t="str">
        <f t="shared" si="17"/>
        <v>יוצר מנוסה</v>
      </c>
      <c r="AQ48" s="1">
        <f t="shared" si="17"/>
        <v>0</v>
      </c>
      <c r="AR48" s="1">
        <f t="shared" si="17"/>
        <v>1</v>
      </c>
      <c r="AT48" s="1">
        <f t="shared" si="11"/>
        <v>0</v>
      </c>
      <c r="AU48" s="1">
        <f t="shared" si="12"/>
        <v>0</v>
      </c>
      <c r="AV48" s="1">
        <f t="shared" si="13"/>
        <v>1</v>
      </c>
    </row>
    <row r="49" spans="1:48" ht="21.75" customHeight="1" x14ac:dyDescent="0.25">
      <c r="A49" s="46">
        <f t="shared" si="14"/>
        <v>29</v>
      </c>
      <c r="B49" s="379" t="str">
        <f>IF('תנאי סף - כלליים'!F59="","",'תנאי סף - כלליים'!F59)</f>
        <v xml:space="preserve">להקת בלט פאנוב </v>
      </c>
      <c r="C49" s="304"/>
      <c r="D49" s="304"/>
      <c r="E49" s="304"/>
      <c r="F49" s="304"/>
      <c r="G49" s="270">
        <f>IF(B49="","",IF(AND(C49=1,D49=1,E49&gt;400000,F49&gt;400000,$L$1=2017),פרמטרים!$C$12,1))</f>
        <v>1</v>
      </c>
      <c r="H49" s="399">
        <v>26</v>
      </c>
      <c r="I49" s="399">
        <v>26</v>
      </c>
      <c r="J49" s="399">
        <v>7</v>
      </c>
      <c r="K49" s="399">
        <v>5</v>
      </c>
      <c r="L49" s="399">
        <v>71</v>
      </c>
      <c r="M49" s="557">
        <v>4.05</v>
      </c>
      <c r="N49" s="10"/>
      <c r="O49" s="399"/>
      <c r="P49" s="10"/>
      <c r="Q49" s="10"/>
      <c r="R49" s="10"/>
      <c r="S49" s="10"/>
      <c r="T49" s="259">
        <f t="shared" si="0"/>
        <v>1</v>
      </c>
      <c r="U49" s="10"/>
      <c r="V49" s="10"/>
      <c r="W49" s="10"/>
      <c r="X49" s="259">
        <f t="shared" si="15"/>
        <v>0</v>
      </c>
      <c r="Y49" s="259" t="str">
        <f t="shared" si="1"/>
        <v>יוצר מנוסה</v>
      </c>
      <c r="Z49" s="259">
        <f>'תנאי סף - כלליים'!AP59</f>
        <v>1</v>
      </c>
      <c r="AA49" s="260">
        <f t="shared" si="2"/>
        <v>1</v>
      </c>
      <c r="AB49" s="256">
        <f t="shared" si="3"/>
        <v>1</v>
      </c>
      <c r="AC49" s="1">
        <f t="shared" si="4"/>
        <v>1</v>
      </c>
      <c r="AD49" s="1">
        <f t="shared" si="5"/>
        <v>1</v>
      </c>
      <c r="AE49" s="1">
        <f t="shared" si="6"/>
        <v>1</v>
      </c>
      <c r="AF49" s="1">
        <f t="shared" si="7"/>
        <v>1</v>
      </c>
      <c r="AG49" s="1">
        <f t="shared" si="8"/>
        <v>1</v>
      </c>
      <c r="AH49" s="1">
        <f t="shared" si="16"/>
        <v>1</v>
      </c>
      <c r="AK49" s="1">
        <f t="shared" si="9"/>
        <v>1</v>
      </c>
      <c r="AM49" s="1" t="str">
        <f t="shared" si="17"/>
        <v>יוצר ותיק</v>
      </c>
      <c r="AN49" s="1" t="str">
        <f t="shared" si="17"/>
        <v>יוצר בראשית דרכו</v>
      </c>
      <c r="AO49" s="1" t="str">
        <f t="shared" si="17"/>
        <v>יוצר מנוסה</v>
      </c>
      <c r="AQ49" s="1">
        <f t="shared" si="17"/>
        <v>0</v>
      </c>
      <c r="AR49" s="1">
        <f t="shared" si="17"/>
        <v>1</v>
      </c>
      <c r="AT49" s="1">
        <f t="shared" si="11"/>
        <v>0</v>
      </c>
      <c r="AU49" s="1">
        <f t="shared" si="12"/>
        <v>0</v>
      </c>
      <c r="AV49" s="1">
        <f t="shared" si="13"/>
        <v>1</v>
      </c>
    </row>
    <row r="50" spans="1:48" ht="21.75" customHeight="1" x14ac:dyDescent="0.25">
      <c r="A50" s="46">
        <f t="shared" si="14"/>
        <v>30</v>
      </c>
      <c r="B50" s="379" t="str">
        <f>IF('תנאי סף - כלליים'!F60="","",'תנאי סף - כלליים'!F60)</f>
        <v>רחל בנגורה</v>
      </c>
      <c r="C50" s="304"/>
      <c r="D50" s="304"/>
      <c r="E50" s="304"/>
      <c r="F50" s="304"/>
      <c r="G50" s="270">
        <f>IF(B50="","",IF(AND(C50=1,D50=1,E50&gt;400000,F50&gt;400000,$L$1=2017),פרמטרים!$C$12,1))</f>
        <v>1</v>
      </c>
      <c r="H50" s="399">
        <v>19</v>
      </c>
      <c r="I50" s="399">
        <v>19</v>
      </c>
      <c r="J50" s="399">
        <v>3</v>
      </c>
      <c r="K50" s="399">
        <v>2</v>
      </c>
      <c r="L50" s="399">
        <v>20</v>
      </c>
      <c r="M50" s="557">
        <v>2.6</v>
      </c>
      <c r="N50" s="10"/>
      <c r="O50" s="399"/>
      <c r="P50" s="10"/>
      <c r="Q50" s="10"/>
      <c r="R50" s="10"/>
      <c r="S50" s="10"/>
      <c r="T50" s="259">
        <f t="shared" si="0"/>
        <v>1</v>
      </c>
      <c r="U50" s="10"/>
      <c r="V50" s="10"/>
      <c r="W50" s="10"/>
      <c r="X50" s="259">
        <f t="shared" si="15"/>
        <v>0</v>
      </c>
      <c r="Y50" s="259" t="str">
        <f t="shared" si="1"/>
        <v>אינו עומד בתנאי סף</v>
      </c>
      <c r="Z50" s="259">
        <f>'תנאי סף - כלליים'!AP60</f>
        <v>1</v>
      </c>
      <c r="AA50" s="260">
        <f t="shared" si="2"/>
        <v>0</v>
      </c>
      <c r="AB50" s="256" t="str">
        <f t="shared" si="3"/>
        <v/>
      </c>
      <c r="AC50" s="1">
        <f t="shared" si="4"/>
        <v>1</v>
      </c>
      <c r="AD50" s="1">
        <f t="shared" si="5"/>
        <v>1</v>
      </c>
      <c r="AE50" s="1">
        <f t="shared" si="6"/>
        <v>1</v>
      </c>
      <c r="AF50" s="1">
        <f t="shared" si="7"/>
        <v>1</v>
      </c>
      <c r="AG50" s="1">
        <f t="shared" si="8"/>
        <v>1</v>
      </c>
      <c r="AH50" s="1">
        <f t="shared" si="16"/>
        <v>1</v>
      </c>
      <c r="AK50" s="1">
        <f t="shared" si="9"/>
        <v>1</v>
      </c>
      <c r="AM50" s="1" t="str">
        <f t="shared" si="17"/>
        <v>יוצר ותיק</v>
      </c>
      <c r="AN50" s="1" t="str">
        <f t="shared" si="17"/>
        <v>יוצר בראשית דרכו</v>
      </c>
      <c r="AO50" s="1" t="str">
        <f t="shared" si="17"/>
        <v>יוצר מנוסה</v>
      </c>
      <c r="AQ50" s="1">
        <f t="shared" si="17"/>
        <v>0</v>
      </c>
      <c r="AR50" s="1">
        <f t="shared" si="17"/>
        <v>1</v>
      </c>
      <c r="AT50" s="1">
        <f t="shared" si="11"/>
        <v>0</v>
      </c>
      <c r="AU50" s="1">
        <f t="shared" si="12"/>
        <v>0</v>
      </c>
      <c r="AV50" s="1">
        <f t="shared" si="13"/>
        <v>0</v>
      </c>
    </row>
    <row r="51" spans="1:48" ht="21.75" customHeight="1" x14ac:dyDescent="0.25">
      <c r="A51" s="46">
        <f t="shared" si="14"/>
        <v>31</v>
      </c>
      <c r="B51" s="379" t="str">
        <f>IF('תנאי סף - כלליים'!F61="","",'תנאי סף - כלליים'!F61)</f>
        <v>מרים אנגל</v>
      </c>
      <c r="C51" s="304"/>
      <c r="D51" s="304"/>
      <c r="E51" s="304"/>
      <c r="F51" s="304"/>
      <c r="G51" s="270">
        <f>IF(B51="","",IF(AND(C51=1,D51=1,E51&gt;400000,F51&gt;400000,$L$1=2017),פרמטרים!$C$12,1))</f>
        <v>1</v>
      </c>
      <c r="H51" s="399">
        <v>15</v>
      </c>
      <c r="I51" s="399">
        <v>15</v>
      </c>
      <c r="J51" s="399">
        <v>18</v>
      </c>
      <c r="K51" s="399">
        <v>17</v>
      </c>
      <c r="L51" s="399">
        <v>14</v>
      </c>
      <c r="M51" s="258">
        <v>2.2000000000000002</v>
      </c>
      <c r="N51" s="10"/>
      <c r="O51" s="399"/>
      <c r="P51" s="10"/>
      <c r="Q51" s="10"/>
      <c r="R51" s="10"/>
      <c r="S51" s="10"/>
      <c r="T51" s="259">
        <f t="shared" si="0"/>
        <v>1</v>
      </c>
      <c r="U51" s="10"/>
      <c r="V51" s="10"/>
      <c r="W51" s="10"/>
      <c r="X51" s="259">
        <f t="shared" si="15"/>
        <v>0</v>
      </c>
      <c r="Y51" s="259" t="str">
        <f t="shared" si="1"/>
        <v>אינו עומד בתנאי סף</v>
      </c>
      <c r="Z51" s="259">
        <f>'תנאי סף - כלליים'!AP61</f>
        <v>1</v>
      </c>
      <c r="AA51" s="260">
        <f t="shared" si="2"/>
        <v>0</v>
      </c>
      <c r="AB51" s="256" t="str">
        <f t="shared" si="3"/>
        <v/>
      </c>
      <c r="AC51" s="1">
        <f t="shared" si="4"/>
        <v>1</v>
      </c>
      <c r="AD51" s="1">
        <f t="shared" si="5"/>
        <v>1</v>
      </c>
      <c r="AE51" s="1">
        <f t="shared" si="6"/>
        <v>1</v>
      </c>
      <c r="AF51" s="1">
        <f t="shared" si="7"/>
        <v>1</v>
      </c>
      <c r="AG51" s="1">
        <f t="shared" si="8"/>
        <v>1</v>
      </c>
      <c r="AH51" s="1">
        <f t="shared" si="16"/>
        <v>1</v>
      </c>
      <c r="AK51" s="1">
        <f t="shared" si="9"/>
        <v>1</v>
      </c>
      <c r="AM51" s="1" t="str">
        <f t="shared" si="17"/>
        <v>יוצר ותיק</v>
      </c>
      <c r="AN51" s="1" t="str">
        <f t="shared" si="17"/>
        <v>יוצר בראשית דרכו</v>
      </c>
      <c r="AO51" s="1" t="str">
        <f t="shared" si="17"/>
        <v>יוצר מנוסה</v>
      </c>
      <c r="AQ51" s="1">
        <f t="shared" si="17"/>
        <v>0</v>
      </c>
      <c r="AR51" s="1">
        <f t="shared" si="17"/>
        <v>1</v>
      </c>
      <c r="AT51" s="1">
        <f t="shared" si="11"/>
        <v>0</v>
      </c>
      <c r="AU51" s="1">
        <f t="shared" si="12"/>
        <v>0</v>
      </c>
      <c r="AV51" s="1">
        <f t="shared" si="13"/>
        <v>0</v>
      </c>
    </row>
    <row r="52" spans="1:48" ht="21.75" customHeight="1" x14ac:dyDescent="0.25">
      <c r="A52" s="46">
        <f t="shared" si="14"/>
        <v>32</v>
      </c>
      <c r="B52" s="379" t="str">
        <f>IF('תנאי סף - כלליים'!F62="","",'תנאי סף - כלליים'!F62)</f>
        <v>מיכל סממה</v>
      </c>
      <c r="C52" s="304"/>
      <c r="D52" s="304"/>
      <c r="E52" s="304"/>
      <c r="F52" s="304"/>
      <c r="G52" s="270">
        <f>IF(B52="","",IF(AND(C52=1,D52=1,E52&gt;400000,F52&gt;400000,$L$1=2017),פרמטרים!$C$12,1))</f>
        <v>1</v>
      </c>
      <c r="H52" s="399">
        <v>22</v>
      </c>
      <c r="I52" s="399">
        <v>22</v>
      </c>
      <c r="J52" s="399">
        <v>15</v>
      </c>
      <c r="K52" s="399">
        <v>11</v>
      </c>
      <c r="L52" s="399">
        <v>17</v>
      </c>
      <c r="M52" s="258">
        <v>3.2</v>
      </c>
      <c r="N52" s="10"/>
      <c r="O52" s="399"/>
      <c r="P52" s="10"/>
      <c r="Q52" s="10"/>
      <c r="R52" s="10"/>
      <c r="S52" s="10"/>
      <c r="T52" s="259">
        <f t="shared" si="0"/>
        <v>1</v>
      </c>
      <c r="U52" s="10"/>
      <c r="V52" s="10"/>
      <c r="W52" s="10"/>
      <c r="X52" s="259">
        <f t="shared" si="15"/>
        <v>0</v>
      </c>
      <c r="Y52" s="259" t="str">
        <f t="shared" si="1"/>
        <v>יוצר מנוסה</v>
      </c>
      <c r="Z52" s="259">
        <f>'תנאי סף - כלליים'!AP62</f>
        <v>1</v>
      </c>
      <c r="AA52" s="260">
        <f t="shared" si="2"/>
        <v>1</v>
      </c>
      <c r="AB52" s="256">
        <f t="shared" si="3"/>
        <v>1</v>
      </c>
      <c r="AC52" s="1">
        <f t="shared" si="4"/>
        <v>1</v>
      </c>
      <c r="AD52" s="1">
        <f t="shared" si="5"/>
        <v>1</v>
      </c>
      <c r="AE52" s="1">
        <f t="shared" si="6"/>
        <v>1</v>
      </c>
      <c r="AF52" s="1">
        <f t="shared" si="7"/>
        <v>1</v>
      </c>
      <c r="AG52" s="1">
        <f t="shared" si="8"/>
        <v>1</v>
      </c>
      <c r="AH52" s="1">
        <f t="shared" si="16"/>
        <v>1</v>
      </c>
      <c r="AK52" s="1">
        <f t="shared" si="9"/>
        <v>1</v>
      </c>
      <c r="AM52" s="1" t="str">
        <f t="shared" si="17"/>
        <v>יוצר ותיק</v>
      </c>
      <c r="AN52" s="1" t="str">
        <f t="shared" si="17"/>
        <v>יוצר בראשית דרכו</v>
      </c>
      <c r="AO52" s="1" t="str">
        <f t="shared" si="17"/>
        <v>יוצר מנוסה</v>
      </c>
      <c r="AQ52" s="1">
        <f t="shared" si="17"/>
        <v>0</v>
      </c>
      <c r="AR52" s="1">
        <f t="shared" si="17"/>
        <v>1</v>
      </c>
      <c r="AT52" s="1">
        <f t="shared" si="11"/>
        <v>0</v>
      </c>
      <c r="AU52" s="1">
        <f t="shared" si="12"/>
        <v>0</v>
      </c>
      <c r="AV52" s="1">
        <f t="shared" si="13"/>
        <v>1</v>
      </c>
    </row>
    <row r="53" spans="1:48" ht="21.75" customHeight="1" x14ac:dyDescent="0.25">
      <c r="A53" s="46">
        <f t="shared" si="14"/>
        <v>33</v>
      </c>
      <c r="B53" s="379" t="str">
        <f>IF('תנאי סף - כלליים'!F63="","",'תנאי סף - כלליים'!F63)</f>
        <v>מאיה ברינר</v>
      </c>
      <c r="C53" s="304"/>
      <c r="D53" s="304"/>
      <c r="E53" s="304"/>
      <c r="F53" s="304"/>
      <c r="G53" s="270">
        <f>IF(B53="","",IF(AND(C53=1,D53=1,E53&gt;400000,F53&gt;400000,$L$1=2017),פרמטרים!$C$12,1))</f>
        <v>1</v>
      </c>
      <c r="H53" s="399">
        <v>16</v>
      </c>
      <c r="I53" s="399">
        <v>16</v>
      </c>
      <c r="J53" s="399">
        <v>5</v>
      </c>
      <c r="K53" s="399">
        <v>4</v>
      </c>
      <c r="L53" s="399">
        <v>70</v>
      </c>
      <c r="M53" s="258">
        <v>4.43</v>
      </c>
      <c r="N53" s="10"/>
      <c r="O53" s="399"/>
      <c r="P53" s="10"/>
      <c r="Q53" s="10"/>
      <c r="R53" s="10"/>
      <c r="S53" s="10"/>
      <c r="T53" s="259">
        <f t="shared" ref="T53:T84" si="18">IF($B53="","",IF(M53&gt;=$R$6,1,0))</f>
        <v>1</v>
      </c>
      <c r="U53" s="10"/>
      <c r="V53" s="10"/>
      <c r="W53" s="10"/>
      <c r="X53" s="259">
        <f t="shared" si="15"/>
        <v>0</v>
      </c>
      <c r="Y53" s="259" t="str">
        <f t="shared" ref="Y53:Y84" si="19">IF($B53="","",IF(AV53=1,$AV$20,IF(AU53=1,$AU$20,IF(AT53=1,$AT$20,$AK$7))))</f>
        <v>יוצר מנוסה</v>
      </c>
      <c r="Z53" s="259">
        <f>'תנאי סף - כלליים'!AP63</f>
        <v>1</v>
      </c>
      <c r="AA53" s="260">
        <f t="shared" ref="AA53:AA84" si="20">IF(B53="","",IF(AK53&lt;&gt;1,"בדוק נתוני הזנה",IF(OR(AND(Z53=1,Y53&lt;&gt;$AK$7,I53&gt;=2),AND($L$1=2016,I53&gt;=2)),1,0)))</f>
        <v>1</v>
      </c>
      <c r="AB53" s="256">
        <f t="shared" ref="AB53:AB84" si="21">IFERROR(IF(B53="","",INDEX($Q$5:$Q$7,MATCH(Y53,$F$5:$F$7,0))),"")</f>
        <v>1</v>
      </c>
      <c r="AC53" s="1">
        <f t="shared" ref="AC53:AC84" si="22">IF(OR($B53="",ISERR(H53/3)),0,IF(OR(H53&lt;0,H53&lt;&gt;ROUND(H53,0)),0,1))</f>
        <v>1</v>
      </c>
      <c r="AD53" s="1">
        <f t="shared" ref="AD53:AD84" si="23">IF(OR($B53="",ISERR(I53/3)),0,IF(OR(I53&lt;0,I53&lt;&gt;ROUND(I53,0)),0,1))</f>
        <v>1</v>
      </c>
      <c r="AE53" s="1">
        <f t="shared" ref="AE53:AE84" si="24">IF(OR($B53="",ISERR(J53/3)),0,IF(OR(J53&lt;0,J53&lt;&gt;ROUND(J53,0)),0,1))</f>
        <v>1</v>
      </c>
      <c r="AF53" s="1">
        <f t="shared" ref="AF53:AF84" si="25">IF(OR($B53="",ISERR(K53/3)),0,IF(OR(K53&lt;0,K53&lt;&gt;ROUND(K53,0)),0,1))</f>
        <v>1</v>
      </c>
      <c r="AG53" s="1">
        <f t="shared" ref="AG53:AG84" si="26">IF(OR($B53="",ISERR(L53/3)),0,IF(OR(L53&lt;0,L53&lt;&gt;ROUND(L53,0)),0,1))</f>
        <v>1</v>
      </c>
      <c r="AH53" s="1">
        <f t="shared" si="16"/>
        <v>1</v>
      </c>
      <c r="AK53" s="1">
        <f t="shared" ref="AK53:AK84" si="27">IF(SUM(AC53:AJ53)=COUNT(AC53:AJ53),1,0)</f>
        <v>1</v>
      </c>
      <c r="AM53" s="1" t="str">
        <f t="shared" si="17"/>
        <v>יוצר ותיק</v>
      </c>
      <c r="AN53" s="1" t="str">
        <f t="shared" si="17"/>
        <v>יוצר בראשית דרכו</v>
      </c>
      <c r="AO53" s="1" t="str">
        <f t="shared" si="17"/>
        <v>יוצר מנוסה</v>
      </c>
      <c r="AQ53" s="1">
        <f t="shared" si="17"/>
        <v>0</v>
      </c>
      <c r="AR53" s="1">
        <f t="shared" si="17"/>
        <v>1</v>
      </c>
      <c r="AT53" s="1">
        <f t="shared" ref="AT53:AT84" si="28">IF(AND(H53&gt;=$H$5,I53&gt;=$I$5,J53&gt;=$J$5,K53&gt;=$K$5,L53&gt;=$L$5,OR((M53&gt;=$M$5),AND(N53=1,M53&gt;=$R$6)),SUMPRODUCT(--(O53:Q53&gt;=$N$5:$P$5))=COUNTA($N$4:$P$4),AV53=0),1,0)</f>
        <v>0</v>
      </c>
      <c r="AU53" s="1">
        <f t="shared" ref="AU53:AU84" si="29">IF(AND(H53&gt;=$H$6,I53&gt;=LEFT($I$6,1)*1,I53&lt;=RIGHT($I$6,1)*1,J53&gt;=$J$6,K53&gt;=$K$6,L53&gt;=$L$6,OR(M53&gt;=$M$6,X53=1),SUMPRODUCT(--(O53:Q53&gt;=$N$6:$P$6))=COUNTA($N$4:$P$4),AV53=0),1,0)</f>
        <v>0</v>
      </c>
      <c r="AV53" s="1">
        <f t="shared" ref="AV53:AV84" si="30">IF(AND(H53&gt;=$H$7,I53&gt;=$I$7,J53&gt;=$J$7,K53&gt;=$K$7,L53&gt;=$L$7,OR(M53&gt;=$M$7,X53=1),SUMPRODUCT(--(O53:Q53&gt;=$N$7:$P$7))=COUNTA($N$4:$P$4)),1,0)</f>
        <v>1</v>
      </c>
    </row>
    <row r="54" spans="1:48" ht="21.75" customHeight="1" x14ac:dyDescent="0.25">
      <c r="A54" s="46">
        <f t="shared" si="14"/>
        <v>34</v>
      </c>
      <c r="B54" s="379" t="str">
        <f>IF('תנאי סף - כלליים'!F64="","",'תנאי סף - כלליים'!F64)</f>
        <v>מאיה מכלל גלפנד</v>
      </c>
      <c r="C54" s="288"/>
      <c r="D54" s="288"/>
      <c r="E54" s="288"/>
      <c r="F54" s="288"/>
      <c r="G54" s="270">
        <f>IF(B54="","",IF(AND(C54=1,D54=1,E54&gt;400000,F54&gt;400000,$L$1=2017),פרמטרים!$C$12,1))</f>
        <v>1</v>
      </c>
      <c r="H54" s="399">
        <v>10</v>
      </c>
      <c r="I54" s="399">
        <v>10</v>
      </c>
      <c r="J54" s="399">
        <v>3</v>
      </c>
      <c r="K54" s="399">
        <v>1</v>
      </c>
      <c r="L54" s="399">
        <v>13</v>
      </c>
      <c r="M54" s="258">
        <v>3.67</v>
      </c>
      <c r="N54" s="10"/>
      <c r="O54" s="399"/>
      <c r="P54" s="10"/>
      <c r="Q54" s="10"/>
      <c r="R54" s="10"/>
      <c r="S54" s="10"/>
      <c r="T54" s="259">
        <f t="shared" si="18"/>
        <v>1</v>
      </c>
      <c r="U54" s="10"/>
      <c r="V54" s="10"/>
      <c r="W54" s="10"/>
      <c r="X54" s="259">
        <f t="shared" si="15"/>
        <v>0</v>
      </c>
      <c r="Y54" s="259" t="str">
        <f t="shared" si="19"/>
        <v>יוצר מנוסה</v>
      </c>
      <c r="Z54" s="259">
        <f>'תנאי סף - כלליים'!AP64</f>
        <v>1</v>
      </c>
      <c r="AA54" s="260">
        <f t="shared" si="20"/>
        <v>1</v>
      </c>
      <c r="AB54" s="256">
        <f t="shared" si="21"/>
        <v>1</v>
      </c>
      <c r="AC54" s="1">
        <f t="shared" si="22"/>
        <v>1</v>
      </c>
      <c r="AD54" s="1">
        <f t="shared" si="23"/>
        <v>1</v>
      </c>
      <c r="AE54" s="1">
        <f t="shared" si="24"/>
        <v>1</v>
      </c>
      <c r="AF54" s="1">
        <f t="shared" si="25"/>
        <v>1</v>
      </c>
      <c r="AG54" s="1">
        <f t="shared" si="26"/>
        <v>1</v>
      </c>
      <c r="AH54" s="1">
        <f t="shared" si="16"/>
        <v>1</v>
      </c>
      <c r="AK54" s="1">
        <f t="shared" si="27"/>
        <v>1</v>
      </c>
      <c r="AM54" s="1" t="str">
        <f t="shared" ref="AM54:AR85" si="31">IF($B54="","",AM$20)</f>
        <v>יוצר ותיק</v>
      </c>
      <c r="AN54" s="1" t="str">
        <f t="shared" si="31"/>
        <v>יוצר בראשית דרכו</v>
      </c>
      <c r="AO54" s="1" t="str">
        <f t="shared" si="31"/>
        <v>יוצר מנוסה</v>
      </c>
      <c r="AQ54" s="1">
        <f t="shared" si="31"/>
        <v>0</v>
      </c>
      <c r="AR54" s="1">
        <f t="shared" si="31"/>
        <v>1</v>
      </c>
      <c r="AT54" s="1">
        <f t="shared" si="28"/>
        <v>0</v>
      </c>
      <c r="AU54" s="1">
        <f t="shared" si="29"/>
        <v>0</v>
      </c>
      <c r="AV54" s="1">
        <f t="shared" si="30"/>
        <v>1</v>
      </c>
    </row>
    <row r="55" spans="1:48" ht="21.75" customHeight="1" x14ac:dyDescent="0.25">
      <c r="A55" s="46">
        <f t="shared" si="14"/>
        <v>35</v>
      </c>
      <c r="B55" s="379" t="str">
        <f>IF('תנאי סף - כלליים'!F65="","",'תנאי סף - כלליים'!F65)</f>
        <v>מיה שטרן ותומר שרעבי</v>
      </c>
      <c r="C55" s="288"/>
      <c r="D55" s="288"/>
      <c r="E55" s="288"/>
      <c r="F55" s="288"/>
      <c r="G55" s="270">
        <f>IF(B55="","",IF(AND(C55=1,D55=1,E55&gt;400000,F55&gt;400000,$L$1=2017),פרמטרים!$C$12,1))</f>
        <v>1</v>
      </c>
      <c r="H55" s="399">
        <v>16</v>
      </c>
      <c r="I55" s="399">
        <v>16</v>
      </c>
      <c r="J55" s="399">
        <v>4</v>
      </c>
      <c r="K55" s="399">
        <v>2</v>
      </c>
      <c r="L55" s="399">
        <v>6</v>
      </c>
      <c r="M55" s="258">
        <v>3.25</v>
      </c>
      <c r="N55" s="10"/>
      <c r="O55" s="399"/>
      <c r="P55" s="10"/>
      <c r="Q55" s="10"/>
      <c r="R55" s="10"/>
      <c r="S55" s="10"/>
      <c r="T55" s="259">
        <f t="shared" si="18"/>
        <v>1</v>
      </c>
      <c r="U55" s="10"/>
      <c r="V55" s="10"/>
      <c r="W55" s="10"/>
      <c r="X55" s="259">
        <f t="shared" si="15"/>
        <v>0</v>
      </c>
      <c r="Y55" s="259" t="str">
        <f t="shared" si="19"/>
        <v>יוצר מנוסה</v>
      </c>
      <c r="Z55" s="259">
        <f>'תנאי סף - כלליים'!AP65</f>
        <v>1</v>
      </c>
      <c r="AA55" s="260">
        <f t="shared" si="20"/>
        <v>1</v>
      </c>
      <c r="AB55" s="256">
        <f t="shared" si="21"/>
        <v>1</v>
      </c>
      <c r="AC55" s="1">
        <f t="shared" si="22"/>
        <v>1</v>
      </c>
      <c r="AD55" s="1">
        <f t="shared" si="23"/>
        <v>1</v>
      </c>
      <c r="AE55" s="1">
        <f t="shared" si="24"/>
        <v>1</v>
      </c>
      <c r="AF55" s="1">
        <f t="shared" si="25"/>
        <v>1</v>
      </c>
      <c r="AG55" s="1">
        <f t="shared" si="26"/>
        <v>1</v>
      </c>
      <c r="AH55" s="1">
        <f t="shared" si="16"/>
        <v>1</v>
      </c>
      <c r="AK55" s="1">
        <f t="shared" si="27"/>
        <v>1</v>
      </c>
      <c r="AM55" s="1" t="str">
        <f t="shared" si="31"/>
        <v>יוצר ותיק</v>
      </c>
      <c r="AN55" s="1" t="str">
        <f t="shared" si="31"/>
        <v>יוצר בראשית דרכו</v>
      </c>
      <c r="AO55" s="1" t="str">
        <f t="shared" si="31"/>
        <v>יוצר מנוסה</v>
      </c>
      <c r="AQ55" s="1">
        <f t="shared" si="31"/>
        <v>0</v>
      </c>
      <c r="AR55" s="1">
        <f t="shared" si="31"/>
        <v>1</v>
      </c>
      <c r="AT55" s="1">
        <f t="shared" si="28"/>
        <v>0</v>
      </c>
      <c r="AU55" s="1">
        <f t="shared" si="29"/>
        <v>0</v>
      </c>
      <c r="AV55" s="1">
        <f t="shared" si="30"/>
        <v>1</v>
      </c>
    </row>
    <row r="56" spans="1:48" ht="21.75" customHeight="1" x14ac:dyDescent="0.25">
      <c r="A56" s="46">
        <f t="shared" si="14"/>
        <v>36</v>
      </c>
      <c r="B56" s="379" t="str">
        <f>IF('תנאי סף - כלליים'!F66="","",'תנאי סף - כלליים'!F66)</f>
        <v>מיכאל גטמן</v>
      </c>
      <c r="C56" s="288"/>
      <c r="D56" s="288"/>
      <c r="E56" s="288"/>
      <c r="F56" s="288"/>
      <c r="G56" s="270">
        <f>IF(B56="","",IF(AND(C56=1,D56=1,E56&gt;400000,F56&gt;400000,$L$1=2017),פרמטרים!$C$12,1))</f>
        <v>1</v>
      </c>
      <c r="H56" s="399">
        <v>17</v>
      </c>
      <c r="I56" s="399">
        <v>17</v>
      </c>
      <c r="J56" s="399">
        <v>5</v>
      </c>
      <c r="K56" s="399">
        <v>4</v>
      </c>
      <c r="L56" s="399">
        <v>10</v>
      </c>
      <c r="M56" s="258">
        <v>4.4800000000000004</v>
      </c>
      <c r="N56" s="10"/>
      <c r="O56" s="399"/>
      <c r="P56" s="10"/>
      <c r="Q56" s="10"/>
      <c r="R56" s="10"/>
      <c r="S56" s="10"/>
      <c r="T56" s="259">
        <f t="shared" si="18"/>
        <v>1</v>
      </c>
      <c r="U56" s="10"/>
      <c r="V56" s="10"/>
      <c r="W56" s="10"/>
      <c r="X56" s="259">
        <f t="shared" si="15"/>
        <v>0</v>
      </c>
      <c r="Y56" s="259" t="str">
        <f t="shared" si="19"/>
        <v>יוצר מנוסה</v>
      </c>
      <c r="Z56" s="259">
        <f>'תנאי סף - כלליים'!AP66</f>
        <v>1</v>
      </c>
      <c r="AA56" s="260">
        <f t="shared" si="20"/>
        <v>1</v>
      </c>
      <c r="AB56" s="256">
        <f t="shared" si="21"/>
        <v>1</v>
      </c>
      <c r="AC56" s="1">
        <f t="shared" si="22"/>
        <v>1</v>
      </c>
      <c r="AD56" s="1">
        <f t="shared" si="23"/>
        <v>1</v>
      </c>
      <c r="AE56" s="1">
        <f t="shared" si="24"/>
        <v>1</v>
      </c>
      <c r="AF56" s="1">
        <f t="shared" si="25"/>
        <v>1</v>
      </c>
      <c r="AG56" s="1">
        <f t="shared" si="26"/>
        <v>1</v>
      </c>
      <c r="AH56" s="1">
        <f t="shared" si="16"/>
        <v>1</v>
      </c>
      <c r="AK56" s="1">
        <f t="shared" si="27"/>
        <v>1</v>
      </c>
      <c r="AM56" s="1" t="str">
        <f t="shared" si="31"/>
        <v>יוצר ותיק</v>
      </c>
      <c r="AN56" s="1" t="str">
        <f t="shared" si="31"/>
        <v>יוצר בראשית דרכו</v>
      </c>
      <c r="AO56" s="1" t="str">
        <f t="shared" si="31"/>
        <v>יוצר מנוסה</v>
      </c>
      <c r="AQ56" s="1">
        <f t="shared" si="31"/>
        <v>0</v>
      </c>
      <c r="AR56" s="1">
        <f t="shared" si="31"/>
        <v>1</v>
      </c>
      <c r="AT56" s="1">
        <f t="shared" si="28"/>
        <v>0</v>
      </c>
      <c r="AU56" s="1">
        <f t="shared" si="29"/>
        <v>0</v>
      </c>
      <c r="AV56" s="1">
        <f t="shared" si="30"/>
        <v>1</v>
      </c>
    </row>
    <row r="57" spans="1:48" ht="21.75" customHeight="1" x14ac:dyDescent="0.25">
      <c r="A57" s="46">
        <f t="shared" si="14"/>
        <v>37</v>
      </c>
      <c r="B57" s="379" t="str">
        <f>IF('תנאי סף - כלליים'!F67="","",'תנאי סף - כלליים'!F67)</f>
        <v>מיכל הרמן</v>
      </c>
      <c r="C57" s="288"/>
      <c r="D57" s="288"/>
      <c r="E57" s="288"/>
      <c r="F57" s="288"/>
      <c r="G57" s="270">
        <f>IF(B57="","",IF(AND(C57=1,D57=1,E57&gt;400000,F57&gt;400000,$L$1=2017),פרמטרים!$C$12,1))</f>
        <v>1</v>
      </c>
      <c r="H57" s="399">
        <v>22</v>
      </c>
      <c r="I57" s="399">
        <v>22</v>
      </c>
      <c r="J57" s="399">
        <v>4</v>
      </c>
      <c r="K57" s="399">
        <v>3</v>
      </c>
      <c r="L57" s="399">
        <v>7</v>
      </c>
      <c r="M57" s="258">
        <v>3.58</v>
      </c>
      <c r="N57" s="10"/>
      <c r="O57" s="399"/>
      <c r="P57" s="10"/>
      <c r="Q57" s="10"/>
      <c r="R57" s="10"/>
      <c r="S57" s="10"/>
      <c r="T57" s="259">
        <f t="shared" si="18"/>
        <v>1</v>
      </c>
      <c r="U57" s="10"/>
      <c r="V57" s="10"/>
      <c r="W57" s="10"/>
      <c r="X57" s="259">
        <f t="shared" si="15"/>
        <v>0</v>
      </c>
      <c r="Y57" s="259" t="str">
        <f t="shared" si="19"/>
        <v>יוצר מנוסה</v>
      </c>
      <c r="Z57" s="259">
        <f>'תנאי סף - כלליים'!AP67</f>
        <v>1</v>
      </c>
      <c r="AA57" s="260">
        <f t="shared" si="20"/>
        <v>1</v>
      </c>
      <c r="AB57" s="256">
        <f t="shared" si="21"/>
        <v>1</v>
      </c>
      <c r="AC57" s="1">
        <f t="shared" si="22"/>
        <v>1</v>
      </c>
      <c r="AD57" s="1">
        <f t="shared" si="23"/>
        <v>1</v>
      </c>
      <c r="AE57" s="1">
        <f t="shared" si="24"/>
        <v>1</v>
      </c>
      <c r="AF57" s="1">
        <f t="shared" si="25"/>
        <v>1</v>
      </c>
      <c r="AG57" s="1">
        <f t="shared" si="26"/>
        <v>1</v>
      </c>
      <c r="AH57" s="1">
        <f t="shared" si="16"/>
        <v>1</v>
      </c>
      <c r="AK57" s="1">
        <f t="shared" si="27"/>
        <v>1</v>
      </c>
      <c r="AM57" s="1" t="str">
        <f t="shared" si="31"/>
        <v>יוצר ותיק</v>
      </c>
      <c r="AN57" s="1" t="str">
        <f t="shared" si="31"/>
        <v>יוצר בראשית דרכו</v>
      </c>
      <c r="AO57" s="1" t="str">
        <f t="shared" si="31"/>
        <v>יוצר מנוסה</v>
      </c>
      <c r="AQ57" s="1">
        <f t="shared" si="31"/>
        <v>0</v>
      </c>
      <c r="AR57" s="1">
        <f t="shared" si="31"/>
        <v>1</v>
      </c>
      <c r="AT57" s="1">
        <f t="shared" si="28"/>
        <v>0</v>
      </c>
      <c r="AU57" s="1">
        <f t="shared" si="29"/>
        <v>0</v>
      </c>
      <c r="AV57" s="1">
        <f t="shared" si="30"/>
        <v>1</v>
      </c>
    </row>
    <row r="58" spans="1:48" ht="21.75" customHeight="1" x14ac:dyDescent="0.25">
      <c r="A58" s="46">
        <f t="shared" si="14"/>
        <v>38</v>
      </c>
      <c r="B58" s="379" t="str">
        <f>IF('תנאי סף - כלליים'!F68="","",'תנאי סף - כלליים'!F68)</f>
        <v>מירב דגן</v>
      </c>
      <c r="C58" s="288"/>
      <c r="D58" s="288"/>
      <c r="E58" s="288"/>
      <c r="F58" s="288"/>
      <c r="G58" s="270">
        <f>IF(B58="","",IF(AND(C58=1,D58=1,E58&gt;400000,F58&gt;400000,$L$1=2017),פרמטרים!$C$12,1))</f>
        <v>1</v>
      </c>
      <c r="H58" s="399">
        <v>11</v>
      </c>
      <c r="I58" s="399">
        <v>11</v>
      </c>
      <c r="J58" s="399">
        <v>4</v>
      </c>
      <c r="K58" s="399">
        <v>3</v>
      </c>
      <c r="L58" s="399">
        <v>10</v>
      </c>
      <c r="M58" s="258">
        <v>4.6500000000000004</v>
      </c>
      <c r="N58" s="10"/>
      <c r="O58" s="399"/>
      <c r="P58" s="10"/>
      <c r="Q58" s="10"/>
      <c r="R58" s="10"/>
      <c r="S58" s="10"/>
      <c r="T58" s="259">
        <f t="shared" si="18"/>
        <v>1</v>
      </c>
      <c r="U58" s="10"/>
      <c r="V58" s="10"/>
      <c r="W58" s="10"/>
      <c r="X58" s="259">
        <f t="shared" si="15"/>
        <v>0</v>
      </c>
      <c r="Y58" s="259" t="str">
        <f t="shared" si="19"/>
        <v>יוצר מנוסה</v>
      </c>
      <c r="Z58" s="259">
        <f>'תנאי סף - כלליים'!AP68</f>
        <v>1</v>
      </c>
      <c r="AA58" s="260">
        <f t="shared" si="20"/>
        <v>1</v>
      </c>
      <c r="AB58" s="256">
        <f t="shared" si="21"/>
        <v>1</v>
      </c>
      <c r="AC58" s="1">
        <f t="shared" si="22"/>
        <v>1</v>
      </c>
      <c r="AD58" s="1">
        <f t="shared" si="23"/>
        <v>1</v>
      </c>
      <c r="AE58" s="1">
        <f t="shared" si="24"/>
        <v>1</v>
      </c>
      <c r="AF58" s="1">
        <f t="shared" si="25"/>
        <v>1</v>
      </c>
      <c r="AG58" s="1">
        <f t="shared" si="26"/>
        <v>1</v>
      </c>
      <c r="AH58" s="1">
        <f t="shared" si="16"/>
        <v>1</v>
      </c>
      <c r="AK58" s="1">
        <f t="shared" si="27"/>
        <v>1</v>
      </c>
      <c r="AM58" s="1" t="str">
        <f t="shared" si="31"/>
        <v>יוצר ותיק</v>
      </c>
      <c r="AN58" s="1" t="str">
        <f t="shared" si="31"/>
        <v>יוצר בראשית דרכו</v>
      </c>
      <c r="AO58" s="1" t="str">
        <f t="shared" si="31"/>
        <v>יוצר מנוסה</v>
      </c>
      <c r="AQ58" s="1">
        <f t="shared" si="31"/>
        <v>0</v>
      </c>
      <c r="AR58" s="1">
        <f t="shared" si="31"/>
        <v>1</v>
      </c>
      <c r="AT58" s="1">
        <f t="shared" si="28"/>
        <v>0</v>
      </c>
      <c r="AU58" s="1">
        <f t="shared" si="29"/>
        <v>0</v>
      </c>
      <c r="AV58" s="1">
        <f t="shared" si="30"/>
        <v>1</v>
      </c>
    </row>
    <row r="59" spans="1:48" ht="21.75" customHeight="1" x14ac:dyDescent="0.25">
      <c r="A59" s="46">
        <f t="shared" si="14"/>
        <v>39</v>
      </c>
      <c r="B59" s="379" t="str">
        <f>IF('תנאי סף - כלליים'!F69="","",'תנאי סף - כלליים'!F69)</f>
        <v>תמר לם ודיוויד קרן</v>
      </c>
      <c r="C59" s="288"/>
      <c r="D59" s="288"/>
      <c r="E59" s="288"/>
      <c r="F59" s="288"/>
      <c r="G59" s="270">
        <f>IF(B59="","",IF(AND(C59=1,D59=1,E59&gt;400000,F59&gt;400000,$L$1=2017),פרמטרים!$C$12,1))</f>
        <v>1</v>
      </c>
      <c r="H59" s="399">
        <v>7</v>
      </c>
      <c r="I59" s="399">
        <v>7</v>
      </c>
      <c r="J59" s="399">
        <v>4</v>
      </c>
      <c r="K59" s="399">
        <v>2</v>
      </c>
      <c r="L59" s="399">
        <v>6</v>
      </c>
      <c r="M59" s="258">
        <v>4.4000000000000004</v>
      </c>
      <c r="N59" s="10"/>
      <c r="O59" s="399"/>
      <c r="P59" s="10"/>
      <c r="Q59" s="10"/>
      <c r="R59" s="10"/>
      <c r="S59" s="10"/>
      <c r="T59" s="259">
        <f t="shared" si="18"/>
        <v>1</v>
      </c>
      <c r="U59" s="10"/>
      <c r="V59" s="10"/>
      <c r="W59" s="10"/>
      <c r="X59" s="259">
        <f t="shared" si="15"/>
        <v>0</v>
      </c>
      <c r="Y59" s="259" t="str">
        <f t="shared" si="19"/>
        <v>יוצר מנוסה</v>
      </c>
      <c r="Z59" s="259">
        <f>'תנאי סף - כלליים'!AP69</f>
        <v>1</v>
      </c>
      <c r="AA59" s="260">
        <f t="shared" si="20"/>
        <v>1</v>
      </c>
      <c r="AB59" s="256">
        <f t="shared" si="21"/>
        <v>1</v>
      </c>
      <c r="AC59" s="1">
        <f t="shared" si="22"/>
        <v>1</v>
      </c>
      <c r="AD59" s="1">
        <f t="shared" si="23"/>
        <v>1</v>
      </c>
      <c r="AE59" s="1">
        <f t="shared" si="24"/>
        <v>1</v>
      </c>
      <c r="AF59" s="1">
        <f t="shared" si="25"/>
        <v>1</v>
      </c>
      <c r="AG59" s="1">
        <f t="shared" si="26"/>
        <v>1</v>
      </c>
      <c r="AH59" s="1">
        <f t="shared" si="16"/>
        <v>1</v>
      </c>
      <c r="AK59" s="1">
        <f t="shared" si="27"/>
        <v>1</v>
      </c>
      <c r="AM59" s="1" t="str">
        <f t="shared" si="31"/>
        <v>יוצר ותיק</v>
      </c>
      <c r="AN59" s="1" t="str">
        <f t="shared" si="31"/>
        <v>יוצר בראשית דרכו</v>
      </c>
      <c r="AO59" s="1" t="str">
        <f t="shared" si="31"/>
        <v>יוצר מנוסה</v>
      </c>
      <c r="AQ59" s="1">
        <f t="shared" si="31"/>
        <v>0</v>
      </c>
      <c r="AR59" s="1">
        <f t="shared" si="31"/>
        <v>1</v>
      </c>
      <c r="AT59" s="1">
        <f t="shared" si="28"/>
        <v>0</v>
      </c>
      <c r="AU59" s="1">
        <f t="shared" si="29"/>
        <v>0</v>
      </c>
      <c r="AV59" s="1">
        <f t="shared" si="30"/>
        <v>1</v>
      </c>
    </row>
    <row r="60" spans="1:48" ht="21.75" customHeight="1" x14ac:dyDescent="0.25">
      <c r="A60" s="46">
        <f t="shared" si="14"/>
        <v>40</v>
      </c>
      <c r="B60" s="379" t="str">
        <f>IF('תנאי סף - כלליים'!F70="","",'תנאי סף - כלליים'!F70)</f>
        <v>סיגל ברגמן</v>
      </c>
      <c r="C60" s="288"/>
      <c r="D60" s="288"/>
      <c r="E60" s="288"/>
      <c r="F60" s="288"/>
      <c r="G60" s="270">
        <f>IF(B60="","",IF(AND(C60=1,D60=1,E60&gt;400000,F60&gt;400000,$L$1=2017),פרמטרים!$C$12,1))</f>
        <v>1</v>
      </c>
      <c r="H60" s="399">
        <v>23</v>
      </c>
      <c r="I60" s="399">
        <v>23</v>
      </c>
      <c r="J60" s="399">
        <v>7</v>
      </c>
      <c r="K60" s="399">
        <v>4</v>
      </c>
      <c r="L60" s="399">
        <v>13</v>
      </c>
      <c r="M60" s="258">
        <v>3.73</v>
      </c>
      <c r="N60" s="10"/>
      <c r="O60" s="399"/>
      <c r="P60" s="10"/>
      <c r="Q60" s="10"/>
      <c r="R60" s="10"/>
      <c r="S60" s="10"/>
      <c r="T60" s="259">
        <f t="shared" si="18"/>
        <v>1</v>
      </c>
      <c r="U60" s="10"/>
      <c r="V60" s="399"/>
      <c r="W60" s="399"/>
      <c r="X60" s="259">
        <f t="shared" si="15"/>
        <v>0</v>
      </c>
      <c r="Y60" s="259" t="str">
        <f t="shared" si="19"/>
        <v>יוצר מנוסה</v>
      </c>
      <c r="Z60" s="259">
        <f>'תנאי סף - כלליים'!AP70</f>
        <v>1</v>
      </c>
      <c r="AA60" s="260">
        <f t="shared" si="20"/>
        <v>1</v>
      </c>
      <c r="AB60" s="256">
        <f t="shared" si="21"/>
        <v>1</v>
      </c>
      <c r="AC60" s="1">
        <f t="shared" si="22"/>
        <v>1</v>
      </c>
      <c r="AD60" s="1">
        <f t="shared" si="23"/>
        <v>1</v>
      </c>
      <c r="AE60" s="1">
        <f t="shared" si="24"/>
        <v>1</v>
      </c>
      <c r="AF60" s="1">
        <f t="shared" si="25"/>
        <v>1</v>
      </c>
      <c r="AG60" s="1">
        <f t="shared" si="26"/>
        <v>1</v>
      </c>
      <c r="AH60" s="1">
        <f t="shared" si="16"/>
        <v>1</v>
      </c>
      <c r="AK60" s="1">
        <f t="shared" si="27"/>
        <v>1</v>
      </c>
      <c r="AM60" s="1" t="str">
        <f t="shared" si="31"/>
        <v>יוצר ותיק</v>
      </c>
      <c r="AN60" s="1" t="str">
        <f t="shared" si="31"/>
        <v>יוצר בראשית דרכו</v>
      </c>
      <c r="AO60" s="1" t="str">
        <f t="shared" si="31"/>
        <v>יוצר מנוסה</v>
      </c>
      <c r="AQ60" s="1">
        <f t="shared" si="31"/>
        <v>0</v>
      </c>
      <c r="AR60" s="1">
        <f t="shared" si="31"/>
        <v>1</v>
      </c>
      <c r="AT60" s="1">
        <f t="shared" si="28"/>
        <v>0</v>
      </c>
      <c r="AU60" s="1">
        <f t="shared" si="29"/>
        <v>0</v>
      </c>
      <c r="AV60" s="1">
        <f t="shared" si="30"/>
        <v>1</v>
      </c>
    </row>
    <row r="61" spans="1:48" ht="21.75" customHeight="1" x14ac:dyDescent="0.25">
      <c r="A61" s="46">
        <f t="shared" si="14"/>
        <v>41</v>
      </c>
      <c r="B61" s="379" t="str">
        <f>IF('תנאי סף - כלליים'!F71="","",'תנאי סף - כלליים'!F71)</f>
        <v>מעין ליבמן שרון</v>
      </c>
      <c r="C61" s="288"/>
      <c r="D61" s="288"/>
      <c r="E61" s="288"/>
      <c r="F61" s="288"/>
      <c r="G61" s="270">
        <f>IF(B61="","",IF(AND(C61=1,D61=1,E61&gt;400000,F61&gt;400000,$L$1=2017),פרמטרים!$C$12,1))</f>
        <v>1</v>
      </c>
      <c r="H61" s="399">
        <v>18</v>
      </c>
      <c r="I61" s="399">
        <v>18</v>
      </c>
      <c r="J61" s="399">
        <v>11</v>
      </c>
      <c r="K61" s="399">
        <v>8</v>
      </c>
      <c r="L61" s="399">
        <v>17</v>
      </c>
      <c r="M61" s="258">
        <v>3.5</v>
      </c>
      <c r="N61" s="10"/>
      <c r="O61" s="399"/>
      <c r="P61" s="10"/>
      <c r="Q61" s="10"/>
      <c r="R61" s="10"/>
      <c r="S61" s="10"/>
      <c r="T61" s="259">
        <f t="shared" si="18"/>
        <v>1</v>
      </c>
      <c r="U61" s="10"/>
      <c r="V61" s="10"/>
      <c r="W61" s="10"/>
      <c r="X61" s="259">
        <f t="shared" si="15"/>
        <v>0</v>
      </c>
      <c r="Y61" s="259" t="str">
        <f t="shared" si="19"/>
        <v>יוצר מנוסה</v>
      </c>
      <c r="Z61" s="259">
        <f>'תנאי סף - כלליים'!AP71</f>
        <v>1</v>
      </c>
      <c r="AA61" s="260">
        <f t="shared" si="20"/>
        <v>1</v>
      </c>
      <c r="AB61" s="256">
        <f t="shared" si="21"/>
        <v>1</v>
      </c>
      <c r="AC61" s="1">
        <f t="shared" si="22"/>
        <v>1</v>
      </c>
      <c r="AD61" s="1">
        <f t="shared" si="23"/>
        <v>1</v>
      </c>
      <c r="AE61" s="1">
        <f t="shared" si="24"/>
        <v>1</v>
      </c>
      <c r="AF61" s="1">
        <f t="shared" si="25"/>
        <v>1</v>
      </c>
      <c r="AG61" s="1">
        <f t="shared" si="26"/>
        <v>1</v>
      </c>
      <c r="AH61" s="1">
        <f t="shared" si="16"/>
        <v>1</v>
      </c>
      <c r="AK61" s="1">
        <f t="shared" si="27"/>
        <v>1</v>
      </c>
      <c r="AM61" s="1" t="str">
        <f t="shared" si="31"/>
        <v>יוצר ותיק</v>
      </c>
      <c r="AN61" s="1" t="str">
        <f t="shared" si="31"/>
        <v>יוצר בראשית דרכו</v>
      </c>
      <c r="AO61" s="1" t="str">
        <f t="shared" si="31"/>
        <v>יוצר מנוסה</v>
      </c>
      <c r="AQ61" s="1">
        <f t="shared" si="31"/>
        <v>0</v>
      </c>
      <c r="AR61" s="1">
        <f t="shared" si="31"/>
        <v>1</v>
      </c>
      <c r="AT61" s="1">
        <f t="shared" si="28"/>
        <v>0</v>
      </c>
      <c r="AU61" s="1">
        <f t="shared" si="29"/>
        <v>0</v>
      </c>
      <c r="AV61" s="1">
        <f t="shared" si="30"/>
        <v>1</v>
      </c>
    </row>
    <row r="62" spans="1:48" ht="21.75" customHeight="1" x14ac:dyDescent="0.25">
      <c r="A62" s="46">
        <f t="shared" si="14"/>
        <v>42</v>
      </c>
      <c r="B62" s="379" t="str">
        <f>IF('תנאי סף - כלליים'!F72="","",'תנאי סף - כלליים'!F72)</f>
        <v>אודליה קופרברג</v>
      </c>
      <c r="C62" s="288"/>
      <c r="D62" s="288"/>
      <c r="E62" s="288"/>
      <c r="F62" s="288"/>
      <c r="G62" s="270">
        <f>IF(B62="","",IF(AND(C62=1,D62=1,E62&gt;400000,F62&gt;400000,$L$1=2017),פרמטרים!$C$12,1))</f>
        <v>1</v>
      </c>
      <c r="H62" s="399">
        <v>24</v>
      </c>
      <c r="I62" s="399">
        <v>24</v>
      </c>
      <c r="J62" s="399">
        <v>6</v>
      </c>
      <c r="K62" s="399">
        <v>5</v>
      </c>
      <c r="L62" s="399">
        <v>7</v>
      </c>
      <c r="M62" s="258">
        <v>3.6</v>
      </c>
      <c r="N62" s="10"/>
      <c r="O62" s="399"/>
      <c r="P62" s="10"/>
      <c r="Q62" s="10"/>
      <c r="R62" s="10"/>
      <c r="S62" s="10"/>
      <c r="T62" s="259">
        <f t="shared" si="18"/>
        <v>1</v>
      </c>
      <c r="U62" s="10"/>
      <c r="V62" s="10"/>
      <c r="W62" s="10"/>
      <c r="X62" s="259">
        <f t="shared" si="15"/>
        <v>0</v>
      </c>
      <c r="Y62" s="259" t="str">
        <f t="shared" si="19"/>
        <v>יוצר מנוסה</v>
      </c>
      <c r="Z62" s="259">
        <f>'תנאי סף - כלליים'!AP72</f>
        <v>1</v>
      </c>
      <c r="AA62" s="260">
        <f t="shared" si="20"/>
        <v>1</v>
      </c>
      <c r="AB62" s="256">
        <f t="shared" si="21"/>
        <v>1</v>
      </c>
      <c r="AC62" s="1">
        <f t="shared" si="22"/>
        <v>1</v>
      </c>
      <c r="AD62" s="1">
        <f t="shared" si="23"/>
        <v>1</v>
      </c>
      <c r="AE62" s="1">
        <f t="shared" si="24"/>
        <v>1</v>
      </c>
      <c r="AF62" s="1">
        <f t="shared" si="25"/>
        <v>1</v>
      </c>
      <c r="AG62" s="1">
        <f t="shared" si="26"/>
        <v>1</v>
      </c>
      <c r="AH62" s="1">
        <f t="shared" si="16"/>
        <v>1</v>
      </c>
      <c r="AK62" s="1">
        <f t="shared" si="27"/>
        <v>1</v>
      </c>
      <c r="AM62" s="1" t="str">
        <f t="shared" si="31"/>
        <v>יוצר ותיק</v>
      </c>
      <c r="AN62" s="1" t="str">
        <f t="shared" si="31"/>
        <v>יוצר בראשית דרכו</v>
      </c>
      <c r="AO62" s="1" t="str">
        <f t="shared" si="31"/>
        <v>יוצר מנוסה</v>
      </c>
      <c r="AQ62" s="1">
        <f t="shared" si="31"/>
        <v>0</v>
      </c>
      <c r="AR62" s="1">
        <f t="shared" si="31"/>
        <v>1</v>
      </c>
      <c r="AT62" s="1">
        <f t="shared" si="28"/>
        <v>0</v>
      </c>
      <c r="AU62" s="1">
        <f t="shared" si="29"/>
        <v>0</v>
      </c>
      <c r="AV62" s="1">
        <f t="shared" si="30"/>
        <v>1</v>
      </c>
    </row>
    <row r="63" spans="1:48" ht="21.75" customHeight="1" x14ac:dyDescent="0.25">
      <c r="A63" s="46">
        <f t="shared" si="14"/>
        <v>43</v>
      </c>
      <c r="B63" s="379" t="str">
        <f>IF('תנאי סף - כלליים'!F73="","",'תנאי סף - כלליים'!F73)</f>
        <v>נועה צוק</v>
      </c>
      <c r="C63" s="288"/>
      <c r="D63" s="288"/>
      <c r="E63" s="288"/>
      <c r="F63" s="288"/>
      <c r="G63" s="270">
        <f>IF(B63="","",IF(AND(C63=1,D63=1,E63&gt;400000,F63&gt;400000,$L$1=2017),פרמטרים!$C$12,1))</f>
        <v>1</v>
      </c>
      <c r="H63" s="399">
        <v>14</v>
      </c>
      <c r="I63" s="399">
        <v>14</v>
      </c>
      <c r="J63" s="399">
        <v>6</v>
      </c>
      <c r="K63" s="399">
        <v>5</v>
      </c>
      <c r="L63" s="399">
        <v>20</v>
      </c>
      <c r="M63" s="258">
        <v>4.87</v>
      </c>
      <c r="N63" s="10"/>
      <c r="O63" s="399"/>
      <c r="P63" s="10"/>
      <c r="Q63" s="10"/>
      <c r="R63" s="10"/>
      <c r="S63" s="10"/>
      <c r="T63" s="259">
        <f t="shared" si="18"/>
        <v>1</v>
      </c>
      <c r="U63" s="10"/>
      <c r="V63" s="10"/>
      <c r="W63" s="10"/>
      <c r="X63" s="259">
        <f t="shared" si="15"/>
        <v>0</v>
      </c>
      <c r="Y63" s="259" t="str">
        <f t="shared" si="19"/>
        <v>יוצר מנוסה</v>
      </c>
      <c r="Z63" s="259">
        <f>'תנאי סף - כלליים'!AP73</f>
        <v>1</v>
      </c>
      <c r="AA63" s="260">
        <f t="shared" si="20"/>
        <v>1</v>
      </c>
      <c r="AB63" s="256">
        <f t="shared" si="21"/>
        <v>1</v>
      </c>
      <c r="AC63" s="1">
        <f t="shared" si="22"/>
        <v>1</v>
      </c>
      <c r="AD63" s="1">
        <f t="shared" si="23"/>
        <v>1</v>
      </c>
      <c r="AE63" s="1">
        <f t="shared" si="24"/>
        <v>1</v>
      </c>
      <c r="AF63" s="1">
        <f t="shared" si="25"/>
        <v>1</v>
      </c>
      <c r="AG63" s="1">
        <f t="shared" si="26"/>
        <v>1</v>
      </c>
      <c r="AH63" s="1">
        <f t="shared" si="16"/>
        <v>1</v>
      </c>
      <c r="AK63" s="1">
        <f t="shared" si="27"/>
        <v>1</v>
      </c>
      <c r="AM63" s="1" t="str">
        <f t="shared" si="31"/>
        <v>יוצר ותיק</v>
      </c>
      <c r="AN63" s="1" t="str">
        <f t="shared" si="31"/>
        <v>יוצר בראשית דרכו</v>
      </c>
      <c r="AO63" s="1" t="str">
        <f t="shared" si="31"/>
        <v>יוצר מנוסה</v>
      </c>
      <c r="AQ63" s="1">
        <f t="shared" si="31"/>
        <v>0</v>
      </c>
      <c r="AR63" s="1">
        <f t="shared" si="31"/>
        <v>1</v>
      </c>
      <c r="AT63" s="1">
        <f t="shared" si="28"/>
        <v>0</v>
      </c>
      <c r="AU63" s="1">
        <f t="shared" si="29"/>
        <v>0</v>
      </c>
      <c r="AV63" s="1">
        <f t="shared" si="30"/>
        <v>1</v>
      </c>
    </row>
    <row r="64" spans="1:48" ht="21.75" customHeight="1" x14ac:dyDescent="0.25">
      <c r="A64" s="46">
        <f t="shared" si="14"/>
        <v>44</v>
      </c>
      <c r="B64" s="379" t="str">
        <f>IF('תנאי סף - כלליים'!F74="","",'תנאי סף - כלליים'!F74)</f>
        <v>נטע פולברמכר</v>
      </c>
      <c r="C64" s="288"/>
      <c r="D64" s="288"/>
      <c r="E64" s="288"/>
      <c r="F64" s="288"/>
      <c r="G64" s="270">
        <f>IF(B64="","",IF(AND(C64=1,D64=1,E64&gt;400000,F64&gt;400000,$L$1=2017),פרמטרים!$C$12,1))</f>
        <v>1</v>
      </c>
      <c r="H64" s="399">
        <v>38</v>
      </c>
      <c r="I64" s="399">
        <v>38</v>
      </c>
      <c r="J64" s="399">
        <v>6</v>
      </c>
      <c r="K64" s="399">
        <v>5</v>
      </c>
      <c r="L64" s="399">
        <v>13</v>
      </c>
      <c r="M64" s="258">
        <v>3.7</v>
      </c>
      <c r="N64" s="10"/>
      <c r="O64" s="399"/>
      <c r="P64" s="10"/>
      <c r="Q64" s="10"/>
      <c r="R64" s="10"/>
      <c r="S64" s="10"/>
      <c r="T64" s="259">
        <f t="shared" si="18"/>
        <v>1</v>
      </c>
      <c r="U64" s="10"/>
      <c r="V64" s="10"/>
      <c r="W64" s="10"/>
      <c r="X64" s="259">
        <f t="shared" si="15"/>
        <v>0</v>
      </c>
      <c r="Y64" s="259" t="str">
        <f t="shared" si="19"/>
        <v>יוצר מנוסה</v>
      </c>
      <c r="Z64" s="259">
        <f>'תנאי סף - כלליים'!AP74</f>
        <v>1</v>
      </c>
      <c r="AA64" s="260">
        <f t="shared" si="20"/>
        <v>1</v>
      </c>
      <c r="AB64" s="256">
        <f t="shared" si="21"/>
        <v>1</v>
      </c>
      <c r="AC64" s="1">
        <f t="shared" si="22"/>
        <v>1</v>
      </c>
      <c r="AD64" s="1">
        <f t="shared" si="23"/>
        <v>1</v>
      </c>
      <c r="AE64" s="1">
        <f t="shared" si="24"/>
        <v>1</v>
      </c>
      <c r="AF64" s="1">
        <f t="shared" si="25"/>
        <v>1</v>
      </c>
      <c r="AG64" s="1">
        <f t="shared" si="26"/>
        <v>1</v>
      </c>
      <c r="AH64" s="1">
        <f t="shared" si="16"/>
        <v>1</v>
      </c>
      <c r="AK64" s="1">
        <f t="shared" si="27"/>
        <v>1</v>
      </c>
      <c r="AM64" s="1" t="str">
        <f t="shared" si="31"/>
        <v>יוצר ותיק</v>
      </c>
      <c r="AN64" s="1" t="str">
        <f t="shared" si="31"/>
        <v>יוצר בראשית דרכו</v>
      </c>
      <c r="AO64" s="1" t="str">
        <f t="shared" si="31"/>
        <v>יוצר מנוסה</v>
      </c>
      <c r="AQ64" s="1">
        <f t="shared" si="31"/>
        <v>0</v>
      </c>
      <c r="AR64" s="1">
        <f t="shared" si="31"/>
        <v>1</v>
      </c>
      <c r="AT64" s="1">
        <f t="shared" si="28"/>
        <v>0</v>
      </c>
      <c r="AU64" s="1">
        <f t="shared" si="29"/>
        <v>0</v>
      </c>
      <c r="AV64" s="1">
        <f t="shared" si="30"/>
        <v>1</v>
      </c>
    </row>
    <row r="65" spans="1:48" ht="21.75" customHeight="1" x14ac:dyDescent="0.25">
      <c r="A65" s="46">
        <f t="shared" si="14"/>
        <v>45</v>
      </c>
      <c r="B65" s="379" t="str">
        <f>IF('תנאי סף - כלליים'!F75="","",'תנאי סף - כלליים'!F75)</f>
        <v>ניב שינפלד ואורן לאור</v>
      </c>
      <c r="C65" s="288"/>
      <c r="D65" s="288"/>
      <c r="E65" s="288"/>
      <c r="F65" s="288"/>
      <c r="G65" s="270">
        <f>IF(B65="","",IF(AND(C65=1,D65=1,E65&gt;400000,F65&gt;400000,$L$1=2017),פרמטרים!$C$12,1))</f>
        <v>1</v>
      </c>
      <c r="H65" s="399">
        <v>19</v>
      </c>
      <c r="I65" s="399">
        <v>19</v>
      </c>
      <c r="J65" s="399">
        <v>6</v>
      </c>
      <c r="K65" s="399">
        <v>5</v>
      </c>
      <c r="L65" s="399">
        <v>49</v>
      </c>
      <c r="M65" s="258">
        <v>4.9000000000000004</v>
      </c>
      <c r="N65" s="10"/>
      <c r="O65" s="399"/>
      <c r="P65" s="10"/>
      <c r="Q65" s="10"/>
      <c r="R65" s="10"/>
      <c r="S65" s="10"/>
      <c r="T65" s="259">
        <f t="shared" si="18"/>
        <v>1</v>
      </c>
      <c r="U65" s="10"/>
      <c r="V65" s="10"/>
      <c r="W65" s="10"/>
      <c r="X65" s="259">
        <f t="shared" si="15"/>
        <v>0</v>
      </c>
      <c r="Y65" s="259" t="str">
        <f t="shared" si="19"/>
        <v>יוצר מנוסה</v>
      </c>
      <c r="Z65" s="259">
        <f>'תנאי סף - כלליים'!AP75</f>
        <v>1</v>
      </c>
      <c r="AA65" s="260">
        <f t="shared" si="20"/>
        <v>1</v>
      </c>
      <c r="AB65" s="256">
        <f t="shared" si="21"/>
        <v>1</v>
      </c>
      <c r="AC65" s="1">
        <f t="shared" si="22"/>
        <v>1</v>
      </c>
      <c r="AD65" s="1">
        <f t="shared" si="23"/>
        <v>1</v>
      </c>
      <c r="AE65" s="1">
        <f t="shared" si="24"/>
        <v>1</v>
      </c>
      <c r="AF65" s="1">
        <f t="shared" si="25"/>
        <v>1</v>
      </c>
      <c r="AG65" s="1">
        <f t="shared" si="26"/>
        <v>1</v>
      </c>
      <c r="AH65" s="1">
        <f t="shared" si="16"/>
        <v>1</v>
      </c>
      <c r="AK65" s="1">
        <f t="shared" si="27"/>
        <v>1</v>
      </c>
      <c r="AM65" s="1" t="str">
        <f t="shared" si="31"/>
        <v>יוצר ותיק</v>
      </c>
      <c r="AN65" s="1" t="str">
        <f t="shared" si="31"/>
        <v>יוצר בראשית דרכו</v>
      </c>
      <c r="AO65" s="1" t="str">
        <f t="shared" si="31"/>
        <v>יוצר מנוסה</v>
      </c>
      <c r="AQ65" s="1">
        <f t="shared" si="31"/>
        <v>0</v>
      </c>
      <c r="AR65" s="1">
        <f t="shared" si="31"/>
        <v>1</v>
      </c>
      <c r="AT65" s="1">
        <f t="shared" si="28"/>
        <v>0</v>
      </c>
      <c r="AU65" s="1">
        <f t="shared" si="29"/>
        <v>0</v>
      </c>
      <c r="AV65" s="1">
        <f t="shared" si="30"/>
        <v>1</v>
      </c>
    </row>
    <row r="66" spans="1:48" ht="21.75" customHeight="1" x14ac:dyDescent="0.25">
      <c r="A66" s="46">
        <f t="shared" si="14"/>
        <v>46</v>
      </c>
      <c r="B66" s="379" t="str">
        <f>IF('תנאי סף - כלליים'!F76="","",'תנאי סף - כלליים'!F76)</f>
        <v>נימה יעקובי</v>
      </c>
      <c r="C66" s="288"/>
      <c r="D66" s="288"/>
      <c r="E66" s="288"/>
      <c r="F66" s="288"/>
      <c r="G66" s="270">
        <f>IF(B66="","",IF(AND(C66=1,D66=1,E66&gt;400000,F66&gt;400000,$L$1=2017),פרמטרים!$C$12,1))</f>
        <v>1</v>
      </c>
      <c r="H66" s="399">
        <v>17</v>
      </c>
      <c r="I66" s="399">
        <v>17</v>
      </c>
      <c r="J66" s="399">
        <v>4</v>
      </c>
      <c r="K66" s="399">
        <v>3</v>
      </c>
      <c r="L66" s="399">
        <v>73</v>
      </c>
      <c r="M66" s="258">
        <v>3.43</v>
      </c>
      <c r="N66" s="10"/>
      <c r="O66" s="399"/>
      <c r="P66" s="10"/>
      <c r="Q66" s="10"/>
      <c r="R66" s="10"/>
      <c r="S66" s="10"/>
      <c r="T66" s="259">
        <f t="shared" si="18"/>
        <v>1</v>
      </c>
      <c r="U66" s="10"/>
      <c r="V66" s="10"/>
      <c r="W66" s="10"/>
      <c r="X66" s="259">
        <f t="shared" si="15"/>
        <v>0</v>
      </c>
      <c r="Y66" s="259" t="str">
        <f t="shared" si="19"/>
        <v>יוצר מנוסה</v>
      </c>
      <c r="Z66" s="259">
        <f>'תנאי סף - כלליים'!AP76</f>
        <v>1</v>
      </c>
      <c r="AA66" s="260">
        <f t="shared" si="20"/>
        <v>1</v>
      </c>
      <c r="AB66" s="256">
        <f t="shared" si="21"/>
        <v>1</v>
      </c>
      <c r="AC66" s="1">
        <f t="shared" si="22"/>
        <v>1</v>
      </c>
      <c r="AD66" s="1">
        <f t="shared" si="23"/>
        <v>1</v>
      </c>
      <c r="AE66" s="1">
        <f t="shared" si="24"/>
        <v>1</v>
      </c>
      <c r="AF66" s="1">
        <f t="shared" si="25"/>
        <v>1</v>
      </c>
      <c r="AG66" s="1">
        <f t="shared" si="26"/>
        <v>1</v>
      </c>
      <c r="AH66" s="1">
        <f t="shared" si="16"/>
        <v>1</v>
      </c>
      <c r="AK66" s="1">
        <f t="shared" si="27"/>
        <v>1</v>
      </c>
      <c r="AM66" s="1" t="str">
        <f t="shared" si="31"/>
        <v>יוצר ותיק</v>
      </c>
      <c r="AN66" s="1" t="str">
        <f t="shared" si="31"/>
        <v>יוצר בראשית דרכו</v>
      </c>
      <c r="AO66" s="1" t="str">
        <f t="shared" si="31"/>
        <v>יוצר מנוסה</v>
      </c>
      <c r="AQ66" s="1">
        <f t="shared" si="31"/>
        <v>0</v>
      </c>
      <c r="AR66" s="1">
        <f t="shared" si="31"/>
        <v>1</v>
      </c>
      <c r="AT66" s="1">
        <f t="shared" si="28"/>
        <v>0</v>
      </c>
      <c r="AU66" s="1">
        <f t="shared" si="29"/>
        <v>0</v>
      </c>
      <c r="AV66" s="1">
        <f t="shared" si="30"/>
        <v>1</v>
      </c>
    </row>
    <row r="67" spans="1:48" ht="21.75" customHeight="1" x14ac:dyDescent="0.25">
      <c r="A67" s="46">
        <f t="shared" si="14"/>
        <v>47</v>
      </c>
      <c r="B67" s="379" t="str">
        <f>IF('תנאי סף - כלליים'!F77="","",'תנאי סף - כלליים'!F77)</f>
        <v>נמרוד פריד</v>
      </c>
      <c r="C67" s="288"/>
      <c r="D67" s="288"/>
      <c r="E67" s="288"/>
      <c r="F67" s="288"/>
      <c r="G67" s="270">
        <f>IF(B67="","",IF(AND(C67=1,D67=1,E67&gt;400000,F67&gt;400000,$L$1=2017),פרמטרים!$C$12,1))</f>
        <v>1</v>
      </c>
      <c r="H67" s="399">
        <v>36</v>
      </c>
      <c r="I67" s="399">
        <v>36</v>
      </c>
      <c r="J67" s="399">
        <v>10</v>
      </c>
      <c r="K67" s="399">
        <v>9</v>
      </c>
      <c r="L67" s="399">
        <v>8</v>
      </c>
      <c r="M67" s="258">
        <v>3.25</v>
      </c>
      <c r="N67" s="10"/>
      <c r="O67" s="399"/>
      <c r="P67" s="10"/>
      <c r="Q67" s="10"/>
      <c r="R67" s="10"/>
      <c r="S67" s="10"/>
      <c r="T67" s="259">
        <f t="shared" si="18"/>
        <v>1</v>
      </c>
      <c r="U67" s="10"/>
      <c r="V67" s="10"/>
      <c r="W67" s="10"/>
      <c r="X67" s="259">
        <f t="shared" si="15"/>
        <v>0</v>
      </c>
      <c r="Y67" s="259" t="str">
        <f t="shared" si="19"/>
        <v>יוצר מנוסה</v>
      </c>
      <c r="Z67" s="259">
        <f>'תנאי סף - כלליים'!AP77</f>
        <v>1</v>
      </c>
      <c r="AA67" s="260">
        <f t="shared" si="20"/>
        <v>1</v>
      </c>
      <c r="AB67" s="256">
        <f t="shared" si="21"/>
        <v>1</v>
      </c>
      <c r="AC67" s="1">
        <f t="shared" si="22"/>
        <v>1</v>
      </c>
      <c r="AD67" s="1">
        <f t="shared" si="23"/>
        <v>1</v>
      </c>
      <c r="AE67" s="1">
        <f t="shared" si="24"/>
        <v>1</v>
      </c>
      <c r="AF67" s="1">
        <f t="shared" si="25"/>
        <v>1</v>
      </c>
      <c r="AG67" s="1">
        <f t="shared" si="26"/>
        <v>1</v>
      </c>
      <c r="AH67" s="1">
        <f t="shared" si="16"/>
        <v>1</v>
      </c>
      <c r="AK67" s="1">
        <f t="shared" si="27"/>
        <v>1</v>
      </c>
      <c r="AM67" s="1" t="str">
        <f t="shared" si="31"/>
        <v>יוצר ותיק</v>
      </c>
      <c r="AN67" s="1" t="str">
        <f t="shared" si="31"/>
        <v>יוצר בראשית דרכו</v>
      </c>
      <c r="AO67" s="1" t="str">
        <f t="shared" si="31"/>
        <v>יוצר מנוסה</v>
      </c>
      <c r="AQ67" s="1">
        <f t="shared" si="31"/>
        <v>0</v>
      </c>
      <c r="AR67" s="1">
        <f t="shared" si="31"/>
        <v>1</v>
      </c>
      <c r="AT67" s="1">
        <f t="shared" si="28"/>
        <v>0</v>
      </c>
      <c r="AU67" s="1">
        <f t="shared" si="29"/>
        <v>0</v>
      </c>
      <c r="AV67" s="1">
        <f t="shared" si="30"/>
        <v>1</v>
      </c>
    </row>
    <row r="68" spans="1:48" ht="21.75" customHeight="1" x14ac:dyDescent="0.25">
      <c r="A68" s="46">
        <f t="shared" si="14"/>
        <v>48</v>
      </c>
      <c r="B68" s="379" t="str">
        <f>IF('תנאי סף - כלליים'!F78="","",'תנאי סף - כלליים'!F78)</f>
        <v>נעה דר</v>
      </c>
      <c r="C68" s="288"/>
      <c r="D68" s="288"/>
      <c r="E68" s="288"/>
      <c r="F68" s="288"/>
      <c r="G68" s="270">
        <f>IF(B68="","",IF(AND(C68=1,D68=1,E68&gt;400000,F68&gt;400000,$L$1=2017),פרמטרים!$C$12,1))</f>
        <v>1</v>
      </c>
      <c r="H68" s="399">
        <v>39</v>
      </c>
      <c r="I68" s="399">
        <v>39</v>
      </c>
      <c r="J68" s="399">
        <v>10</v>
      </c>
      <c r="K68" s="399">
        <v>9</v>
      </c>
      <c r="L68" s="399">
        <v>13</v>
      </c>
      <c r="M68" s="258">
        <v>3.2</v>
      </c>
      <c r="N68" s="10"/>
      <c r="O68" s="399"/>
      <c r="P68" s="10"/>
      <c r="Q68" s="10"/>
      <c r="R68" s="10"/>
      <c r="S68" s="10"/>
      <c r="T68" s="259">
        <f t="shared" si="18"/>
        <v>1</v>
      </c>
      <c r="U68" s="10"/>
      <c r="V68" s="10"/>
      <c r="W68" s="10"/>
      <c r="X68" s="259">
        <f t="shared" si="15"/>
        <v>0</v>
      </c>
      <c r="Y68" s="259" t="str">
        <f t="shared" si="19"/>
        <v>יוצר מנוסה</v>
      </c>
      <c r="Z68" s="259">
        <f>'תנאי סף - כלליים'!AP78</f>
        <v>1</v>
      </c>
      <c r="AA68" s="260">
        <f t="shared" si="20"/>
        <v>1</v>
      </c>
      <c r="AB68" s="256">
        <f t="shared" si="21"/>
        <v>1</v>
      </c>
      <c r="AC68" s="1">
        <f t="shared" si="22"/>
        <v>1</v>
      </c>
      <c r="AD68" s="1">
        <f t="shared" si="23"/>
        <v>1</v>
      </c>
      <c r="AE68" s="1">
        <f t="shared" si="24"/>
        <v>1</v>
      </c>
      <c r="AF68" s="1">
        <f t="shared" si="25"/>
        <v>1</v>
      </c>
      <c r="AG68" s="1">
        <f t="shared" si="26"/>
        <v>1</v>
      </c>
      <c r="AH68" s="1">
        <f t="shared" si="16"/>
        <v>1</v>
      </c>
      <c r="AK68" s="1">
        <f t="shared" si="27"/>
        <v>1</v>
      </c>
      <c r="AM68" s="1" t="str">
        <f t="shared" si="31"/>
        <v>יוצר ותיק</v>
      </c>
      <c r="AN68" s="1" t="str">
        <f t="shared" si="31"/>
        <v>יוצר בראשית דרכו</v>
      </c>
      <c r="AO68" s="1" t="str">
        <f t="shared" si="31"/>
        <v>יוצר מנוסה</v>
      </c>
      <c r="AQ68" s="1">
        <f t="shared" si="31"/>
        <v>0</v>
      </c>
      <c r="AR68" s="1">
        <f t="shared" si="31"/>
        <v>1</v>
      </c>
      <c r="AT68" s="1">
        <f t="shared" si="28"/>
        <v>0</v>
      </c>
      <c r="AU68" s="1">
        <f t="shared" si="29"/>
        <v>0</v>
      </c>
      <c r="AV68" s="1">
        <f t="shared" si="30"/>
        <v>1</v>
      </c>
    </row>
    <row r="69" spans="1:48" ht="21.75" customHeight="1" x14ac:dyDescent="0.25">
      <c r="A69" s="46">
        <f t="shared" si="14"/>
        <v>49</v>
      </c>
      <c r="B69" s="379" t="str">
        <f>IF('תנאי סף - כלליים'!F79="","",'תנאי סף - כלליים'!F79)</f>
        <v>נעה שדור</v>
      </c>
      <c r="C69" s="288"/>
      <c r="D69" s="288"/>
      <c r="E69" s="288"/>
      <c r="F69" s="288"/>
      <c r="G69" s="270">
        <f>IF(B69="","",IF(AND(C69=1,D69=1,E69&gt;400000,F69&gt;400000,$L$1=2017),פרמטרים!$C$12,1))</f>
        <v>1</v>
      </c>
      <c r="H69" s="399">
        <v>14</v>
      </c>
      <c r="I69" s="399">
        <v>14</v>
      </c>
      <c r="J69" s="399">
        <v>5</v>
      </c>
      <c r="K69" s="399">
        <v>3</v>
      </c>
      <c r="L69" s="399">
        <v>14</v>
      </c>
      <c r="M69" s="258">
        <v>3.5</v>
      </c>
      <c r="N69" s="10"/>
      <c r="O69" s="399"/>
      <c r="P69" s="10"/>
      <c r="Q69" s="10"/>
      <c r="R69" s="10"/>
      <c r="S69" s="10"/>
      <c r="T69" s="259">
        <f t="shared" si="18"/>
        <v>1</v>
      </c>
      <c r="U69" s="10"/>
      <c r="V69" s="10"/>
      <c r="W69" s="10"/>
      <c r="X69" s="259">
        <f t="shared" si="15"/>
        <v>0</v>
      </c>
      <c r="Y69" s="259" t="str">
        <f t="shared" si="19"/>
        <v>יוצר מנוסה</v>
      </c>
      <c r="Z69" s="259">
        <f>'תנאי סף - כלליים'!AP79</f>
        <v>1</v>
      </c>
      <c r="AA69" s="260">
        <f t="shared" si="20"/>
        <v>1</v>
      </c>
      <c r="AB69" s="256">
        <f t="shared" si="21"/>
        <v>1</v>
      </c>
      <c r="AC69" s="1">
        <f t="shared" si="22"/>
        <v>1</v>
      </c>
      <c r="AD69" s="1">
        <f t="shared" si="23"/>
        <v>1</v>
      </c>
      <c r="AE69" s="1">
        <f t="shared" si="24"/>
        <v>1</v>
      </c>
      <c r="AF69" s="1">
        <f t="shared" si="25"/>
        <v>1</v>
      </c>
      <c r="AG69" s="1">
        <f t="shared" si="26"/>
        <v>1</v>
      </c>
      <c r="AH69" s="1">
        <f t="shared" si="16"/>
        <v>1</v>
      </c>
      <c r="AK69" s="1">
        <f t="shared" si="27"/>
        <v>1</v>
      </c>
      <c r="AM69" s="1" t="str">
        <f t="shared" si="31"/>
        <v>יוצר ותיק</v>
      </c>
      <c r="AN69" s="1" t="str">
        <f t="shared" si="31"/>
        <v>יוצר בראשית דרכו</v>
      </c>
      <c r="AO69" s="1" t="str">
        <f t="shared" si="31"/>
        <v>יוצר מנוסה</v>
      </c>
      <c r="AQ69" s="1">
        <f t="shared" si="31"/>
        <v>0</v>
      </c>
      <c r="AR69" s="1">
        <f t="shared" si="31"/>
        <v>1</v>
      </c>
      <c r="AT69" s="1">
        <f t="shared" si="28"/>
        <v>0</v>
      </c>
      <c r="AU69" s="1">
        <f t="shared" si="29"/>
        <v>0</v>
      </c>
      <c r="AV69" s="1">
        <f t="shared" si="30"/>
        <v>1</v>
      </c>
    </row>
    <row r="70" spans="1:48" ht="21.75" customHeight="1" x14ac:dyDescent="0.25">
      <c r="A70" s="46">
        <f t="shared" si="14"/>
        <v>50</v>
      </c>
      <c r="B70" s="379" t="str">
        <f>IF('תנאי סף - כלליים'!F80="","",'תנאי סף - כלליים'!F80)</f>
        <v>סאלי אן פרילנד</v>
      </c>
      <c r="C70" s="288"/>
      <c r="D70" s="288"/>
      <c r="E70" s="288"/>
      <c r="F70" s="288"/>
      <c r="G70" s="270">
        <f>IF(B70="","",IF(AND(C70=1,D70=1,E70&gt;400000,F70&gt;400000,$L$1=2017),פרמטרים!$C$12,1))</f>
        <v>1</v>
      </c>
      <c r="H70" s="399">
        <v>53</v>
      </c>
      <c r="I70" s="399">
        <v>53</v>
      </c>
      <c r="J70" s="399">
        <v>7</v>
      </c>
      <c r="K70" s="399">
        <v>5</v>
      </c>
      <c r="L70" s="399">
        <v>10</v>
      </c>
      <c r="M70" s="258">
        <v>3.27</v>
      </c>
      <c r="N70" s="10"/>
      <c r="O70" s="399"/>
      <c r="P70" s="10"/>
      <c r="Q70" s="10"/>
      <c r="R70" s="10"/>
      <c r="S70" s="10"/>
      <c r="T70" s="259">
        <f t="shared" si="18"/>
        <v>1</v>
      </c>
      <c r="U70" s="10"/>
      <c r="V70" s="10"/>
      <c r="W70" s="10"/>
      <c r="X70" s="259">
        <f t="shared" si="15"/>
        <v>0</v>
      </c>
      <c r="Y70" s="259" t="str">
        <f t="shared" si="19"/>
        <v>יוצר מנוסה</v>
      </c>
      <c r="Z70" s="259">
        <f>'תנאי סף - כלליים'!AP80</f>
        <v>1</v>
      </c>
      <c r="AA70" s="260">
        <f t="shared" si="20"/>
        <v>1</v>
      </c>
      <c r="AB70" s="256">
        <f t="shared" si="21"/>
        <v>1</v>
      </c>
      <c r="AC70" s="1">
        <f t="shared" si="22"/>
        <v>1</v>
      </c>
      <c r="AD70" s="1">
        <f t="shared" si="23"/>
        <v>1</v>
      </c>
      <c r="AE70" s="1">
        <f t="shared" si="24"/>
        <v>1</v>
      </c>
      <c r="AF70" s="1">
        <f t="shared" si="25"/>
        <v>1</v>
      </c>
      <c r="AG70" s="1">
        <f t="shared" si="26"/>
        <v>1</v>
      </c>
      <c r="AH70" s="1">
        <f t="shared" si="16"/>
        <v>1</v>
      </c>
      <c r="AK70" s="1">
        <f t="shared" si="27"/>
        <v>1</v>
      </c>
      <c r="AM70" s="1" t="str">
        <f t="shared" si="31"/>
        <v>יוצר ותיק</v>
      </c>
      <c r="AN70" s="1" t="str">
        <f t="shared" si="31"/>
        <v>יוצר בראשית דרכו</v>
      </c>
      <c r="AO70" s="1" t="str">
        <f t="shared" si="31"/>
        <v>יוצר מנוסה</v>
      </c>
      <c r="AQ70" s="1">
        <f t="shared" si="31"/>
        <v>0</v>
      </c>
      <c r="AR70" s="1">
        <f t="shared" si="31"/>
        <v>1</v>
      </c>
      <c r="AT70" s="1">
        <f t="shared" si="28"/>
        <v>0</v>
      </c>
      <c r="AU70" s="1">
        <f t="shared" si="29"/>
        <v>0</v>
      </c>
      <c r="AV70" s="1">
        <f t="shared" si="30"/>
        <v>1</v>
      </c>
    </row>
    <row r="71" spans="1:48" ht="21.75" customHeight="1" x14ac:dyDescent="0.25">
      <c r="A71" s="46">
        <f t="shared" si="14"/>
        <v>51</v>
      </c>
      <c r="B71" s="379" t="str">
        <f>IF('תנאי סף - כלליים'!F81="","",'תנאי סף - כלליים'!F81)</f>
        <v>סהר עזימי</v>
      </c>
      <c r="C71" s="288"/>
      <c r="D71" s="288"/>
      <c r="E71" s="288"/>
      <c r="F71" s="288"/>
      <c r="G71" s="270">
        <f>IF(B71="","",IF(AND(C71=1,D71=1,E71&gt;400000,F71&gt;400000,$L$1=2017),פרמטרים!$C$12,1))</f>
        <v>1</v>
      </c>
      <c r="H71" s="399">
        <v>24</v>
      </c>
      <c r="I71" s="399">
        <v>24</v>
      </c>
      <c r="J71" s="399">
        <v>7</v>
      </c>
      <c r="K71" s="399">
        <v>6</v>
      </c>
      <c r="L71" s="399">
        <v>13</v>
      </c>
      <c r="M71" s="258">
        <v>3.6</v>
      </c>
      <c r="N71" s="10"/>
      <c r="O71" s="399"/>
      <c r="P71" s="10"/>
      <c r="Q71" s="10"/>
      <c r="R71" s="10"/>
      <c r="S71" s="10"/>
      <c r="T71" s="259">
        <f t="shared" si="18"/>
        <v>1</v>
      </c>
      <c r="U71" s="10"/>
      <c r="V71" s="10"/>
      <c r="W71" s="10"/>
      <c r="X71" s="259">
        <f t="shared" si="15"/>
        <v>0</v>
      </c>
      <c r="Y71" s="259" t="str">
        <f t="shared" si="19"/>
        <v>יוצר מנוסה</v>
      </c>
      <c r="Z71" s="259">
        <f>'תנאי סף - כלליים'!AP81</f>
        <v>1</v>
      </c>
      <c r="AA71" s="260">
        <f t="shared" si="20"/>
        <v>1</v>
      </c>
      <c r="AB71" s="256">
        <f t="shared" si="21"/>
        <v>1</v>
      </c>
      <c r="AC71" s="1">
        <f t="shared" si="22"/>
        <v>1</v>
      </c>
      <c r="AD71" s="1">
        <f t="shared" si="23"/>
        <v>1</v>
      </c>
      <c r="AE71" s="1">
        <f t="shared" si="24"/>
        <v>1</v>
      </c>
      <c r="AF71" s="1">
        <f t="shared" si="25"/>
        <v>1</v>
      </c>
      <c r="AG71" s="1">
        <f t="shared" si="26"/>
        <v>1</v>
      </c>
      <c r="AH71" s="1">
        <f t="shared" si="16"/>
        <v>1</v>
      </c>
      <c r="AK71" s="1">
        <f t="shared" si="27"/>
        <v>1</v>
      </c>
      <c r="AM71" s="1" t="str">
        <f t="shared" si="31"/>
        <v>יוצר ותיק</v>
      </c>
      <c r="AN71" s="1" t="str">
        <f t="shared" si="31"/>
        <v>יוצר בראשית דרכו</v>
      </c>
      <c r="AO71" s="1" t="str">
        <f t="shared" si="31"/>
        <v>יוצר מנוסה</v>
      </c>
      <c r="AQ71" s="1">
        <f t="shared" si="31"/>
        <v>0</v>
      </c>
      <c r="AR71" s="1">
        <f t="shared" si="31"/>
        <v>1</v>
      </c>
      <c r="AT71" s="1">
        <f t="shared" si="28"/>
        <v>0</v>
      </c>
      <c r="AU71" s="1">
        <f t="shared" si="29"/>
        <v>0</v>
      </c>
      <c r="AV71" s="1">
        <f t="shared" si="30"/>
        <v>1</v>
      </c>
    </row>
    <row r="72" spans="1:48" ht="21.75" customHeight="1" x14ac:dyDescent="0.25">
      <c r="A72" s="46">
        <f t="shared" si="14"/>
        <v>52</v>
      </c>
      <c r="B72" s="379" t="str">
        <f>IF('תנאי סף - כלליים'!F82="","",'תנאי סף - כלליים'!F82)</f>
        <v>עדו פדר</v>
      </c>
      <c r="C72" s="288"/>
      <c r="D72" s="288"/>
      <c r="E72" s="288"/>
      <c r="F72" s="288"/>
      <c r="G72" s="270">
        <f>IF(B72="","",IF(AND(C72=1,D72=1,E72&gt;400000,F72&gt;400000,$L$1=2017),פרמטרים!$C$12,1))</f>
        <v>1</v>
      </c>
      <c r="H72" s="399">
        <v>11</v>
      </c>
      <c r="I72" s="399">
        <v>11</v>
      </c>
      <c r="J72" s="399">
        <v>6</v>
      </c>
      <c r="K72" s="399">
        <v>5</v>
      </c>
      <c r="L72" s="399">
        <v>10</v>
      </c>
      <c r="M72" s="258">
        <v>3.3</v>
      </c>
      <c r="N72" s="10"/>
      <c r="O72" s="399"/>
      <c r="P72" s="10"/>
      <c r="Q72" s="10"/>
      <c r="R72" s="10"/>
      <c r="S72" s="10"/>
      <c r="T72" s="259">
        <f t="shared" si="18"/>
        <v>1</v>
      </c>
      <c r="U72" s="10"/>
      <c r="V72" s="10"/>
      <c r="W72" s="10"/>
      <c r="X72" s="259">
        <f t="shared" si="15"/>
        <v>0</v>
      </c>
      <c r="Y72" s="259" t="str">
        <f t="shared" si="19"/>
        <v>יוצר מנוסה</v>
      </c>
      <c r="Z72" s="259">
        <f>'תנאי סף - כלליים'!AP82</f>
        <v>1</v>
      </c>
      <c r="AA72" s="260">
        <f t="shared" si="20"/>
        <v>1</v>
      </c>
      <c r="AB72" s="256">
        <f t="shared" si="21"/>
        <v>1</v>
      </c>
      <c r="AC72" s="1">
        <f t="shared" si="22"/>
        <v>1</v>
      </c>
      <c r="AD72" s="1">
        <f t="shared" si="23"/>
        <v>1</v>
      </c>
      <c r="AE72" s="1">
        <f t="shared" si="24"/>
        <v>1</v>
      </c>
      <c r="AF72" s="1">
        <f t="shared" si="25"/>
        <v>1</v>
      </c>
      <c r="AG72" s="1">
        <f t="shared" si="26"/>
        <v>1</v>
      </c>
      <c r="AH72" s="1">
        <f t="shared" si="16"/>
        <v>1</v>
      </c>
      <c r="AK72" s="1">
        <f t="shared" si="27"/>
        <v>1</v>
      </c>
      <c r="AM72" s="1" t="str">
        <f t="shared" si="31"/>
        <v>יוצר ותיק</v>
      </c>
      <c r="AN72" s="1" t="str">
        <f t="shared" si="31"/>
        <v>יוצר בראשית דרכו</v>
      </c>
      <c r="AO72" s="1" t="str">
        <f t="shared" si="31"/>
        <v>יוצר מנוסה</v>
      </c>
      <c r="AQ72" s="1">
        <f t="shared" si="31"/>
        <v>0</v>
      </c>
      <c r="AR72" s="1">
        <f t="shared" si="31"/>
        <v>1</v>
      </c>
      <c r="AT72" s="1">
        <f t="shared" si="28"/>
        <v>0</v>
      </c>
      <c r="AU72" s="1">
        <f t="shared" si="29"/>
        <v>0</v>
      </c>
      <c r="AV72" s="1">
        <f t="shared" si="30"/>
        <v>1</v>
      </c>
    </row>
    <row r="73" spans="1:48" ht="21.75" customHeight="1" x14ac:dyDescent="0.25">
      <c r="A73" s="46">
        <f t="shared" si="14"/>
        <v>53</v>
      </c>
      <c r="B73" s="379" t="str">
        <f>IF('תנאי סף - כלליים'!F83="","",'תנאי סף - כלליים'!F83)</f>
        <v>עודד רונן</v>
      </c>
      <c r="C73" s="288"/>
      <c r="D73" s="288"/>
      <c r="E73" s="288"/>
      <c r="F73" s="288"/>
      <c r="G73" s="270">
        <f>IF(B73="","",IF(AND(C73=1,D73=1,E73&gt;400000,F73&gt;400000,$L$1=2017),פרמטרים!$C$12,1))</f>
        <v>1</v>
      </c>
      <c r="H73" s="399">
        <v>14</v>
      </c>
      <c r="I73" s="399">
        <v>14</v>
      </c>
      <c r="J73" s="399">
        <v>7</v>
      </c>
      <c r="K73" s="399">
        <v>4</v>
      </c>
      <c r="L73" s="399">
        <v>6</v>
      </c>
      <c r="M73" s="258">
        <v>3.65</v>
      </c>
      <c r="N73" s="10"/>
      <c r="O73" s="399"/>
      <c r="P73" s="10"/>
      <c r="Q73" s="10"/>
      <c r="R73" s="10"/>
      <c r="S73" s="10"/>
      <c r="T73" s="259">
        <f t="shared" si="18"/>
        <v>1</v>
      </c>
      <c r="U73" s="10"/>
      <c r="V73" s="10"/>
      <c r="W73" s="10"/>
      <c r="X73" s="259">
        <f t="shared" si="15"/>
        <v>0</v>
      </c>
      <c r="Y73" s="259" t="str">
        <f t="shared" si="19"/>
        <v>יוצר מנוסה</v>
      </c>
      <c r="Z73" s="259">
        <f>'תנאי סף - כלליים'!AP83</f>
        <v>1</v>
      </c>
      <c r="AA73" s="260">
        <f t="shared" si="20"/>
        <v>1</v>
      </c>
      <c r="AB73" s="256">
        <f t="shared" si="21"/>
        <v>1</v>
      </c>
      <c r="AC73" s="1">
        <f t="shared" si="22"/>
        <v>1</v>
      </c>
      <c r="AD73" s="1">
        <f t="shared" si="23"/>
        <v>1</v>
      </c>
      <c r="AE73" s="1">
        <f t="shared" si="24"/>
        <v>1</v>
      </c>
      <c r="AF73" s="1">
        <f t="shared" si="25"/>
        <v>1</v>
      </c>
      <c r="AG73" s="1">
        <f t="shared" si="26"/>
        <v>1</v>
      </c>
      <c r="AH73" s="1">
        <f t="shared" si="16"/>
        <v>1</v>
      </c>
      <c r="AK73" s="1">
        <f t="shared" si="27"/>
        <v>1</v>
      </c>
      <c r="AM73" s="1" t="str">
        <f t="shared" si="31"/>
        <v>יוצר ותיק</v>
      </c>
      <c r="AN73" s="1" t="str">
        <f t="shared" si="31"/>
        <v>יוצר בראשית דרכו</v>
      </c>
      <c r="AO73" s="1" t="str">
        <f t="shared" si="31"/>
        <v>יוצר מנוסה</v>
      </c>
      <c r="AQ73" s="1">
        <f t="shared" si="31"/>
        <v>0</v>
      </c>
      <c r="AR73" s="1">
        <f t="shared" si="31"/>
        <v>1</v>
      </c>
      <c r="AT73" s="1">
        <f t="shared" si="28"/>
        <v>0</v>
      </c>
      <c r="AU73" s="1">
        <f t="shared" si="29"/>
        <v>0</v>
      </c>
      <c r="AV73" s="1">
        <f t="shared" si="30"/>
        <v>1</v>
      </c>
    </row>
    <row r="74" spans="1:48" ht="21.75" customHeight="1" x14ac:dyDescent="0.25">
      <c r="A74" s="46">
        <f t="shared" si="14"/>
        <v>54</v>
      </c>
      <c r="B74" s="379" t="str">
        <f>IF('תנאי סף - כלליים'!F84="","",'תנאי סף - כלליים'!F84)</f>
        <v>עידן כהן</v>
      </c>
      <c r="C74" s="288"/>
      <c r="D74" s="288"/>
      <c r="E74" s="288"/>
      <c r="F74" s="288"/>
      <c r="G74" s="270">
        <f>IF(B74="","",IF(AND(C74=1,D74=1,E74&gt;400000,F74&gt;400000,$L$1=2017),פרמטרים!$C$12,1))</f>
        <v>1</v>
      </c>
      <c r="H74" s="399">
        <v>18</v>
      </c>
      <c r="I74" s="399">
        <v>18</v>
      </c>
      <c r="J74" s="399">
        <v>5</v>
      </c>
      <c r="K74" s="399">
        <v>4</v>
      </c>
      <c r="L74" s="399">
        <v>7</v>
      </c>
      <c r="M74" s="258">
        <v>3.63</v>
      </c>
      <c r="N74" s="10"/>
      <c r="O74" s="399"/>
      <c r="P74" s="10"/>
      <c r="Q74" s="10"/>
      <c r="R74" s="10"/>
      <c r="S74" s="10"/>
      <c r="T74" s="259">
        <f t="shared" si="18"/>
        <v>1</v>
      </c>
      <c r="U74" s="10"/>
      <c r="V74" s="10"/>
      <c r="W74" s="10"/>
      <c r="X74" s="259">
        <f t="shared" si="15"/>
        <v>0</v>
      </c>
      <c r="Y74" s="259" t="str">
        <f t="shared" si="19"/>
        <v>יוצר מנוסה</v>
      </c>
      <c r="Z74" s="259">
        <f>'תנאי סף - כלליים'!AP84</f>
        <v>1</v>
      </c>
      <c r="AA74" s="260">
        <f t="shared" si="20"/>
        <v>1</v>
      </c>
      <c r="AB74" s="256">
        <f t="shared" si="21"/>
        <v>1</v>
      </c>
      <c r="AC74" s="1">
        <f t="shared" si="22"/>
        <v>1</v>
      </c>
      <c r="AD74" s="1">
        <f t="shared" si="23"/>
        <v>1</v>
      </c>
      <c r="AE74" s="1">
        <f t="shared" si="24"/>
        <v>1</v>
      </c>
      <c r="AF74" s="1">
        <f t="shared" si="25"/>
        <v>1</v>
      </c>
      <c r="AG74" s="1">
        <f t="shared" si="26"/>
        <v>1</v>
      </c>
      <c r="AH74" s="1">
        <f t="shared" si="16"/>
        <v>1</v>
      </c>
      <c r="AK74" s="1">
        <f t="shared" si="27"/>
        <v>1</v>
      </c>
      <c r="AM74" s="1" t="str">
        <f t="shared" si="31"/>
        <v>יוצר ותיק</v>
      </c>
      <c r="AN74" s="1" t="str">
        <f t="shared" si="31"/>
        <v>יוצר בראשית דרכו</v>
      </c>
      <c r="AO74" s="1" t="str">
        <f t="shared" si="31"/>
        <v>יוצר מנוסה</v>
      </c>
      <c r="AQ74" s="1">
        <f t="shared" si="31"/>
        <v>0</v>
      </c>
      <c r="AR74" s="1">
        <f t="shared" si="31"/>
        <v>1</v>
      </c>
      <c r="AT74" s="1">
        <f t="shared" si="28"/>
        <v>0</v>
      </c>
      <c r="AU74" s="1">
        <f t="shared" si="29"/>
        <v>0</v>
      </c>
      <c r="AV74" s="1">
        <f t="shared" si="30"/>
        <v>1</v>
      </c>
    </row>
    <row r="75" spans="1:48" ht="21.75" customHeight="1" x14ac:dyDescent="0.25">
      <c r="A75" s="46">
        <f t="shared" si="14"/>
        <v>55</v>
      </c>
      <c r="B75" s="379" t="str">
        <f>IF('תנאי סף - כלליים'!F85="","",'תנאי סף - כלליים'!F85)</f>
        <v>עידן שרעבי</v>
      </c>
      <c r="C75" s="288"/>
      <c r="D75" s="288"/>
      <c r="E75" s="288"/>
      <c r="F75" s="288"/>
      <c r="G75" s="270">
        <f>IF(B75="","",IF(AND(C75=1,D75=1,E75&gt;400000,F75&gt;400000,$L$1=2017),פרמטרים!$C$12,1))</f>
        <v>1</v>
      </c>
      <c r="H75" s="399">
        <v>29</v>
      </c>
      <c r="I75" s="399">
        <v>29</v>
      </c>
      <c r="J75" s="399">
        <v>6</v>
      </c>
      <c r="K75" s="399">
        <v>5</v>
      </c>
      <c r="L75" s="399">
        <v>12</v>
      </c>
      <c r="M75" s="258">
        <v>3.43</v>
      </c>
      <c r="N75" s="10"/>
      <c r="O75" s="399"/>
      <c r="P75" s="10"/>
      <c r="Q75" s="10"/>
      <c r="R75" s="10"/>
      <c r="S75" s="10"/>
      <c r="T75" s="259">
        <f t="shared" si="18"/>
        <v>1</v>
      </c>
      <c r="U75" s="10"/>
      <c r="V75" s="10"/>
      <c r="W75" s="10"/>
      <c r="X75" s="259">
        <f t="shared" si="15"/>
        <v>0</v>
      </c>
      <c r="Y75" s="259" t="str">
        <f t="shared" si="19"/>
        <v>יוצר מנוסה</v>
      </c>
      <c r="Z75" s="259">
        <f>'תנאי סף - כלליים'!AP85</f>
        <v>1</v>
      </c>
      <c r="AA75" s="260">
        <f t="shared" si="20"/>
        <v>1</v>
      </c>
      <c r="AB75" s="256">
        <f t="shared" si="21"/>
        <v>1</v>
      </c>
      <c r="AC75" s="1">
        <f t="shared" si="22"/>
        <v>1</v>
      </c>
      <c r="AD75" s="1">
        <f t="shared" si="23"/>
        <v>1</v>
      </c>
      <c r="AE75" s="1">
        <f t="shared" si="24"/>
        <v>1</v>
      </c>
      <c r="AF75" s="1">
        <f t="shared" si="25"/>
        <v>1</v>
      </c>
      <c r="AG75" s="1">
        <f t="shared" si="26"/>
        <v>1</v>
      </c>
      <c r="AH75" s="1">
        <f t="shared" si="16"/>
        <v>1</v>
      </c>
      <c r="AK75" s="1">
        <f t="shared" si="27"/>
        <v>1</v>
      </c>
      <c r="AM75" s="1" t="str">
        <f t="shared" si="31"/>
        <v>יוצר ותיק</v>
      </c>
      <c r="AN75" s="1" t="str">
        <f t="shared" si="31"/>
        <v>יוצר בראשית דרכו</v>
      </c>
      <c r="AO75" s="1" t="str">
        <f t="shared" si="31"/>
        <v>יוצר מנוסה</v>
      </c>
      <c r="AQ75" s="1">
        <f t="shared" si="31"/>
        <v>0</v>
      </c>
      <c r="AR75" s="1">
        <f t="shared" si="31"/>
        <v>1</v>
      </c>
      <c r="AT75" s="1">
        <f t="shared" si="28"/>
        <v>0</v>
      </c>
      <c r="AU75" s="1">
        <f t="shared" si="29"/>
        <v>0</v>
      </c>
      <c r="AV75" s="1">
        <f t="shared" si="30"/>
        <v>1</v>
      </c>
    </row>
    <row r="76" spans="1:48" ht="21.75" customHeight="1" x14ac:dyDescent="0.25">
      <c r="A76" s="46">
        <f t="shared" si="14"/>
        <v>56</v>
      </c>
      <c r="B76" s="379" t="str">
        <f>IF('תנאי סף - כלליים'!F86="","",'תנאי סף - כלליים'!F86)</f>
        <v>ענת גריגוריו</v>
      </c>
      <c r="C76" s="288"/>
      <c r="D76" s="288"/>
      <c r="E76" s="288"/>
      <c r="F76" s="288"/>
      <c r="G76" s="270">
        <f>IF(B76="","",IF(AND(C76=1,D76=1,E76&gt;400000,F76&gt;400000,$L$1=2017),פרמטרים!$C$12,1))</f>
        <v>1</v>
      </c>
      <c r="H76" s="399">
        <v>20</v>
      </c>
      <c r="I76" s="399">
        <v>20</v>
      </c>
      <c r="J76" s="399">
        <v>4</v>
      </c>
      <c r="K76" s="399">
        <v>3</v>
      </c>
      <c r="L76" s="399">
        <v>12</v>
      </c>
      <c r="M76" s="258">
        <v>4.5</v>
      </c>
      <c r="N76" s="10"/>
      <c r="O76" s="399"/>
      <c r="P76" s="10"/>
      <c r="Q76" s="10"/>
      <c r="R76" s="10"/>
      <c r="S76" s="10"/>
      <c r="T76" s="259">
        <f t="shared" si="18"/>
        <v>1</v>
      </c>
      <c r="U76" s="10"/>
      <c r="V76" s="10"/>
      <c r="W76" s="10"/>
      <c r="X76" s="259">
        <f t="shared" si="15"/>
        <v>0</v>
      </c>
      <c r="Y76" s="259" t="str">
        <f t="shared" si="19"/>
        <v>יוצר מנוסה</v>
      </c>
      <c r="Z76" s="259">
        <f>'תנאי סף - כלליים'!AP86</f>
        <v>1</v>
      </c>
      <c r="AA76" s="260">
        <f t="shared" si="20"/>
        <v>1</v>
      </c>
      <c r="AB76" s="256">
        <f t="shared" si="21"/>
        <v>1</v>
      </c>
      <c r="AC76" s="1">
        <f t="shared" si="22"/>
        <v>1</v>
      </c>
      <c r="AD76" s="1">
        <f t="shared" si="23"/>
        <v>1</v>
      </c>
      <c r="AE76" s="1">
        <f t="shared" si="24"/>
        <v>1</v>
      </c>
      <c r="AF76" s="1">
        <f t="shared" si="25"/>
        <v>1</v>
      </c>
      <c r="AG76" s="1">
        <f t="shared" si="26"/>
        <v>1</v>
      </c>
      <c r="AH76" s="1">
        <f t="shared" si="16"/>
        <v>1</v>
      </c>
      <c r="AK76" s="1">
        <f t="shared" si="27"/>
        <v>1</v>
      </c>
      <c r="AM76" s="1" t="str">
        <f t="shared" si="31"/>
        <v>יוצר ותיק</v>
      </c>
      <c r="AN76" s="1" t="str">
        <f t="shared" si="31"/>
        <v>יוצר בראשית דרכו</v>
      </c>
      <c r="AO76" s="1" t="str">
        <f t="shared" si="31"/>
        <v>יוצר מנוסה</v>
      </c>
      <c r="AQ76" s="1">
        <f t="shared" si="31"/>
        <v>0</v>
      </c>
      <c r="AR76" s="1">
        <f t="shared" si="31"/>
        <v>1</v>
      </c>
      <c r="AT76" s="1">
        <f t="shared" si="28"/>
        <v>0</v>
      </c>
      <c r="AU76" s="1">
        <f t="shared" si="29"/>
        <v>0</v>
      </c>
      <c r="AV76" s="1">
        <f t="shared" si="30"/>
        <v>1</v>
      </c>
    </row>
    <row r="77" spans="1:48" ht="21.75" customHeight="1" x14ac:dyDescent="0.25">
      <c r="A77" s="46">
        <f t="shared" si="14"/>
        <v>57</v>
      </c>
      <c r="B77" s="379" t="str">
        <f>IF('תנאי סף - כלליים'!F87="","",'תנאי סף - כלליים'!F87)</f>
        <v>ענת דניאלי</v>
      </c>
      <c r="C77" s="288"/>
      <c r="D77" s="288"/>
      <c r="E77" s="288"/>
      <c r="F77" s="288"/>
      <c r="G77" s="270">
        <f>IF(B77="","",IF(AND(C77=1,D77=1,E77&gt;400000,F77&gt;400000,$L$1=2017),פרמטרים!$C$12,1))</f>
        <v>1</v>
      </c>
      <c r="H77" s="399">
        <v>33</v>
      </c>
      <c r="I77" s="399">
        <v>33</v>
      </c>
      <c r="J77" s="399">
        <v>5</v>
      </c>
      <c r="K77" s="399">
        <v>3</v>
      </c>
      <c r="L77" s="399">
        <v>13</v>
      </c>
      <c r="M77" s="258">
        <v>3.7</v>
      </c>
      <c r="N77" s="10"/>
      <c r="O77" s="399"/>
      <c r="P77" s="10"/>
      <c r="Q77" s="10"/>
      <c r="R77" s="10"/>
      <c r="S77" s="10"/>
      <c r="T77" s="259">
        <f t="shared" si="18"/>
        <v>1</v>
      </c>
      <c r="U77" s="10"/>
      <c r="V77" s="10"/>
      <c r="W77" s="10"/>
      <c r="X77" s="259">
        <f t="shared" si="15"/>
        <v>0</v>
      </c>
      <c r="Y77" s="259" t="str">
        <f t="shared" si="19"/>
        <v>יוצר מנוסה</v>
      </c>
      <c r="Z77" s="259">
        <f>'תנאי סף - כלליים'!AP87</f>
        <v>1</v>
      </c>
      <c r="AA77" s="260">
        <f t="shared" si="20"/>
        <v>1</v>
      </c>
      <c r="AB77" s="256">
        <f t="shared" si="21"/>
        <v>1</v>
      </c>
      <c r="AC77" s="1">
        <f t="shared" si="22"/>
        <v>1</v>
      </c>
      <c r="AD77" s="1">
        <f t="shared" si="23"/>
        <v>1</v>
      </c>
      <c r="AE77" s="1">
        <f t="shared" si="24"/>
        <v>1</v>
      </c>
      <c r="AF77" s="1">
        <f t="shared" si="25"/>
        <v>1</v>
      </c>
      <c r="AG77" s="1">
        <f t="shared" si="26"/>
        <v>1</v>
      </c>
      <c r="AH77" s="1">
        <f t="shared" si="16"/>
        <v>1</v>
      </c>
      <c r="AK77" s="1">
        <f t="shared" si="27"/>
        <v>1</v>
      </c>
      <c r="AM77" s="1" t="str">
        <f t="shared" si="31"/>
        <v>יוצר ותיק</v>
      </c>
      <c r="AN77" s="1" t="str">
        <f t="shared" si="31"/>
        <v>יוצר בראשית דרכו</v>
      </c>
      <c r="AO77" s="1" t="str">
        <f t="shared" si="31"/>
        <v>יוצר מנוסה</v>
      </c>
      <c r="AQ77" s="1">
        <f t="shared" si="31"/>
        <v>0</v>
      </c>
      <c r="AR77" s="1">
        <f t="shared" si="31"/>
        <v>1</v>
      </c>
      <c r="AT77" s="1">
        <f t="shared" si="28"/>
        <v>0</v>
      </c>
      <c r="AU77" s="1">
        <f t="shared" si="29"/>
        <v>0</v>
      </c>
      <c r="AV77" s="1">
        <f t="shared" si="30"/>
        <v>1</v>
      </c>
    </row>
    <row r="78" spans="1:48" ht="21.75" customHeight="1" x14ac:dyDescent="0.25">
      <c r="A78" s="46">
        <f t="shared" si="14"/>
        <v>58</v>
      </c>
      <c r="B78" s="379" t="str">
        <f>IF('תנאי סף - כלליים'!F88="","",'תנאי סף - כלליים'!F88)</f>
        <v>ענת כץ וארז מעיין</v>
      </c>
      <c r="C78" s="288"/>
      <c r="D78" s="288"/>
      <c r="E78" s="288"/>
      <c r="F78" s="288"/>
      <c r="G78" s="270">
        <f>IF(B78="","",IF(AND(C78=1,D78=1,E78&gt;400000,F78&gt;400000,$L$1=2017),פרמטרים!$C$12,1))</f>
        <v>1</v>
      </c>
      <c r="H78" s="399">
        <v>16</v>
      </c>
      <c r="I78" s="399">
        <v>16</v>
      </c>
      <c r="J78" s="399">
        <v>5</v>
      </c>
      <c r="K78" s="399">
        <v>4</v>
      </c>
      <c r="L78" s="399">
        <v>18</v>
      </c>
      <c r="M78" s="258">
        <v>3.13</v>
      </c>
      <c r="N78" s="10"/>
      <c r="O78" s="399"/>
      <c r="P78" s="10"/>
      <c r="Q78" s="10"/>
      <c r="R78" s="10"/>
      <c r="S78" s="10"/>
      <c r="T78" s="259">
        <f t="shared" si="18"/>
        <v>1</v>
      </c>
      <c r="U78" s="10"/>
      <c r="V78" s="10"/>
      <c r="W78" s="10"/>
      <c r="X78" s="259">
        <f t="shared" si="15"/>
        <v>0</v>
      </c>
      <c r="Y78" s="259" t="str">
        <f t="shared" si="19"/>
        <v>יוצר מנוסה</v>
      </c>
      <c r="Z78" s="259">
        <f>'תנאי סף - כלליים'!AP88</f>
        <v>1</v>
      </c>
      <c r="AA78" s="260">
        <f t="shared" si="20"/>
        <v>1</v>
      </c>
      <c r="AB78" s="256">
        <f t="shared" si="21"/>
        <v>1</v>
      </c>
      <c r="AC78" s="1">
        <f t="shared" si="22"/>
        <v>1</v>
      </c>
      <c r="AD78" s="1">
        <f t="shared" si="23"/>
        <v>1</v>
      </c>
      <c r="AE78" s="1">
        <f t="shared" si="24"/>
        <v>1</v>
      </c>
      <c r="AF78" s="1">
        <f t="shared" si="25"/>
        <v>1</v>
      </c>
      <c r="AG78" s="1">
        <f t="shared" si="26"/>
        <v>1</v>
      </c>
      <c r="AH78" s="1">
        <f t="shared" si="16"/>
        <v>1</v>
      </c>
      <c r="AK78" s="1">
        <f t="shared" si="27"/>
        <v>1</v>
      </c>
      <c r="AM78" s="1" t="str">
        <f t="shared" si="31"/>
        <v>יוצר ותיק</v>
      </c>
      <c r="AN78" s="1" t="str">
        <f t="shared" si="31"/>
        <v>יוצר בראשית דרכו</v>
      </c>
      <c r="AO78" s="1" t="str">
        <f t="shared" si="31"/>
        <v>יוצר מנוסה</v>
      </c>
      <c r="AQ78" s="1">
        <f t="shared" si="31"/>
        <v>0</v>
      </c>
      <c r="AR78" s="1">
        <f t="shared" si="31"/>
        <v>1</v>
      </c>
      <c r="AT78" s="1">
        <f t="shared" si="28"/>
        <v>0</v>
      </c>
      <c r="AU78" s="1">
        <f t="shared" si="29"/>
        <v>0</v>
      </c>
      <c r="AV78" s="1">
        <f t="shared" si="30"/>
        <v>1</v>
      </c>
    </row>
    <row r="79" spans="1:48" ht="21.75" customHeight="1" x14ac:dyDescent="0.25">
      <c r="A79" s="46">
        <f t="shared" si="14"/>
        <v>59</v>
      </c>
      <c r="B79" s="379" t="str">
        <f>IF('תנאי סף - כלליים'!F89="","",'תנאי סף - כלליים'!F89)</f>
        <v>ענת שמגר</v>
      </c>
      <c r="C79" s="288"/>
      <c r="D79" s="288"/>
      <c r="E79" s="288"/>
      <c r="F79" s="288"/>
      <c r="G79" s="270">
        <f>IF(B79="","",IF(AND(C79=1,D79=1,E79&gt;400000,F79&gt;400000,$L$1=2017),פרמטרים!$C$12,1))</f>
        <v>1</v>
      </c>
      <c r="H79" s="399">
        <v>39</v>
      </c>
      <c r="I79" s="399">
        <v>39</v>
      </c>
      <c r="J79" s="399">
        <v>12</v>
      </c>
      <c r="K79" s="399">
        <v>10</v>
      </c>
      <c r="L79" s="399">
        <v>13</v>
      </c>
      <c r="M79" s="258">
        <v>3.3</v>
      </c>
      <c r="N79" s="10"/>
      <c r="O79" s="399"/>
      <c r="P79" s="10"/>
      <c r="Q79" s="10"/>
      <c r="R79" s="10"/>
      <c r="S79" s="10"/>
      <c r="T79" s="259">
        <f t="shared" si="18"/>
        <v>1</v>
      </c>
      <c r="U79" s="10"/>
      <c r="V79" s="10"/>
      <c r="W79" s="10"/>
      <c r="X79" s="259">
        <f t="shared" si="15"/>
        <v>0</v>
      </c>
      <c r="Y79" s="259" t="str">
        <f t="shared" si="19"/>
        <v>יוצר מנוסה</v>
      </c>
      <c r="Z79" s="259">
        <f>'תנאי סף - כלליים'!AP89</f>
        <v>1</v>
      </c>
      <c r="AA79" s="260">
        <f t="shared" si="20"/>
        <v>1</v>
      </c>
      <c r="AB79" s="256">
        <f t="shared" si="21"/>
        <v>1</v>
      </c>
      <c r="AC79" s="1">
        <f t="shared" si="22"/>
        <v>1</v>
      </c>
      <c r="AD79" s="1">
        <f t="shared" si="23"/>
        <v>1</v>
      </c>
      <c r="AE79" s="1">
        <f t="shared" si="24"/>
        <v>1</v>
      </c>
      <c r="AF79" s="1">
        <f t="shared" si="25"/>
        <v>1</v>
      </c>
      <c r="AG79" s="1">
        <f t="shared" si="26"/>
        <v>1</v>
      </c>
      <c r="AH79" s="1">
        <f t="shared" si="16"/>
        <v>1</v>
      </c>
      <c r="AK79" s="1">
        <f t="shared" si="27"/>
        <v>1</v>
      </c>
      <c r="AM79" s="1" t="str">
        <f t="shared" si="31"/>
        <v>יוצר ותיק</v>
      </c>
      <c r="AN79" s="1" t="str">
        <f t="shared" si="31"/>
        <v>יוצר בראשית דרכו</v>
      </c>
      <c r="AO79" s="1" t="str">
        <f t="shared" si="31"/>
        <v>יוצר מנוסה</v>
      </c>
      <c r="AQ79" s="1">
        <f t="shared" si="31"/>
        <v>0</v>
      </c>
      <c r="AR79" s="1">
        <f t="shared" si="31"/>
        <v>1</v>
      </c>
      <c r="AT79" s="1">
        <f t="shared" si="28"/>
        <v>0</v>
      </c>
      <c r="AU79" s="1">
        <f t="shared" si="29"/>
        <v>0</v>
      </c>
      <c r="AV79" s="1">
        <f t="shared" si="30"/>
        <v>1</v>
      </c>
    </row>
    <row r="80" spans="1:48" ht="24.75" customHeight="1" x14ac:dyDescent="0.25">
      <c r="A80" s="46">
        <f t="shared" si="14"/>
        <v>60</v>
      </c>
      <c r="B80" s="379" t="str">
        <f>IF('תנאי סף - כלליים'!F90="","",'תנאי סף - כלליים'!F90)</f>
        <v>ק.ט.מ.ו.ן קבוצת מחול בירושלים</v>
      </c>
      <c r="C80" s="288"/>
      <c r="D80" s="288"/>
      <c r="E80" s="288"/>
      <c r="F80" s="288"/>
      <c r="G80" s="270">
        <f>IF(B80="","",IF(AND(C80=1,D80=1,E80&gt;400000,F80&gt;400000,$L$1=2017),פרמטרים!$C$12,1))</f>
        <v>1</v>
      </c>
      <c r="H80" s="399">
        <v>14</v>
      </c>
      <c r="I80" s="399">
        <v>14</v>
      </c>
      <c r="J80" s="399">
        <v>5</v>
      </c>
      <c r="K80" s="399">
        <v>3</v>
      </c>
      <c r="L80" s="399">
        <v>12</v>
      </c>
      <c r="M80" s="258">
        <v>3.45</v>
      </c>
      <c r="N80" s="10"/>
      <c r="O80" s="399"/>
      <c r="P80" s="10"/>
      <c r="Q80" s="10"/>
      <c r="R80" s="10"/>
      <c r="S80" s="10"/>
      <c r="T80" s="259">
        <f t="shared" si="18"/>
        <v>1</v>
      </c>
      <c r="U80" s="10"/>
      <c r="V80" s="10"/>
      <c r="W80" s="10"/>
      <c r="X80" s="259">
        <f t="shared" si="15"/>
        <v>0</v>
      </c>
      <c r="Y80" s="259" t="str">
        <f t="shared" si="19"/>
        <v>יוצר מנוסה</v>
      </c>
      <c r="Z80" s="259">
        <f>'תנאי סף - כלליים'!AP90</f>
        <v>1</v>
      </c>
      <c r="AA80" s="260">
        <f t="shared" si="20"/>
        <v>1</v>
      </c>
      <c r="AB80" s="256">
        <f t="shared" si="21"/>
        <v>1</v>
      </c>
      <c r="AC80" s="1">
        <f t="shared" si="22"/>
        <v>1</v>
      </c>
      <c r="AD80" s="1">
        <f t="shared" si="23"/>
        <v>1</v>
      </c>
      <c r="AE80" s="1">
        <f t="shared" si="24"/>
        <v>1</v>
      </c>
      <c r="AF80" s="1">
        <f t="shared" si="25"/>
        <v>1</v>
      </c>
      <c r="AG80" s="1">
        <f t="shared" si="26"/>
        <v>1</v>
      </c>
      <c r="AH80" s="1">
        <f t="shared" si="16"/>
        <v>1</v>
      </c>
      <c r="AK80" s="1">
        <f t="shared" si="27"/>
        <v>1</v>
      </c>
      <c r="AM80" s="1" t="str">
        <f t="shared" si="31"/>
        <v>יוצר ותיק</v>
      </c>
      <c r="AN80" s="1" t="str">
        <f t="shared" si="31"/>
        <v>יוצר בראשית דרכו</v>
      </c>
      <c r="AO80" s="1" t="str">
        <f t="shared" si="31"/>
        <v>יוצר מנוסה</v>
      </c>
      <c r="AQ80" s="1">
        <f t="shared" si="31"/>
        <v>0</v>
      </c>
      <c r="AR80" s="1">
        <f t="shared" si="31"/>
        <v>1</v>
      </c>
      <c r="AT80" s="1">
        <f t="shared" si="28"/>
        <v>0</v>
      </c>
      <c r="AU80" s="1">
        <f t="shared" si="29"/>
        <v>0</v>
      </c>
      <c r="AV80" s="1">
        <f t="shared" si="30"/>
        <v>1</v>
      </c>
    </row>
    <row r="81" spans="1:48" ht="24" customHeight="1" x14ac:dyDescent="0.25">
      <c r="A81" s="46">
        <f t="shared" si="14"/>
        <v>61</v>
      </c>
      <c r="B81" s="379" t="str">
        <f>IF('תנאי סף - כלליים'!F91="","",'תנאי סף - כלליים'!F91)</f>
        <v>רונית זיו</v>
      </c>
      <c r="C81" s="288"/>
      <c r="D81" s="288"/>
      <c r="E81" s="288"/>
      <c r="F81" s="288"/>
      <c r="G81" s="270">
        <f>IF(B81="","",IF(AND(C81=1,D81=1,E81&gt;400000,F81&gt;400000,$L$1=2017),פרמטרים!$C$12,1))</f>
        <v>1</v>
      </c>
      <c r="H81" s="399">
        <v>25</v>
      </c>
      <c r="I81" s="399">
        <v>25</v>
      </c>
      <c r="J81" s="399">
        <v>11</v>
      </c>
      <c r="K81" s="399">
        <v>8</v>
      </c>
      <c r="L81" s="399">
        <v>15</v>
      </c>
      <c r="M81" s="258">
        <v>3.3</v>
      </c>
      <c r="N81" s="10"/>
      <c r="O81" s="399"/>
      <c r="P81" s="10"/>
      <c r="Q81" s="10"/>
      <c r="R81" s="10"/>
      <c r="S81" s="10"/>
      <c r="T81" s="259">
        <f t="shared" si="18"/>
        <v>1</v>
      </c>
      <c r="U81" s="10"/>
      <c r="V81" s="10"/>
      <c r="W81" s="10"/>
      <c r="X81" s="259">
        <f t="shared" si="15"/>
        <v>0</v>
      </c>
      <c r="Y81" s="259" t="str">
        <f t="shared" si="19"/>
        <v>יוצר מנוסה</v>
      </c>
      <c r="Z81" s="259">
        <f>'תנאי סף - כלליים'!AP91</f>
        <v>1</v>
      </c>
      <c r="AA81" s="260">
        <f t="shared" si="20"/>
        <v>1</v>
      </c>
      <c r="AB81" s="256">
        <f t="shared" si="21"/>
        <v>1</v>
      </c>
      <c r="AC81" s="1">
        <f t="shared" si="22"/>
        <v>1</v>
      </c>
      <c r="AD81" s="1">
        <f t="shared" si="23"/>
        <v>1</v>
      </c>
      <c r="AE81" s="1">
        <f t="shared" si="24"/>
        <v>1</v>
      </c>
      <c r="AF81" s="1">
        <f t="shared" si="25"/>
        <v>1</v>
      </c>
      <c r="AG81" s="1">
        <f t="shared" si="26"/>
        <v>1</v>
      </c>
      <c r="AH81" s="1">
        <f t="shared" si="16"/>
        <v>1</v>
      </c>
      <c r="AK81" s="1">
        <f t="shared" si="27"/>
        <v>1</v>
      </c>
      <c r="AM81" s="1" t="str">
        <f t="shared" si="31"/>
        <v>יוצר ותיק</v>
      </c>
      <c r="AN81" s="1" t="str">
        <f t="shared" si="31"/>
        <v>יוצר בראשית דרכו</v>
      </c>
      <c r="AO81" s="1" t="str">
        <f t="shared" si="31"/>
        <v>יוצר מנוסה</v>
      </c>
      <c r="AQ81" s="1">
        <f t="shared" si="31"/>
        <v>0</v>
      </c>
      <c r="AR81" s="1">
        <f t="shared" si="31"/>
        <v>1</v>
      </c>
      <c r="AT81" s="1">
        <f t="shared" si="28"/>
        <v>0</v>
      </c>
      <c r="AU81" s="1">
        <f t="shared" si="29"/>
        <v>0</v>
      </c>
      <c r="AV81" s="1">
        <f t="shared" si="30"/>
        <v>1</v>
      </c>
    </row>
    <row r="82" spans="1:48" ht="24" customHeight="1" x14ac:dyDescent="0.25">
      <c r="A82" s="46">
        <f t="shared" si="14"/>
        <v>62</v>
      </c>
      <c r="B82" s="379" t="str">
        <f>IF('תנאי סף - כלליים'!F92="","",'תנאי סף - כלליים'!F92)</f>
        <v>טלי זבילביץ</v>
      </c>
      <c r="C82" s="288"/>
      <c r="D82" s="288"/>
      <c r="E82" s="288"/>
      <c r="F82" s="288"/>
      <c r="G82" s="270">
        <f>IF(B82="","",IF(AND(C82=1,D82=1,E82&gt;400000,F82&gt;400000,$L$1=2017),פרמטרים!$C$12,1))</f>
        <v>1</v>
      </c>
      <c r="H82" s="399">
        <v>18</v>
      </c>
      <c r="I82" s="399">
        <v>18</v>
      </c>
      <c r="J82" s="399">
        <v>7</v>
      </c>
      <c r="K82" s="399">
        <v>5</v>
      </c>
      <c r="L82" s="399">
        <v>7</v>
      </c>
      <c r="M82" s="258">
        <v>3.47</v>
      </c>
      <c r="N82" s="10"/>
      <c r="O82" s="399"/>
      <c r="P82" s="10"/>
      <c r="Q82" s="10"/>
      <c r="R82" s="10"/>
      <c r="S82" s="10"/>
      <c r="T82" s="259">
        <f t="shared" si="18"/>
        <v>1</v>
      </c>
      <c r="U82" s="10"/>
      <c r="V82" s="10"/>
      <c r="W82" s="10"/>
      <c r="X82" s="259">
        <f t="shared" si="15"/>
        <v>0</v>
      </c>
      <c r="Y82" s="259" t="str">
        <f t="shared" si="19"/>
        <v>יוצר מנוסה</v>
      </c>
      <c r="Z82" s="259">
        <f>'תנאי סף - כלליים'!AP92</f>
        <v>1</v>
      </c>
      <c r="AA82" s="260">
        <f t="shared" si="20"/>
        <v>1</v>
      </c>
      <c r="AB82" s="256">
        <f t="shared" si="21"/>
        <v>1</v>
      </c>
      <c r="AC82" s="1">
        <f t="shared" si="22"/>
        <v>1</v>
      </c>
      <c r="AD82" s="1">
        <f t="shared" si="23"/>
        <v>1</v>
      </c>
      <c r="AE82" s="1">
        <f t="shared" si="24"/>
        <v>1</v>
      </c>
      <c r="AF82" s="1">
        <f t="shared" si="25"/>
        <v>1</v>
      </c>
      <c r="AG82" s="1">
        <f t="shared" si="26"/>
        <v>1</v>
      </c>
      <c r="AH82" s="1">
        <f t="shared" si="16"/>
        <v>1</v>
      </c>
      <c r="AK82" s="1">
        <f t="shared" si="27"/>
        <v>1</v>
      </c>
      <c r="AM82" s="1" t="str">
        <f t="shared" si="31"/>
        <v>יוצר ותיק</v>
      </c>
      <c r="AN82" s="1" t="str">
        <f t="shared" si="31"/>
        <v>יוצר בראשית דרכו</v>
      </c>
      <c r="AO82" s="1" t="str">
        <f t="shared" si="31"/>
        <v>יוצר מנוסה</v>
      </c>
      <c r="AQ82" s="1">
        <f t="shared" si="31"/>
        <v>0</v>
      </c>
      <c r="AR82" s="1">
        <f t="shared" si="31"/>
        <v>1</v>
      </c>
      <c r="AT82" s="1">
        <f t="shared" si="28"/>
        <v>0</v>
      </c>
      <c r="AU82" s="1">
        <f t="shared" si="29"/>
        <v>0</v>
      </c>
      <c r="AV82" s="1">
        <f t="shared" si="30"/>
        <v>1</v>
      </c>
    </row>
    <row r="83" spans="1:48" ht="26.25" customHeight="1" x14ac:dyDescent="0.25">
      <c r="A83" s="46">
        <f t="shared" si="14"/>
        <v>63</v>
      </c>
      <c r="B83" s="379" t="str">
        <f>IF('תנאי סף - כלליים'!F93="","",'תנאי סף - כלליים'!F93)</f>
        <v>רייצ'ל ארדוס</v>
      </c>
      <c r="C83" s="288"/>
      <c r="D83" s="288"/>
      <c r="E83" s="288"/>
      <c r="F83" s="288"/>
      <c r="G83" s="270">
        <f>IF(B83="","",IF(AND(C83=1,D83=1,E83&gt;400000,F83&gt;400000,$L$1=2017),פרמטרים!$C$12,1))</f>
        <v>1</v>
      </c>
      <c r="H83" s="399">
        <v>17</v>
      </c>
      <c r="I83" s="399">
        <v>17</v>
      </c>
      <c r="J83" s="399">
        <v>5</v>
      </c>
      <c r="K83" s="399">
        <v>4</v>
      </c>
      <c r="L83" s="399">
        <v>21</v>
      </c>
      <c r="M83" s="258">
        <v>3</v>
      </c>
      <c r="N83" s="10"/>
      <c r="O83" s="399"/>
      <c r="P83" s="10"/>
      <c r="Q83" s="10"/>
      <c r="R83" s="10"/>
      <c r="S83" s="10"/>
      <c r="T83" s="259">
        <f t="shared" si="18"/>
        <v>1</v>
      </c>
      <c r="U83" s="10"/>
      <c r="V83" s="10"/>
      <c r="W83" s="10"/>
      <c r="X83" s="259">
        <f t="shared" si="15"/>
        <v>0</v>
      </c>
      <c r="Y83" s="259" t="str">
        <f t="shared" si="19"/>
        <v>יוצר מנוסה</v>
      </c>
      <c r="Z83" s="259">
        <f>'תנאי סף - כלליים'!AP93</f>
        <v>1</v>
      </c>
      <c r="AA83" s="260">
        <f t="shared" si="20"/>
        <v>1</v>
      </c>
      <c r="AB83" s="256">
        <f t="shared" si="21"/>
        <v>1</v>
      </c>
      <c r="AC83" s="1">
        <f t="shared" si="22"/>
        <v>1</v>
      </c>
      <c r="AD83" s="1">
        <f t="shared" si="23"/>
        <v>1</v>
      </c>
      <c r="AE83" s="1">
        <f t="shared" si="24"/>
        <v>1</v>
      </c>
      <c r="AF83" s="1">
        <f t="shared" si="25"/>
        <v>1</v>
      </c>
      <c r="AG83" s="1">
        <f t="shared" si="26"/>
        <v>1</v>
      </c>
      <c r="AH83" s="1">
        <f t="shared" si="16"/>
        <v>1</v>
      </c>
      <c r="AK83" s="1">
        <f t="shared" si="27"/>
        <v>1</v>
      </c>
      <c r="AM83" s="1" t="str">
        <f t="shared" si="31"/>
        <v>יוצר ותיק</v>
      </c>
      <c r="AN83" s="1" t="str">
        <f t="shared" si="31"/>
        <v>יוצר בראשית דרכו</v>
      </c>
      <c r="AO83" s="1" t="str">
        <f t="shared" si="31"/>
        <v>יוצר מנוסה</v>
      </c>
      <c r="AQ83" s="1">
        <f t="shared" si="31"/>
        <v>0</v>
      </c>
      <c r="AR83" s="1">
        <f t="shared" si="31"/>
        <v>1</v>
      </c>
      <c r="AT83" s="1">
        <f t="shared" si="28"/>
        <v>0</v>
      </c>
      <c r="AU83" s="1">
        <f t="shared" si="29"/>
        <v>0</v>
      </c>
      <c r="AV83" s="1">
        <f t="shared" si="30"/>
        <v>1</v>
      </c>
    </row>
    <row r="84" spans="1:48" ht="21.75" customHeight="1" x14ac:dyDescent="0.25">
      <c r="A84" s="46">
        <f t="shared" si="14"/>
        <v>64</v>
      </c>
      <c r="B84" s="379" t="str">
        <f>IF('תנאי סף - כלליים'!F94="","",'תנאי סף - כלליים'!F94)</f>
        <v>שירה אביתר</v>
      </c>
      <c r="C84" s="400"/>
      <c r="D84" s="288"/>
      <c r="E84" s="288"/>
      <c r="F84" s="288"/>
      <c r="G84" s="270">
        <f>IF(B84="","",IF(AND(C84=1,D84=1,E84&gt;400000,F84&gt;400000,$L$1=2017),פרמטרים!$C$12,1))</f>
        <v>1</v>
      </c>
      <c r="H84" s="399">
        <v>11</v>
      </c>
      <c r="I84" s="399">
        <v>11</v>
      </c>
      <c r="J84" s="399">
        <v>9</v>
      </c>
      <c r="K84" s="399">
        <v>8</v>
      </c>
      <c r="L84" s="399">
        <v>10</v>
      </c>
      <c r="M84" s="258">
        <v>3</v>
      </c>
      <c r="N84" s="10"/>
      <c r="O84" s="399"/>
      <c r="P84" s="10"/>
      <c r="Q84" s="10"/>
      <c r="R84" s="10"/>
      <c r="S84" s="10"/>
      <c r="T84" s="259">
        <f t="shared" si="18"/>
        <v>1</v>
      </c>
      <c r="U84" s="10"/>
      <c r="V84" s="10"/>
      <c r="W84" s="10"/>
      <c r="X84" s="259">
        <f t="shared" si="15"/>
        <v>0</v>
      </c>
      <c r="Y84" s="259" t="str">
        <f t="shared" si="19"/>
        <v>יוצר מנוסה</v>
      </c>
      <c r="Z84" s="259">
        <f>'תנאי סף - כלליים'!AP94</f>
        <v>1</v>
      </c>
      <c r="AA84" s="260">
        <f t="shared" si="20"/>
        <v>1</v>
      </c>
      <c r="AB84" s="256">
        <f t="shared" si="21"/>
        <v>1</v>
      </c>
      <c r="AC84" s="1">
        <f t="shared" si="22"/>
        <v>1</v>
      </c>
      <c r="AD84" s="1">
        <f t="shared" si="23"/>
        <v>1</v>
      </c>
      <c r="AE84" s="1">
        <f t="shared" si="24"/>
        <v>1</v>
      </c>
      <c r="AF84" s="1">
        <f t="shared" si="25"/>
        <v>1</v>
      </c>
      <c r="AG84" s="1">
        <f t="shared" si="26"/>
        <v>1</v>
      </c>
      <c r="AH84" s="1">
        <f t="shared" si="16"/>
        <v>1</v>
      </c>
      <c r="AK84" s="1">
        <f t="shared" si="27"/>
        <v>1</v>
      </c>
      <c r="AM84" s="1" t="str">
        <f t="shared" si="31"/>
        <v>יוצר ותיק</v>
      </c>
      <c r="AN84" s="1" t="str">
        <f t="shared" si="31"/>
        <v>יוצר בראשית דרכו</v>
      </c>
      <c r="AO84" s="1" t="str">
        <f t="shared" si="31"/>
        <v>יוצר מנוסה</v>
      </c>
      <c r="AQ84" s="1">
        <f t="shared" si="31"/>
        <v>0</v>
      </c>
      <c r="AR84" s="1">
        <f t="shared" si="31"/>
        <v>1</v>
      </c>
      <c r="AT84" s="1">
        <f t="shared" si="28"/>
        <v>0</v>
      </c>
      <c r="AU84" s="1">
        <f t="shared" si="29"/>
        <v>0</v>
      </c>
      <c r="AV84" s="1">
        <f t="shared" si="30"/>
        <v>1</v>
      </c>
    </row>
    <row r="85" spans="1:48" ht="21.75" customHeight="1" x14ac:dyDescent="0.25">
      <c r="A85" s="46">
        <f t="shared" si="14"/>
        <v>65</v>
      </c>
      <c r="B85" s="379" t="str">
        <f>IF('תנאי סף - כלליים'!F95="","",'תנאי סף - כלליים'!F95)</f>
        <v>שלומית פונדמינסקי</v>
      </c>
      <c r="C85" s="400"/>
      <c r="D85" s="288"/>
      <c r="E85" s="288"/>
      <c r="F85" s="288"/>
      <c r="G85" s="270">
        <f>IF(B85="","",IF(AND(C85=1,D85=1,E85&gt;400000,F85&gt;400000,$L$1=2017),פרמטרים!$C$12,1))</f>
        <v>1</v>
      </c>
      <c r="H85" s="399">
        <v>19</v>
      </c>
      <c r="I85" s="399">
        <v>19</v>
      </c>
      <c r="J85" s="399">
        <v>10</v>
      </c>
      <c r="K85" s="399">
        <v>7</v>
      </c>
      <c r="L85" s="399">
        <v>43</v>
      </c>
      <c r="M85" s="258">
        <v>3.29</v>
      </c>
      <c r="N85" s="10"/>
      <c r="O85" s="399"/>
      <c r="P85" s="10"/>
      <c r="Q85" s="10"/>
      <c r="R85" s="10"/>
      <c r="S85" s="10"/>
      <c r="T85" s="259">
        <f t="shared" ref="T85:T120" si="32">IF($B85="","",IF(M85&gt;=$R$6,1,0))</f>
        <v>1</v>
      </c>
      <c r="U85" s="10"/>
      <c r="V85" s="10"/>
      <c r="W85" s="10"/>
      <c r="X85" s="259">
        <f t="shared" si="15"/>
        <v>0</v>
      </c>
      <c r="Y85" s="259" t="str">
        <f t="shared" ref="Y85:Y120" si="33">IF($B85="","",IF(AV85=1,$AV$20,IF(AU85=1,$AU$20,IF(AT85=1,$AT$20,$AK$7))))</f>
        <v>יוצר מנוסה</v>
      </c>
      <c r="Z85" s="259">
        <f>'תנאי סף - כלליים'!AP95</f>
        <v>1</v>
      </c>
      <c r="AA85" s="260">
        <f t="shared" ref="AA85:AA116" si="34">IF(B85="","",IF(AK85&lt;&gt;1,"בדוק נתוני הזנה",IF(OR(AND(Z85=1,Y85&lt;&gt;$AK$7,I85&gt;=2),AND($L$1=2016,I85&gt;=2)),1,0)))</f>
        <v>1</v>
      </c>
      <c r="AB85" s="256">
        <f t="shared" ref="AB85:AB120" si="35">IFERROR(IF(B85="","",INDEX($Q$5:$Q$7,MATCH(Y85,$F$5:$F$7,0))),"")</f>
        <v>1</v>
      </c>
      <c r="AC85" s="1">
        <f t="shared" ref="AC85:AC120" si="36">IF(OR($B85="",ISERR(H85/3)),0,IF(OR(H85&lt;0,H85&lt;&gt;ROUND(H85,0)),0,1))</f>
        <v>1</v>
      </c>
      <c r="AD85" s="1">
        <f t="shared" ref="AD85:AD120" si="37">IF(OR($B85="",ISERR(I85/3)),0,IF(OR(I85&lt;0,I85&lt;&gt;ROUND(I85,0)),0,1))</f>
        <v>1</v>
      </c>
      <c r="AE85" s="1">
        <f t="shared" ref="AE85:AE120" si="38">IF(OR($B85="",ISERR(J85/3)),0,IF(OR(J85&lt;0,J85&lt;&gt;ROUND(J85,0)),0,1))</f>
        <v>1</v>
      </c>
      <c r="AF85" s="1">
        <f t="shared" ref="AF85:AF120" si="39">IF(OR($B85="",ISERR(K85/3)),0,IF(OR(K85&lt;0,K85&lt;&gt;ROUND(K85,0)),0,1))</f>
        <v>1</v>
      </c>
      <c r="AG85" s="1">
        <f t="shared" ref="AG85:AG120" si="40">IF(OR($B85="",ISERR(L85/3)),0,IF(OR(L85&lt;0,L85&lt;&gt;ROUND(L85,0)),0,1))</f>
        <v>1</v>
      </c>
      <c r="AH85" s="1">
        <f t="shared" si="16"/>
        <v>1</v>
      </c>
      <c r="AK85" s="1">
        <f t="shared" ref="AK85:AK116" si="41">IF(SUM(AC85:AJ85)=COUNT(AC85:AJ85),1,0)</f>
        <v>1</v>
      </c>
      <c r="AM85" s="1" t="str">
        <f t="shared" si="31"/>
        <v>יוצר ותיק</v>
      </c>
      <c r="AN85" s="1" t="str">
        <f t="shared" si="31"/>
        <v>יוצר בראשית דרכו</v>
      </c>
      <c r="AO85" s="1" t="str">
        <f t="shared" si="31"/>
        <v>יוצר מנוסה</v>
      </c>
      <c r="AQ85" s="1">
        <f t="shared" si="31"/>
        <v>0</v>
      </c>
      <c r="AR85" s="1">
        <f t="shared" si="31"/>
        <v>1</v>
      </c>
      <c r="AT85" s="1">
        <f t="shared" ref="AT85:AT120" si="42">IF(AND(H85&gt;=$H$5,I85&gt;=$I$5,J85&gt;=$J$5,K85&gt;=$K$5,L85&gt;=$L$5,OR((M85&gt;=$M$5),AND(N85=1,M85&gt;=$R$6)),SUMPRODUCT(--(O85:Q85&gt;=$N$5:$P$5))=COUNTA($N$4:$P$4),AV85=0),1,0)</f>
        <v>0</v>
      </c>
      <c r="AU85" s="1">
        <f t="shared" ref="AU85:AU116" si="43">IF(AND(H85&gt;=$H$6,I85&gt;=LEFT($I$6,1)*1,I85&lt;=RIGHT($I$6,1)*1,J85&gt;=$J$6,K85&gt;=$K$6,L85&gt;=$L$6,OR(M85&gt;=$M$6,X85=1),SUMPRODUCT(--(O85:Q85&gt;=$N$6:$P$6))=COUNTA($N$4:$P$4),AV85=0),1,0)</f>
        <v>0</v>
      </c>
      <c r="AV85" s="1">
        <f t="shared" ref="AV85:AV120" si="44">IF(AND(H85&gt;=$H$7,I85&gt;=$I$7,J85&gt;=$J$7,K85&gt;=$K$7,L85&gt;=$L$7,OR(M85&gt;=$M$7,X85=1),SUMPRODUCT(--(O85:Q85&gt;=$N$7:$P$7))=COUNTA($N$4:$P$4)),1,0)</f>
        <v>1</v>
      </c>
    </row>
    <row r="86" spans="1:48" ht="21.75" customHeight="1" x14ac:dyDescent="0.25">
      <c r="A86" s="46">
        <f t="shared" ref="A86:A132" si="45">A85+1</f>
        <v>66</v>
      </c>
      <c r="B86" s="379" t="str">
        <f>IF('תנאי סף - כלליים'!F96="","",'תנאי סף - כלליים'!F96)</f>
        <v/>
      </c>
      <c r="C86" s="400"/>
      <c r="D86" s="288"/>
      <c r="E86" s="288"/>
      <c r="F86" s="288"/>
      <c r="G86" s="270" t="str">
        <f>IF(B86="","",IF(AND(C86=1,D86=1,E86&gt;400000,F86&gt;400000,$L$1=2017),פרמטרים!$C$12,1))</f>
        <v/>
      </c>
      <c r="H86" s="399"/>
      <c r="I86" s="399"/>
      <c r="J86" s="399"/>
      <c r="K86" s="399"/>
      <c r="L86" s="399"/>
      <c r="M86" s="258"/>
      <c r="N86" s="10"/>
      <c r="O86" s="399"/>
      <c r="P86" s="10"/>
      <c r="Q86" s="10"/>
      <c r="R86" s="10"/>
      <c r="S86" s="10"/>
      <c r="T86" s="259" t="str">
        <f t="shared" si="32"/>
        <v/>
      </c>
      <c r="U86" s="10"/>
      <c r="V86" s="10"/>
      <c r="W86" s="10"/>
      <c r="X86" s="259" t="str">
        <f t="shared" ref="X86:X120" si="46">IF($B86="","",IF(AND(R86=1,S86=1,T86=1,U86&lt;3,OR(U86&lt;=1,V86=1),W86=1),1,0))</f>
        <v/>
      </c>
      <c r="Y86" s="259" t="str">
        <f t="shared" si="33"/>
        <v/>
      </c>
      <c r="Z86" s="259" t="str">
        <f>'תנאי סף - כלליים'!AP96</f>
        <v/>
      </c>
      <c r="AA86" s="260" t="str">
        <f t="shared" si="34"/>
        <v/>
      </c>
      <c r="AB86" s="256" t="str">
        <f t="shared" si="35"/>
        <v/>
      </c>
      <c r="AC86" s="1">
        <f t="shared" si="36"/>
        <v>0</v>
      </c>
      <c r="AD86" s="1">
        <f t="shared" si="37"/>
        <v>0</v>
      </c>
      <c r="AE86" s="1">
        <f t="shared" si="38"/>
        <v>0</v>
      </c>
      <c r="AF86" s="1">
        <f t="shared" si="39"/>
        <v>0</v>
      </c>
      <c r="AG86" s="1">
        <f t="shared" si="40"/>
        <v>0</v>
      </c>
      <c r="AH86" s="1">
        <f t="shared" ref="AH86:AH120" si="47">IF(OR($B86="",ISERR(M86/3)),0,IF(M86&lt;0,0,1))</f>
        <v>0</v>
      </c>
      <c r="AK86" s="1">
        <f t="shared" si="41"/>
        <v>0</v>
      </c>
      <c r="AM86" s="1" t="str">
        <f t="shared" ref="AM86:AR121" si="48">IF($B86="","",AM$20)</f>
        <v/>
      </c>
      <c r="AN86" s="1" t="str">
        <f t="shared" si="48"/>
        <v/>
      </c>
      <c r="AO86" s="1" t="str">
        <f t="shared" si="48"/>
        <v/>
      </c>
      <c r="AQ86" s="1" t="str">
        <f t="shared" si="48"/>
        <v/>
      </c>
      <c r="AR86" s="1" t="str">
        <f t="shared" si="48"/>
        <v/>
      </c>
      <c r="AT86" s="1">
        <f t="shared" si="42"/>
        <v>0</v>
      </c>
      <c r="AU86" s="1">
        <f t="shared" si="43"/>
        <v>0</v>
      </c>
      <c r="AV86" s="1">
        <f t="shared" si="44"/>
        <v>0</v>
      </c>
    </row>
    <row r="87" spans="1:48" ht="24.75" customHeight="1" x14ac:dyDescent="0.25">
      <c r="A87" s="46">
        <f t="shared" si="45"/>
        <v>67</v>
      </c>
      <c r="B87" s="379" t="str">
        <f>IF('תנאי סף - כלליים'!F97="","",'תנאי סף - כלליים'!F97)</f>
        <v>שרון וזנה</v>
      </c>
      <c r="C87" s="400"/>
      <c r="D87" s="288"/>
      <c r="E87" s="288"/>
      <c r="F87" s="288"/>
      <c r="G87" s="270">
        <f>IF(B87="","",IF(AND(C87=1,D87=1,E87&gt;400000,F87&gt;400000,$L$1=2017),פרמטרים!$C$12,1))</f>
        <v>1</v>
      </c>
      <c r="H87" s="399">
        <v>14</v>
      </c>
      <c r="I87" s="399">
        <v>14</v>
      </c>
      <c r="J87" s="399">
        <v>5</v>
      </c>
      <c r="K87" s="399">
        <v>4</v>
      </c>
      <c r="L87" s="399">
        <v>14</v>
      </c>
      <c r="M87" s="258">
        <v>3.35</v>
      </c>
      <c r="N87" s="10"/>
      <c r="O87" s="399"/>
      <c r="P87" s="10"/>
      <c r="Q87" s="10"/>
      <c r="R87" s="10"/>
      <c r="S87" s="10"/>
      <c r="T87" s="259">
        <f t="shared" si="32"/>
        <v>1</v>
      </c>
      <c r="U87" s="10"/>
      <c r="V87" s="10"/>
      <c r="W87" s="10"/>
      <c r="X87" s="259">
        <f t="shared" si="46"/>
        <v>0</v>
      </c>
      <c r="Y87" s="259" t="str">
        <f t="shared" si="33"/>
        <v>יוצר מנוסה</v>
      </c>
      <c r="Z87" s="259">
        <f>'תנאי סף - כלליים'!AP97</f>
        <v>1</v>
      </c>
      <c r="AA87" s="260">
        <f t="shared" si="34"/>
        <v>1</v>
      </c>
      <c r="AB87" s="256">
        <f t="shared" si="35"/>
        <v>1</v>
      </c>
      <c r="AC87" s="1">
        <f t="shared" si="36"/>
        <v>1</v>
      </c>
      <c r="AD87" s="1">
        <f t="shared" si="37"/>
        <v>1</v>
      </c>
      <c r="AE87" s="1">
        <f t="shared" si="38"/>
        <v>1</v>
      </c>
      <c r="AF87" s="1">
        <f t="shared" si="39"/>
        <v>1</v>
      </c>
      <c r="AG87" s="1">
        <f t="shared" si="40"/>
        <v>1</v>
      </c>
      <c r="AH87" s="1">
        <f t="shared" si="47"/>
        <v>1</v>
      </c>
      <c r="AK87" s="1">
        <f t="shared" si="41"/>
        <v>1</v>
      </c>
      <c r="AM87" s="1" t="str">
        <f t="shared" si="48"/>
        <v>יוצר ותיק</v>
      </c>
      <c r="AN87" s="1" t="str">
        <f t="shared" si="48"/>
        <v>יוצר בראשית דרכו</v>
      </c>
      <c r="AO87" s="1" t="str">
        <f t="shared" si="48"/>
        <v>יוצר מנוסה</v>
      </c>
      <c r="AQ87" s="1">
        <f t="shared" si="48"/>
        <v>0</v>
      </c>
      <c r="AR87" s="1">
        <f t="shared" si="48"/>
        <v>1</v>
      </c>
      <c r="AT87" s="1">
        <f t="shared" si="42"/>
        <v>0</v>
      </c>
      <c r="AU87" s="1">
        <f t="shared" si="43"/>
        <v>0</v>
      </c>
      <c r="AV87" s="1">
        <f t="shared" si="44"/>
        <v>1</v>
      </c>
    </row>
    <row r="88" spans="1:48" ht="21.75" customHeight="1" x14ac:dyDescent="0.25">
      <c r="A88" s="46">
        <f t="shared" si="45"/>
        <v>68</v>
      </c>
      <c r="B88" s="379" t="str">
        <f>IF('תנאי סף - כלליים'!F98="","",'תנאי סף - כלליים'!F98)</f>
        <v>שרונה פלורסהיים</v>
      </c>
      <c r="C88" s="400"/>
      <c r="D88" s="288"/>
      <c r="E88" s="288"/>
      <c r="F88" s="288"/>
      <c r="G88" s="270">
        <f>IF(B88="","",IF(AND(C88=1,D88=1,E88&gt;400000,F88&gt;400000,$L$1=2017),פרמטרים!$C$12,1))</f>
        <v>1</v>
      </c>
      <c r="H88" s="399">
        <v>22</v>
      </c>
      <c r="I88" s="399">
        <v>22</v>
      </c>
      <c r="J88" s="399">
        <v>3</v>
      </c>
      <c r="K88" s="399">
        <v>2</v>
      </c>
      <c r="L88" s="399">
        <v>18</v>
      </c>
      <c r="M88" s="258">
        <v>4.5</v>
      </c>
      <c r="N88" s="10"/>
      <c r="O88" s="399"/>
      <c r="P88" s="10"/>
      <c r="Q88" s="10"/>
      <c r="R88" s="10"/>
      <c r="S88" s="10"/>
      <c r="T88" s="259">
        <f t="shared" si="32"/>
        <v>1</v>
      </c>
      <c r="U88" s="10"/>
      <c r="V88" s="10"/>
      <c r="W88" s="10"/>
      <c r="X88" s="259">
        <f t="shared" si="46"/>
        <v>0</v>
      </c>
      <c r="Y88" s="259" t="str">
        <f t="shared" si="33"/>
        <v>יוצר מנוסה</v>
      </c>
      <c r="Z88" s="259">
        <f>'תנאי סף - כלליים'!AP98</f>
        <v>1</v>
      </c>
      <c r="AA88" s="260">
        <f t="shared" si="34"/>
        <v>1</v>
      </c>
      <c r="AB88" s="256">
        <f t="shared" si="35"/>
        <v>1</v>
      </c>
      <c r="AC88" s="1">
        <f t="shared" si="36"/>
        <v>1</v>
      </c>
      <c r="AD88" s="1">
        <f t="shared" si="37"/>
        <v>1</v>
      </c>
      <c r="AE88" s="1">
        <f t="shared" si="38"/>
        <v>1</v>
      </c>
      <c r="AF88" s="1">
        <f t="shared" si="39"/>
        <v>1</v>
      </c>
      <c r="AG88" s="1">
        <f t="shared" si="40"/>
        <v>1</v>
      </c>
      <c r="AH88" s="1">
        <f t="shared" si="47"/>
        <v>1</v>
      </c>
      <c r="AK88" s="1">
        <f t="shared" si="41"/>
        <v>1</v>
      </c>
      <c r="AM88" s="1" t="str">
        <f t="shared" si="48"/>
        <v>יוצר ותיק</v>
      </c>
      <c r="AN88" s="1" t="str">
        <f t="shared" si="48"/>
        <v>יוצר בראשית דרכו</v>
      </c>
      <c r="AO88" s="1" t="str">
        <f t="shared" si="48"/>
        <v>יוצר מנוסה</v>
      </c>
      <c r="AQ88" s="1">
        <f t="shared" si="48"/>
        <v>0</v>
      </c>
      <c r="AR88" s="1">
        <f t="shared" si="48"/>
        <v>1</v>
      </c>
      <c r="AT88" s="1">
        <f t="shared" si="42"/>
        <v>0</v>
      </c>
      <c r="AU88" s="1">
        <f t="shared" si="43"/>
        <v>0</v>
      </c>
      <c r="AV88" s="1">
        <f t="shared" si="44"/>
        <v>1</v>
      </c>
    </row>
    <row r="89" spans="1:48" ht="27" customHeight="1" x14ac:dyDescent="0.25">
      <c r="A89" s="46">
        <f t="shared" si="45"/>
        <v>69</v>
      </c>
      <c r="B89" s="379" t="str">
        <f>IF('תנאי סף - כלליים'!F99="","",'תנאי סף - כלליים'!F99)</f>
        <v>תמי ליבוביץ</v>
      </c>
      <c r="C89" s="400"/>
      <c r="D89" s="288"/>
      <c r="E89" s="288"/>
      <c r="F89" s="288"/>
      <c r="G89" s="270">
        <f>IF(B89="","",IF(AND(C89=1,D89=1,E89&gt;400000,F89&gt;400000,$L$1=2017),פרמטרים!$C$12,1))</f>
        <v>1</v>
      </c>
      <c r="H89" s="399">
        <v>13</v>
      </c>
      <c r="I89" s="399">
        <v>13</v>
      </c>
      <c r="J89" s="399">
        <v>7</v>
      </c>
      <c r="K89" s="399">
        <v>6</v>
      </c>
      <c r="L89" s="399">
        <v>14</v>
      </c>
      <c r="M89" s="258">
        <v>3.2</v>
      </c>
      <c r="N89" s="10"/>
      <c r="O89" s="399"/>
      <c r="P89" s="10"/>
      <c r="Q89" s="10"/>
      <c r="R89" s="10"/>
      <c r="S89" s="10"/>
      <c r="T89" s="259">
        <f t="shared" si="32"/>
        <v>1</v>
      </c>
      <c r="U89" s="10"/>
      <c r="V89" s="10"/>
      <c r="W89" s="10"/>
      <c r="X89" s="259">
        <f t="shared" si="46"/>
        <v>0</v>
      </c>
      <c r="Y89" s="259" t="str">
        <f t="shared" si="33"/>
        <v>יוצר מנוסה</v>
      </c>
      <c r="Z89" s="259">
        <f>'תנאי סף - כלליים'!AP99</f>
        <v>1</v>
      </c>
      <c r="AA89" s="260">
        <f t="shared" si="34"/>
        <v>1</v>
      </c>
      <c r="AB89" s="256">
        <f t="shared" si="35"/>
        <v>1</v>
      </c>
      <c r="AC89" s="1">
        <f t="shared" si="36"/>
        <v>1</v>
      </c>
      <c r="AD89" s="1">
        <f t="shared" si="37"/>
        <v>1</v>
      </c>
      <c r="AE89" s="1">
        <f t="shared" si="38"/>
        <v>1</v>
      </c>
      <c r="AF89" s="1">
        <f t="shared" si="39"/>
        <v>1</v>
      </c>
      <c r="AG89" s="1">
        <f t="shared" si="40"/>
        <v>1</v>
      </c>
      <c r="AH89" s="1">
        <f t="shared" si="47"/>
        <v>1</v>
      </c>
      <c r="AK89" s="1">
        <f t="shared" si="41"/>
        <v>1</v>
      </c>
      <c r="AM89" s="1" t="str">
        <f t="shared" si="48"/>
        <v>יוצר ותיק</v>
      </c>
      <c r="AN89" s="1" t="str">
        <f t="shared" si="48"/>
        <v>יוצר בראשית דרכו</v>
      </c>
      <c r="AO89" s="1" t="str">
        <f t="shared" si="48"/>
        <v>יוצר מנוסה</v>
      </c>
      <c r="AQ89" s="1">
        <f t="shared" si="48"/>
        <v>0</v>
      </c>
      <c r="AR89" s="1">
        <f t="shared" si="48"/>
        <v>1</v>
      </c>
      <c r="AT89" s="1">
        <f t="shared" si="42"/>
        <v>0</v>
      </c>
      <c r="AU89" s="1">
        <f t="shared" si="43"/>
        <v>0</v>
      </c>
      <c r="AV89" s="1">
        <f t="shared" si="44"/>
        <v>1</v>
      </c>
    </row>
    <row r="90" spans="1:48" ht="29.25" customHeight="1" x14ac:dyDescent="0.25">
      <c r="A90" s="46">
        <f t="shared" si="45"/>
        <v>70</v>
      </c>
      <c r="B90" s="379" t="str">
        <f>IF('תנאי סף - כלליים'!F100="","",'תנאי סף - כלליים'!F100)</f>
        <v>תמר בורר</v>
      </c>
      <c r="C90" s="400"/>
      <c r="D90" s="288"/>
      <c r="E90" s="288"/>
      <c r="F90" s="288"/>
      <c r="G90" s="270">
        <f>IF(B90="","",IF(AND(C90=1,D90=1,E90&gt;400000,F90&gt;400000,$L$1=2017),פרמטרים!$C$12,1))</f>
        <v>1</v>
      </c>
      <c r="H90" s="399">
        <v>35</v>
      </c>
      <c r="I90" s="399">
        <v>35</v>
      </c>
      <c r="J90" s="399">
        <v>10</v>
      </c>
      <c r="K90" s="399">
        <v>6</v>
      </c>
      <c r="L90" s="399">
        <v>13</v>
      </c>
      <c r="M90" s="258">
        <v>3</v>
      </c>
      <c r="N90" s="10"/>
      <c r="O90" s="399"/>
      <c r="P90" s="10"/>
      <c r="Q90" s="10"/>
      <c r="R90" s="10"/>
      <c r="S90" s="10"/>
      <c r="T90" s="259">
        <f t="shared" si="32"/>
        <v>1</v>
      </c>
      <c r="U90" s="10"/>
      <c r="V90" s="10"/>
      <c r="W90" s="10"/>
      <c r="X90" s="259">
        <f t="shared" si="46"/>
        <v>0</v>
      </c>
      <c r="Y90" s="259" t="str">
        <f t="shared" si="33"/>
        <v>יוצר מנוסה</v>
      </c>
      <c r="Z90" s="259">
        <f>'תנאי סף - כלליים'!AP100</f>
        <v>1</v>
      </c>
      <c r="AA90" s="260">
        <f t="shared" si="34"/>
        <v>1</v>
      </c>
      <c r="AB90" s="256">
        <f t="shared" si="35"/>
        <v>1</v>
      </c>
      <c r="AC90" s="1">
        <f t="shared" si="36"/>
        <v>1</v>
      </c>
      <c r="AD90" s="1">
        <f t="shared" si="37"/>
        <v>1</v>
      </c>
      <c r="AE90" s="1">
        <f t="shared" si="38"/>
        <v>1</v>
      </c>
      <c r="AF90" s="1">
        <f t="shared" si="39"/>
        <v>1</v>
      </c>
      <c r="AG90" s="1">
        <f t="shared" si="40"/>
        <v>1</v>
      </c>
      <c r="AH90" s="1">
        <f t="shared" si="47"/>
        <v>1</v>
      </c>
      <c r="AK90" s="1">
        <f t="shared" si="41"/>
        <v>1</v>
      </c>
      <c r="AM90" s="1" t="str">
        <f t="shared" si="48"/>
        <v>יוצר ותיק</v>
      </c>
      <c r="AN90" s="1" t="str">
        <f t="shared" si="48"/>
        <v>יוצר בראשית דרכו</v>
      </c>
      <c r="AO90" s="1" t="str">
        <f t="shared" si="48"/>
        <v>יוצר מנוסה</v>
      </c>
      <c r="AQ90" s="1">
        <f t="shared" si="48"/>
        <v>0</v>
      </c>
      <c r="AR90" s="1">
        <f t="shared" si="48"/>
        <v>1</v>
      </c>
      <c r="AT90" s="1">
        <f t="shared" si="42"/>
        <v>0</v>
      </c>
      <c r="AU90" s="1">
        <f t="shared" si="43"/>
        <v>0</v>
      </c>
      <c r="AV90" s="1">
        <f t="shared" si="44"/>
        <v>1</v>
      </c>
    </row>
    <row r="91" spans="1:48" ht="27" customHeight="1" x14ac:dyDescent="0.25">
      <c r="A91" s="46">
        <f t="shared" si="45"/>
        <v>71</v>
      </c>
      <c r="B91" s="379" t="str">
        <f>IF('תנאי סף - כלליים'!F101="","",'תנאי סף - כלליים'!F101)</f>
        <v>תמי ורונן יצחקי</v>
      </c>
      <c r="C91" s="400"/>
      <c r="D91" s="288"/>
      <c r="E91" s="288"/>
      <c r="F91" s="288"/>
      <c r="G91" s="270">
        <f>IF(B91="","",IF(AND(C91=1,D91=1,E91&gt;400000,F91&gt;400000,$L$1=2017),פרמטרים!$C$12,1))</f>
        <v>1</v>
      </c>
      <c r="H91" s="399">
        <v>22</v>
      </c>
      <c r="I91" s="399">
        <v>22</v>
      </c>
      <c r="J91" s="399">
        <v>5</v>
      </c>
      <c r="K91" s="399">
        <v>4</v>
      </c>
      <c r="L91" s="399">
        <v>15</v>
      </c>
      <c r="M91" s="258">
        <v>3.25</v>
      </c>
      <c r="N91" s="10"/>
      <c r="O91" s="399"/>
      <c r="P91" s="10"/>
      <c r="Q91" s="10"/>
      <c r="R91" s="10"/>
      <c r="S91" s="10"/>
      <c r="T91" s="259">
        <f t="shared" si="32"/>
        <v>1</v>
      </c>
      <c r="U91" s="10"/>
      <c r="V91" s="10"/>
      <c r="W91" s="10"/>
      <c r="X91" s="259">
        <f t="shared" si="46"/>
        <v>0</v>
      </c>
      <c r="Y91" s="259" t="str">
        <f t="shared" si="33"/>
        <v>יוצר מנוסה</v>
      </c>
      <c r="Z91" s="259">
        <f>'תנאי סף - כלליים'!AP101</f>
        <v>1</v>
      </c>
      <c r="AA91" s="260">
        <f t="shared" si="34"/>
        <v>1</v>
      </c>
      <c r="AB91" s="256">
        <f t="shared" si="35"/>
        <v>1</v>
      </c>
      <c r="AC91" s="1">
        <f t="shared" si="36"/>
        <v>1</v>
      </c>
      <c r="AD91" s="1">
        <f t="shared" si="37"/>
        <v>1</v>
      </c>
      <c r="AE91" s="1">
        <f t="shared" si="38"/>
        <v>1</v>
      </c>
      <c r="AF91" s="1">
        <f t="shared" si="39"/>
        <v>1</v>
      </c>
      <c r="AG91" s="1">
        <f t="shared" si="40"/>
        <v>1</v>
      </c>
      <c r="AH91" s="1">
        <f t="shared" si="47"/>
        <v>1</v>
      </c>
      <c r="AK91" s="1">
        <f t="shared" si="41"/>
        <v>1</v>
      </c>
      <c r="AM91" s="1" t="str">
        <f t="shared" si="48"/>
        <v>יוצר ותיק</v>
      </c>
      <c r="AN91" s="1" t="str">
        <f t="shared" si="48"/>
        <v>יוצר בראשית דרכו</v>
      </c>
      <c r="AO91" s="1" t="str">
        <f t="shared" si="48"/>
        <v>יוצר מנוסה</v>
      </c>
      <c r="AQ91" s="1">
        <f t="shared" si="48"/>
        <v>0</v>
      </c>
      <c r="AR91" s="1">
        <f t="shared" si="48"/>
        <v>1</v>
      </c>
      <c r="AT91" s="1">
        <f t="shared" si="42"/>
        <v>0</v>
      </c>
      <c r="AU91" s="1">
        <f t="shared" si="43"/>
        <v>0</v>
      </c>
      <c r="AV91" s="1">
        <f t="shared" si="44"/>
        <v>1</v>
      </c>
    </row>
    <row r="92" spans="1:48" ht="15.75" x14ac:dyDescent="0.25">
      <c r="A92" s="46">
        <f t="shared" si="45"/>
        <v>72</v>
      </c>
      <c r="B92" s="379" t="str">
        <f>IF('תנאי סף - כלליים'!F102="","",'תנאי סף - כלליים'!F102)</f>
        <v>רננה רז</v>
      </c>
      <c r="C92" s="400"/>
      <c r="D92" s="288"/>
      <c r="E92" s="288"/>
      <c r="F92" s="288"/>
      <c r="G92" s="270">
        <f>IF(B92="","",IF(AND(C92=1,D92=1,E92&gt;400000,F92&gt;400000,$L$1=2017),פרמטרים!$C$12,1))</f>
        <v>1</v>
      </c>
      <c r="H92" s="399">
        <v>24</v>
      </c>
      <c r="I92" s="399">
        <v>24</v>
      </c>
      <c r="J92" s="399">
        <v>5</v>
      </c>
      <c r="K92" s="399">
        <v>3</v>
      </c>
      <c r="L92" s="399">
        <v>8</v>
      </c>
      <c r="M92" s="258">
        <v>4.0999999999999996</v>
      </c>
      <c r="N92" s="10"/>
      <c r="O92" s="399"/>
      <c r="P92" s="10"/>
      <c r="Q92" s="10"/>
      <c r="R92" s="10"/>
      <c r="S92" s="10"/>
      <c r="T92" s="259">
        <f t="shared" si="32"/>
        <v>1</v>
      </c>
      <c r="U92" s="10"/>
      <c r="V92" s="10"/>
      <c r="W92" s="10"/>
      <c r="X92" s="259">
        <f t="shared" si="46"/>
        <v>0</v>
      </c>
      <c r="Y92" s="259" t="str">
        <f t="shared" si="33"/>
        <v>יוצר מנוסה</v>
      </c>
      <c r="Z92" s="259">
        <f>'תנאי סף - כלליים'!AP102</f>
        <v>1</v>
      </c>
      <c r="AA92" s="260">
        <f t="shared" si="34"/>
        <v>1</v>
      </c>
      <c r="AB92" s="256">
        <f t="shared" si="35"/>
        <v>1</v>
      </c>
      <c r="AC92" s="1">
        <f t="shared" si="36"/>
        <v>1</v>
      </c>
      <c r="AD92" s="1">
        <f t="shared" si="37"/>
        <v>1</v>
      </c>
      <c r="AE92" s="1">
        <f t="shared" si="38"/>
        <v>1</v>
      </c>
      <c r="AF92" s="1">
        <f t="shared" si="39"/>
        <v>1</v>
      </c>
      <c r="AG92" s="1">
        <f t="shared" si="40"/>
        <v>1</v>
      </c>
      <c r="AH92" s="1">
        <f t="shared" si="47"/>
        <v>1</v>
      </c>
      <c r="AK92" s="1">
        <f t="shared" si="41"/>
        <v>1</v>
      </c>
      <c r="AM92" s="1" t="str">
        <f t="shared" si="48"/>
        <v>יוצר ותיק</v>
      </c>
      <c r="AN92" s="1" t="str">
        <f t="shared" si="48"/>
        <v>יוצר בראשית דרכו</v>
      </c>
      <c r="AO92" s="1" t="str">
        <f t="shared" si="48"/>
        <v>יוצר מנוסה</v>
      </c>
      <c r="AQ92" s="1">
        <f t="shared" si="48"/>
        <v>0</v>
      </c>
      <c r="AR92" s="1">
        <f t="shared" si="48"/>
        <v>1</v>
      </c>
      <c r="AT92" s="1">
        <f t="shared" si="42"/>
        <v>0</v>
      </c>
      <c r="AU92" s="1">
        <f t="shared" si="43"/>
        <v>0</v>
      </c>
      <c r="AV92" s="1">
        <f t="shared" si="44"/>
        <v>1</v>
      </c>
    </row>
    <row r="93" spans="1:48" ht="15.75" x14ac:dyDescent="0.25">
      <c r="A93" s="46">
        <f t="shared" si="45"/>
        <v>73</v>
      </c>
      <c r="B93" s="379" t="str">
        <f>IF('תנאי סף - כלליים'!F103="","",'תנאי סף - כלליים'!F103)</f>
        <v>רתם תשח</v>
      </c>
      <c r="C93" s="400"/>
      <c r="D93" s="288"/>
      <c r="E93" s="288"/>
      <c r="F93" s="288"/>
      <c r="G93" s="270">
        <f>IF(B93="","",IF(AND(C93=1,D93=1,E93&gt;400000,F93&gt;400000,$L$1=2017),פרמטרים!$C$12,1))</f>
        <v>1</v>
      </c>
      <c r="H93" s="399">
        <v>15</v>
      </c>
      <c r="I93" s="399">
        <v>15</v>
      </c>
      <c r="J93" s="399">
        <v>4</v>
      </c>
      <c r="K93" s="399">
        <v>3</v>
      </c>
      <c r="L93" s="399">
        <v>5</v>
      </c>
      <c r="M93" s="258">
        <v>4</v>
      </c>
      <c r="N93" s="10"/>
      <c r="O93" s="399"/>
      <c r="P93" s="10"/>
      <c r="Q93" s="10"/>
      <c r="R93" s="10"/>
      <c r="S93" s="10"/>
      <c r="T93" s="259">
        <f t="shared" si="32"/>
        <v>1</v>
      </c>
      <c r="U93" s="10"/>
      <c r="V93" s="10"/>
      <c r="W93" s="10"/>
      <c r="X93" s="259">
        <f t="shared" si="46"/>
        <v>0</v>
      </c>
      <c r="Y93" s="259" t="str">
        <f t="shared" si="33"/>
        <v>יוצר מנוסה</v>
      </c>
      <c r="Z93" s="259">
        <f>'תנאי סף - כלליים'!AP103</f>
        <v>1</v>
      </c>
      <c r="AA93" s="260">
        <f t="shared" si="34"/>
        <v>1</v>
      </c>
      <c r="AB93" s="256">
        <f t="shared" si="35"/>
        <v>1</v>
      </c>
      <c r="AC93" s="1">
        <f t="shared" si="36"/>
        <v>1</v>
      </c>
      <c r="AD93" s="1">
        <f t="shared" si="37"/>
        <v>1</v>
      </c>
      <c r="AE93" s="1">
        <f t="shared" si="38"/>
        <v>1</v>
      </c>
      <c r="AF93" s="1">
        <f t="shared" si="39"/>
        <v>1</v>
      </c>
      <c r="AG93" s="1">
        <f t="shared" si="40"/>
        <v>1</v>
      </c>
      <c r="AH93" s="1">
        <f t="shared" si="47"/>
        <v>1</v>
      </c>
      <c r="AK93" s="1">
        <f t="shared" si="41"/>
        <v>1</v>
      </c>
      <c r="AM93" s="1" t="str">
        <f t="shared" si="48"/>
        <v>יוצר ותיק</v>
      </c>
      <c r="AN93" s="1" t="str">
        <f t="shared" si="48"/>
        <v>יוצר בראשית דרכו</v>
      </c>
      <c r="AO93" s="1" t="str">
        <f t="shared" si="48"/>
        <v>יוצר מנוסה</v>
      </c>
      <c r="AQ93" s="1">
        <f t="shared" si="48"/>
        <v>0</v>
      </c>
      <c r="AR93" s="1">
        <f t="shared" si="48"/>
        <v>1</v>
      </c>
      <c r="AT93" s="1">
        <f t="shared" si="42"/>
        <v>0</v>
      </c>
      <c r="AU93" s="1">
        <f t="shared" si="43"/>
        <v>0</v>
      </c>
      <c r="AV93" s="1">
        <f t="shared" si="44"/>
        <v>1</v>
      </c>
    </row>
    <row r="94" spans="1:48" ht="15.75" x14ac:dyDescent="0.25">
      <c r="A94" s="46">
        <f t="shared" si="45"/>
        <v>74</v>
      </c>
      <c r="B94" s="379" t="str">
        <f>IF('תנאי סף - כלליים'!F104="","",'תנאי סף - כלליים'!F104)</f>
        <v/>
      </c>
      <c r="C94" s="400"/>
      <c r="D94" s="288"/>
      <c r="E94" s="288"/>
      <c r="F94" s="288"/>
      <c r="G94" s="270" t="str">
        <f>IF(B94="","",IF(AND(C94=1,D94=1,E94&gt;400000,F94&gt;400000,$L$1=2017),פרמטרים!$C$12,1))</f>
        <v/>
      </c>
      <c r="H94" s="399"/>
      <c r="I94" s="399"/>
      <c r="J94" s="399"/>
      <c r="K94" s="399"/>
      <c r="L94" s="399"/>
      <c r="M94" s="258"/>
      <c r="N94" s="10"/>
      <c r="O94" s="399"/>
      <c r="P94" s="10"/>
      <c r="Q94" s="10"/>
      <c r="R94" s="10"/>
      <c r="S94" s="10"/>
      <c r="T94" s="259" t="str">
        <f t="shared" si="32"/>
        <v/>
      </c>
      <c r="U94" s="10"/>
      <c r="V94" s="10"/>
      <c r="W94" s="10"/>
      <c r="X94" s="259" t="str">
        <f t="shared" si="46"/>
        <v/>
      </c>
      <c r="Y94" s="259" t="str">
        <f t="shared" si="33"/>
        <v/>
      </c>
      <c r="Z94" s="259" t="str">
        <f>'תנאי סף - כלליים'!AP104</f>
        <v/>
      </c>
      <c r="AA94" s="260" t="str">
        <f t="shared" si="34"/>
        <v/>
      </c>
      <c r="AB94" s="256" t="str">
        <f t="shared" si="35"/>
        <v/>
      </c>
      <c r="AC94" s="1">
        <f t="shared" si="36"/>
        <v>0</v>
      </c>
      <c r="AD94" s="1">
        <f t="shared" si="37"/>
        <v>0</v>
      </c>
      <c r="AE94" s="1">
        <f t="shared" si="38"/>
        <v>0</v>
      </c>
      <c r="AF94" s="1">
        <f t="shared" si="39"/>
        <v>0</v>
      </c>
      <c r="AG94" s="1">
        <f t="shared" si="40"/>
        <v>0</v>
      </c>
      <c r="AH94" s="1">
        <f t="shared" si="47"/>
        <v>0</v>
      </c>
      <c r="AK94" s="1">
        <f t="shared" si="41"/>
        <v>0</v>
      </c>
      <c r="AM94" s="1" t="str">
        <f t="shared" si="48"/>
        <v/>
      </c>
      <c r="AN94" s="1" t="str">
        <f t="shared" si="48"/>
        <v/>
      </c>
      <c r="AO94" s="1" t="str">
        <f t="shared" si="48"/>
        <v/>
      </c>
      <c r="AQ94" s="1" t="str">
        <f t="shared" si="48"/>
        <v/>
      </c>
      <c r="AR94" s="1" t="str">
        <f t="shared" si="48"/>
        <v/>
      </c>
      <c r="AT94" s="1">
        <f t="shared" si="42"/>
        <v>0</v>
      </c>
      <c r="AU94" s="1">
        <f t="shared" si="43"/>
        <v>0</v>
      </c>
      <c r="AV94" s="1">
        <f t="shared" si="44"/>
        <v>0</v>
      </c>
    </row>
    <row r="95" spans="1:48" ht="15.75" x14ac:dyDescent="0.25">
      <c r="A95" s="46">
        <f t="shared" si="45"/>
        <v>75</v>
      </c>
      <c r="B95" s="379" t="str">
        <f>IF('תנאי סף - כלליים'!F105="","",'תנאי סף - כלליים'!F105)</f>
        <v/>
      </c>
      <c r="C95" s="400"/>
      <c r="D95" s="288"/>
      <c r="E95" s="288"/>
      <c r="F95" s="288"/>
      <c r="G95" s="270" t="str">
        <f>IF(B95="","",IF(AND(C95=1,D95=1,E95&gt;400000,F95&gt;400000,$L$1=2017),פרמטרים!$C$12,1))</f>
        <v/>
      </c>
      <c r="H95" s="399"/>
      <c r="I95" s="399"/>
      <c r="J95" s="399"/>
      <c r="K95" s="399"/>
      <c r="L95" s="399"/>
      <c r="M95" s="258"/>
      <c r="N95" s="10"/>
      <c r="O95" s="399"/>
      <c r="P95" s="10"/>
      <c r="Q95" s="10"/>
      <c r="R95" s="10"/>
      <c r="S95" s="10"/>
      <c r="T95" s="259" t="str">
        <f t="shared" si="32"/>
        <v/>
      </c>
      <c r="U95" s="10"/>
      <c r="V95" s="10"/>
      <c r="W95" s="10"/>
      <c r="X95" s="259" t="str">
        <f t="shared" si="46"/>
        <v/>
      </c>
      <c r="Y95" s="259" t="str">
        <f t="shared" si="33"/>
        <v/>
      </c>
      <c r="Z95" s="259" t="str">
        <f>'תנאי סף - כלליים'!AP105</f>
        <v/>
      </c>
      <c r="AA95" s="260" t="str">
        <f t="shared" si="34"/>
        <v/>
      </c>
      <c r="AB95" s="256" t="str">
        <f t="shared" si="35"/>
        <v/>
      </c>
      <c r="AC95" s="1">
        <f t="shared" si="36"/>
        <v>0</v>
      </c>
      <c r="AD95" s="1">
        <f t="shared" si="37"/>
        <v>0</v>
      </c>
      <c r="AE95" s="1">
        <f t="shared" si="38"/>
        <v>0</v>
      </c>
      <c r="AF95" s="1">
        <f t="shared" si="39"/>
        <v>0</v>
      </c>
      <c r="AG95" s="1">
        <f t="shared" si="40"/>
        <v>0</v>
      </c>
      <c r="AH95" s="1">
        <f t="shared" si="47"/>
        <v>0</v>
      </c>
      <c r="AK95" s="1">
        <f t="shared" si="41"/>
        <v>0</v>
      </c>
      <c r="AM95" s="1" t="str">
        <f t="shared" si="48"/>
        <v/>
      </c>
      <c r="AN95" s="1" t="str">
        <f t="shared" si="48"/>
        <v/>
      </c>
      <c r="AO95" s="1" t="str">
        <f t="shared" si="48"/>
        <v/>
      </c>
      <c r="AQ95" s="1" t="str">
        <f t="shared" si="48"/>
        <v/>
      </c>
      <c r="AR95" s="1" t="str">
        <f t="shared" si="48"/>
        <v/>
      </c>
      <c r="AT95" s="1">
        <f t="shared" si="42"/>
        <v>0</v>
      </c>
      <c r="AU95" s="1">
        <f t="shared" si="43"/>
        <v>0</v>
      </c>
      <c r="AV95" s="1">
        <f t="shared" si="44"/>
        <v>0</v>
      </c>
    </row>
    <row r="96" spans="1:48" ht="15.75" x14ac:dyDescent="0.25">
      <c r="A96" s="46">
        <f t="shared" si="45"/>
        <v>76</v>
      </c>
      <c r="B96" s="379" t="str">
        <f>IF('תנאי סף - כלליים'!F106="","",'תנאי סף - כלליים'!F106)</f>
        <v>שרון שגיא - פלמנקו</v>
      </c>
      <c r="C96" s="400"/>
      <c r="D96" s="288"/>
      <c r="E96" s="288"/>
      <c r="F96" s="288"/>
      <c r="G96" s="270">
        <f>IF(B96="","",IF(AND(C96=1,D96=1,E96&gt;400000,F96&gt;400000,$L$1=2017),פרמטרים!$C$12,1))</f>
        <v>1</v>
      </c>
      <c r="H96" s="399">
        <v>21</v>
      </c>
      <c r="I96" s="399">
        <v>21</v>
      </c>
      <c r="J96" s="399">
        <v>5</v>
      </c>
      <c r="K96" s="399">
        <v>4</v>
      </c>
      <c r="L96" s="399">
        <v>64</v>
      </c>
      <c r="M96" s="258">
        <v>4.5</v>
      </c>
      <c r="N96" s="10"/>
      <c r="O96" s="399"/>
      <c r="P96" s="10"/>
      <c r="Q96" s="10"/>
      <c r="R96" s="10"/>
      <c r="S96" s="10"/>
      <c r="T96" s="259">
        <f t="shared" si="32"/>
        <v>1</v>
      </c>
      <c r="U96" s="10"/>
      <c r="V96" s="10"/>
      <c r="W96" s="10"/>
      <c r="X96" s="259">
        <f t="shared" si="46"/>
        <v>0</v>
      </c>
      <c r="Y96" s="259" t="str">
        <f t="shared" si="33"/>
        <v>יוצר מנוסה</v>
      </c>
      <c r="Z96" s="259">
        <f>'תנאי סף - כלליים'!AP106</f>
        <v>1</v>
      </c>
      <c r="AA96" s="260">
        <f t="shared" si="34"/>
        <v>1</v>
      </c>
      <c r="AB96" s="256">
        <f t="shared" si="35"/>
        <v>1</v>
      </c>
      <c r="AC96" s="1">
        <f t="shared" si="36"/>
        <v>1</v>
      </c>
      <c r="AD96" s="1">
        <f t="shared" si="37"/>
        <v>1</v>
      </c>
      <c r="AE96" s="1">
        <f t="shared" si="38"/>
        <v>1</v>
      </c>
      <c r="AF96" s="1">
        <f t="shared" si="39"/>
        <v>1</v>
      </c>
      <c r="AG96" s="1">
        <f t="shared" si="40"/>
        <v>1</v>
      </c>
      <c r="AH96" s="1">
        <f t="shared" si="47"/>
        <v>1</v>
      </c>
      <c r="AK96" s="1">
        <f t="shared" si="41"/>
        <v>1</v>
      </c>
      <c r="AM96" s="1" t="str">
        <f t="shared" si="48"/>
        <v>יוצר ותיק</v>
      </c>
      <c r="AN96" s="1" t="str">
        <f t="shared" si="48"/>
        <v>יוצר בראשית דרכו</v>
      </c>
      <c r="AO96" s="1" t="str">
        <f t="shared" si="48"/>
        <v>יוצר מנוסה</v>
      </c>
      <c r="AQ96" s="1">
        <f t="shared" si="48"/>
        <v>0</v>
      </c>
      <c r="AR96" s="1">
        <f t="shared" si="48"/>
        <v>1</v>
      </c>
      <c r="AT96" s="1">
        <f t="shared" si="42"/>
        <v>0</v>
      </c>
      <c r="AU96" s="1">
        <f t="shared" si="43"/>
        <v>0</v>
      </c>
      <c r="AV96" s="1">
        <f t="shared" si="44"/>
        <v>1</v>
      </c>
    </row>
    <row r="97" spans="1:48" ht="15.75" x14ac:dyDescent="0.25">
      <c r="A97" s="46">
        <f t="shared" si="45"/>
        <v>77</v>
      </c>
      <c r="B97" s="379" t="str">
        <f>IF('תנאי סף - כלליים'!F107="","",'תנאי סף - כלליים'!F107)</f>
        <v>עמותת הרקדן החדש</v>
      </c>
      <c r="C97" s="400"/>
      <c r="D97" s="288"/>
      <c r="E97" s="288"/>
      <c r="F97" s="288"/>
      <c r="G97" s="270">
        <f>IF(B97="","",IF(AND(C97=1,D97=1,E97&gt;400000,F97&gt;400000,$L$1=2017),פרמטרים!$C$12,1))</f>
        <v>1</v>
      </c>
      <c r="H97" s="399">
        <v>1</v>
      </c>
      <c r="I97" s="399">
        <v>1</v>
      </c>
      <c r="J97" s="399">
        <v>4</v>
      </c>
      <c r="K97" s="399">
        <v>3</v>
      </c>
      <c r="L97" s="399">
        <v>6</v>
      </c>
      <c r="M97" s="258">
        <v>1.93</v>
      </c>
      <c r="N97" s="10"/>
      <c r="O97" s="399"/>
      <c r="P97" s="10"/>
      <c r="Q97" s="10"/>
      <c r="R97" s="10"/>
      <c r="S97" s="10"/>
      <c r="T97" s="259">
        <f t="shared" si="32"/>
        <v>0</v>
      </c>
      <c r="U97" s="10"/>
      <c r="V97" s="10"/>
      <c r="W97" s="10"/>
      <c r="X97" s="259">
        <f t="shared" si="46"/>
        <v>0</v>
      </c>
      <c r="Y97" s="259" t="str">
        <f t="shared" si="33"/>
        <v>אינו עומד בתנאי סף</v>
      </c>
      <c r="Z97" s="259">
        <f>'תנאי סף - כלליים'!AP107</f>
        <v>1</v>
      </c>
      <c r="AA97" s="260">
        <f t="shared" si="34"/>
        <v>0</v>
      </c>
      <c r="AB97" s="256" t="str">
        <f t="shared" si="35"/>
        <v/>
      </c>
      <c r="AC97" s="1">
        <f t="shared" si="36"/>
        <v>1</v>
      </c>
      <c r="AD97" s="1">
        <f t="shared" si="37"/>
        <v>1</v>
      </c>
      <c r="AE97" s="1">
        <f>IF(OR($B97="",ISERR(J98/3)),0,IF(OR(J98&lt;0,J98&lt;&gt;ROUND(J98,0)),0,1))</f>
        <v>1</v>
      </c>
      <c r="AF97" s="1">
        <f t="shared" si="39"/>
        <v>1</v>
      </c>
      <c r="AG97" s="1">
        <f t="shared" si="40"/>
        <v>1</v>
      </c>
      <c r="AH97" s="1">
        <f t="shared" si="47"/>
        <v>1</v>
      </c>
      <c r="AK97" s="1">
        <f t="shared" si="41"/>
        <v>1</v>
      </c>
      <c r="AM97" s="1" t="str">
        <f t="shared" si="48"/>
        <v>יוצר ותיק</v>
      </c>
      <c r="AN97" s="1" t="str">
        <f t="shared" si="48"/>
        <v>יוצר בראשית דרכו</v>
      </c>
      <c r="AO97" s="1" t="str">
        <f t="shared" si="48"/>
        <v>יוצר מנוסה</v>
      </c>
      <c r="AQ97" s="1">
        <f t="shared" si="48"/>
        <v>0</v>
      </c>
      <c r="AR97" s="1">
        <f t="shared" si="48"/>
        <v>1</v>
      </c>
      <c r="AT97" s="1">
        <f t="shared" si="42"/>
        <v>0</v>
      </c>
      <c r="AU97" s="1">
        <f t="shared" si="43"/>
        <v>0</v>
      </c>
      <c r="AV97" s="1">
        <f t="shared" si="44"/>
        <v>0</v>
      </c>
    </row>
    <row r="98" spans="1:48" ht="15.75" x14ac:dyDescent="0.25">
      <c r="A98" s="46">
        <f t="shared" si="45"/>
        <v>78</v>
      </c>
      <c r="B98" s="379" t="str">
        <f>IF('תנאי סף - כלליים'!F108="","",'תנאי סף - כלליים'!F108)</f>
        <v>אוליביה קורט מסה</v>
      </c>
      <c r="C98" s="400"/>
      <c r="D98" s="288"/>
      <c r="E98" s="288"/>
      <c r="F98" s="288"/>
      <c r="G98" s="270">
        <f>IF(B98="","",IF(AND(C98=1,D98=1,E98&gt;400000,F98&gt;400000,$L$1=2017),פרמטרים!$C$12,1))</f>
        <v>1</v>
      </c>
      <c r="H98" s="399">
        <v>17</v>
      </c>
      <c r="I98" s="399">
        <v>17</v>
      </c>
      <c r="J98" s="399">
        <v>6</v>
      </c>
      <c r="K98" s="399">
        <v>6</v>
      </c>
      <c r="L98" s="399">
        <v>7</v>
      </c>
      <c r="M98" s="258">
        <v>4.53</v>
      </c>
      <c r="N98" s="10"/>
      <c r="O98" s="399"/>
      <c r="P98" s="10"/>
      <c r="Q98" s="10"/>
      <c r="R98" s="10"/>
      <c r="S98" s="10"/>
      <c r="T98" s="259">
        <f t="shared" si="32"/>
        <v>1</v>
      </c>
      <c r="U98" s="10"/>
      <c r="V98" s="10"/>
      <c r="W98" s="10"/>
      <c r="X98" s="259">
        <f t="shared" si="46"/>
        <v>0</v>
      </c>
      <c r="Y98" s="259" t="str">
        <f t="shared" si="33"/>
        <v>יוצר מנוסה</v>
      </c>
      <c r="Z98" s="259">
        <f>'תנאי סף - כלליים'!AP108</f>
        <v>1</v>
      </c>
      <c r="AA98" s="260">
        <f t="shared" si="34"/>
        <v>1</v>
      </c>
      <c r="AB98" s="256">
        <f t="shared" si="35"/>
        <v>1</v>
      </c>
      <c r="AC98" s="1">
        <f t="shared" ref="AC98:AC102" si="49">IF(OR($B98="",ISERR(H98/3)),0,IF(OR(H98&lt;0,H98&lt;&gt;ROUND(H98,0)),0,1))</f>
        <v>1</v>
      </c>
      <c r="AD98" s="1">
        <f t="shared" ref="AD98:AD102" si="50">IF(OR($B98="",ISERR(I98/3)),0,IF(OR(I98&lt;0,I98&lt;&gt;ROUND(I98,0)),0,1))</f>
        <v>1</v>
      </c>
      <c r="AE98" s="1">
        <f t="shared" ref="AE98:AE102" si="51">IF(OR($B98="",ISERR(J99/3)),0,IF(OR(J99&lt;0,J99&lt;&gt;ROUND(J99,0)),0,1))</f>
        <v>1</v>
      </c>
      <c r="AF98" s="1">
        <f t="shared" ref="AF98:AF102" si="52">IF(OR($B98="",ISERR(K98/3)),0,IF(OR(K98&lt;0,K98&lt;&gt;ROUND(K98,0)),0,1))</f>
        <v>1</v>
      </c>
      <c r="AG98" s="1">
        <f t="shared" ref="AG98:AG102" si="53">IF(OR($B98="",ISERR(L98/3)),0,IF(OR(L98&lt;0,L98&lt;&gt;ROUND(L98,0)),0,1))</f>
        <v>1</v>
      </c>
      <c r="AH98" s="1">
        <f t="shared" ref="AH98:AH102" si="54">IF(OR($B98="",ISERR(M98/3)),0,IF(M98&lt;0,0,1))</f>
        <v>1</v>
      </c>
      <c r="AK98" s="1">
        <f t="shared" si="41"/>
        <v>1</v>
      </c>
      <c r="AM98" s="1" t="str">
        <f t="shared" si="48"/>
        <v>יוצר ותיק</v>
      </c>
      <c r="AN98" s="1" t="str">
        <f t="shared" si="48"/>
        <v>יוצר בראשית דרכו</v>
      </c>
      <c r="AO98" s="1" t="str">
        <f t="shared" si="48"/>
        <v>יוצר מנוסה</v>
      </c>
      <c r="AQ98" s="1">
        <f t="shared" si="48"/>
        <v>0</v>
      </c>
      <c r="AR98" s="1">
        <f t="shared" si="48"/>
        <v>1</v>
      </c>
      <c r="AT98" s="1">
        <f t="shared" si="42"/>
        <v>0</v>
      </c>
      <c r="AU98" s="1">
        <f t="shared" si="43"/>
        <v>0</v>
      </c>
      <c r="AV98" s="1">
        <f t="shared" si="44"/>
        <v>1</v>
      </c>
    </row>
    <row r="99" spans="1:48" ht="15.75" x14ac:dyDescent="0.25">
      <c r="A99" s="46">
        <f t="shared" si="45"/>
        <v>79</v>
      </c>
      <c r="B99" s="379" t="str">
        <f>IF('תנאי סף - כלליים'!F109="","",'תנאי סף - כלליים'!F109)</f>
        <v>אורית שאול</v>
      </c>
      <c r="C99" s="400"/>
      <c r="D99" s="288"/>
      <c r="E99" s="288"/>
      <c r="F99" s="288"/>
      <c r="G99" s="270">
        <f>IF(B99="","",IF(AND(C99=1,D99=1,E99&gt;400000,F99&gt;400000,$L$1=2017),פרמטרים!$C$12,1))</f>
        <v>1</v>
      </c>
      <c r="H99" s="399">
        <v>8</v>
      </c>
      <c r="I99" s="399">
        <v>8</v>
      </c>
      <c r="J99" s="399">
        <v>4</v>
      </c>
      <c r="K99" s="399">
        <v>3</v>
      </c>
      <c r="L99" s="399">
        <v>6</v>
      </c>
      <c r="M99" s="258">
        <v>1.7</v>
      </c>
      <c r="N99" s="10"/>
      <c r="O99" s="399"/>
      <c r="P99" s="10"/>
      <c r="Q99" s="10"/>
      <c r="R99" s="10"/>
      <c r="S99" s="10"/>
      <c r="T99" s="259">
        <f t="shared" si="32"/>
        <v>0</v>
      </c>
      <c r="U99" s="10"/>
      <c r="V99" s="10"/>
      <c r="W99" s="10"/>
      <c r="X99" s="259">
        <f t="shared" si="46"/>
        <v>0</v>
      </c>
      <c r="Y99" s="259" t="str">
        <f t="shared" si="33"/>
        <v>אינו עומד בתנאי סף</v>
      </c>
      <c r="Z99" s="259">
        <f>'תנאי סף - כלליים'!AP109</f>
        <v>1</v>
      </c>
      <c r="AA99" s="260">
        <f t="shared" si="34"/>
        <v>0</v>
      </c>
      <c r="AB99" s="256" t="str">
        <f t="shared" si="35"/>
        <v/>
      </c>
      <c r="AC99" s="1">
        <f t="shared" si="49"/>
        <v>1</v>
      </c>
      <c r="AD99" s="1">
        <f t="shared" si="50"/>
        <v>1</v>
      </c>
      <c r="AE99" s="1">
        <f t="shared" si="51"/>
        <v>1</v>
      </c>
      <c r="AF99" s="1">
        <f t="shared" si="52"/>
        <v>1</v>
      </c>
      <c r="AG99" s="1">
        <f t="shared" si="53"/>
        <v>1</v>
      </c>
      <c r="AH99" s="1">
        <f t="shared" si="54"/>
        <v>1</v>
      </c>
      <c r="AK99" s="1">
        <f t="shared" si="41"/>
        <v>1</v>
      </c>
      <c r="AM99" s="1" t="str">
        <f t="shared" si="48"/>
        <v>יוצר ותיק</v>
      </c>
      <c r="AN99" s="1" t="str">
        <f t="shared" si="48"/>
        <v>יוצר בראשית דרכו</v>
      </c>
      <c r="AO99" s="1" t="str">
        <f t="shared" si="48"/>
        <v>יוצר מנוסה</v>
      </c>
      <c r="AQ99" s="1">
        <f t="shared" si="48"/>
        <v>0</v>
      </c>
      <c r="AR99" s="1">
        <f t="shared" si="48"/>
        <v>1</v>
      </c>
      <c r="AT99" s="1">
        <f t="shared" si="42"/>
        <v>0</v>
      </c>
      <c r="AU99" s="1">
        <f t="shared" si="43"/>
        <v>0</v>
      </c>
      <c r="AV99" s="1">
        <f t="shared" si="44"/>
        <v>0</v>
      </c>
    </row>
    <row r="100" spans="1:48" ht="15.75" x14ac:dyDescent="0.25">
      <c r="A100" s="46">
        <f t="shared" si="45"/>
        <v>80</v>
      </c>
      <c r="B100" s="379" t="str">
        <f>IF('תנאי סף - כלליים'!F110="","",'תנאי סף - כלליים'!F110)</f>
        <v>יניב הופמן</v>
      </c>
      <c r="C100" s="400"/>
      <c r="D100" s="288"/>
      <c r="E100" s="288"/>
      <c r="F100" s="288"/>
      <c r="G100" s="270">
        <f>IF(B100="","",IF(AND(C100=1,D100=1,E100&gt;400000,F100&gt;400000,$L$1=2017),פרמטרים!$C$12,1))</f>
        <v>1</v>
      </c>
      <c r="H100" s="399">
        <v>18</v>
      </c>
      <c r="I100" s="399">
        <v>18</v>
      </c>
      <c r="J100" s="399">
        <v>6</v>
      </c>
      <c r="K100" s="399">
        <v>6</v>
      </c>
      <c r="L100" s="399">
        <v>7</v>
      </c>
      <c r="M100" s="258">
        <v>2.5</v>
      </c>
      <c r="N100" s="10"/>
      <c r="O100" s="399"/>
      <c r="P100" s="10"/>
      <c r="Q100" s="10"/>
      <c r="R100" s="10"/>
      <c r="S100" s="10"/>
      <c r="T100" s="259">
        <f t="shared" si="32"/>
        <v>1</v>
      </c>
      <c r="U100" s="10"/>
      <c r="V100" s="10"/>
      <c r="W100" s="10"/>
      <c r="X100" s="259">
        <f t="shared" si="46"/>
        <v>0</v>
      </c>
      <c r="Y100" s="259" t="str">
        <f t="shared" si="33"/>
        <v>אינו עומד בתנאי סף</v>
      </c>
      <c r="Z100" s="259">
        <f>'תנאי סף - כלליים'!AP110</f>
        <v>1</v>
      </c>
      <c r="AA100" s="260">
        <f t="shared" si="34"/>
        <v>0</v>
      </c>
      <c r="AB100" s="256" t="str">
        <f t="shared" si="35"/>
        <v/>
      </c>
      <c r="AC100" s="1">
        <f t="shared" si="49"/>
        <v>1</v>
      </c>
      <c r="AD100" s="1">
        <f t="shared" si="50"/>
        <v>1</v>
      </c>
      <c r="AE100" s="1">
        <f t="shared" si="51"/>
        <v>1</v>
      </c>
      <c r="AF100" s="1">
        <f t="shared" si="52"/>
        <v>1</v>
      </c>
      <c r="AG100" s="1">
        <f t="shared" si="53"/>
        <v>1</v>
      </c>
      <c r="AH100" s="1">
        <f t="shared" si="54"/>
        <v>1</v>
      </c>
      <c r="AK100" s="1">
        <f t="shared" si="41"/>
        <v>1</v>
      </c>
      <c r="AM100" s="1" t="str">
        <f t="shared" si="48"/>
        <v>יוצר ותיק</v>
      </c>
      <c r="AN100" s="1" t="str">
        <f t="shared" si="48"/>
        <v>יוצר בראשית דרכו</v>
      </c>
      <c r="AO100" s="1" t="str">
        <f t="shared" si="48"/>
        <v>יוצר מנוסה</v>
      </c>
      <c r="AQ100" s="1">
        <f t="shared" si="48"/>
        <v>0</v>
      </c>
      <c r="AR100" s="1">
        <f t="shared" si="48"/>
        <v>1</v>
      </c>
      <c r="AT100" s="1">
        <f t="shared" si="42"/>
        <v>0</v>
      </c>
      <c r="AU100" s="1">
        <f t="shared" si="43"/>
        <v>0</v>
      </c>
      <c r="AV100" s="1">
        <f t="shared" si="44"/>
        <v>0</v>
      </c>
    </row>
    <row r="101" spans="1:48" ht="15.75" x14ac:dyDescent="0.25">
      <c r="A101" s="46">
        <f t="shared" si="45"/>
        <v>81</v>
      </c>
      <c r="B101" s="379" t="str">
        <f>IF('תנאי סף - כלליים'!F111="","",'תנאי סף - כלליים'!F111)</f>
        <v>דגה פדר</v>
      </c>
      <c r="C101" s="400"/>
      <c r="D101" s="288"/>
      <c r="E101" s="288"/>
      <c r="F101" s="288"/>
      <c r="G101" s="270">
        <f>IF(B101="","",IF(AND(C101=1,D101=1,E101&gt;400000,F101&gt;400000,$L$1=2017),פרמטרים!$C$12,1))</f>
        <v>1</v>
      </c>
      <c r="H101" s="399">
        <v>6</v>
      </c>
      <c r="I101" s="399">
        <v>6</v>
      </c>
      <c r="J101" s="399">
        <v>4</v>
      </c>
      <c r="K101" s="399">
        <v>3</v>
      </c>
      <c r="L101" s="399">
        <v>5</v>
      </c>
      <c r="M101" s="258">
        <v>3</v>
      </c>
      <c r="N101" s="10"/>
      <c r="O101" s="399"/>
      <c r="P101" s="10"/>
      <c r="Q101" s="10"/>
      <c r="R101" s="10"/>
      <c r="S101" s="10"/>
      <c r="T101" s="259">
        <f t="shared" si="32"/>
        <v>1</v>
      </c>
      <c r="U101" s="10"/>
      <c r="V101" s="10"/>
      <c r="W101" s="10"/>
      <c r="X101" s="259">
        <f t="shared" si="46"/>
        <v>0</v>
      </c>
      <c r="Y101" s="259" t="str">
        <f t="shared" si="33"/>
        <v>יוצר מנוסה</v>
      </c>
      <c r="Z101" s="259">
        <f>'תנאי סף - כלליים'!AP111</f>
        <v>1</v>
      </c>
      <c r="AA101" s="260">
        <f t="shared" si="34"/>
        <v>1</v>
      </c>
      <c r="AB101" s="256">
        <f t="shared" si="35"/>
        <v>1</v>
      </c>
      <c r="AC101" s="1">
        <f t="shared" si="49"/>
        <v>1</v>
      </c>
      <c r="AD101" s="1">
        <f t="shared" si="50"/>
        <v>1</v>
      </c>
      <c r="AE101" s="1">
        <f t="shared" si="51"/>
        <v>1</v>
      </c>
      <c r="AF101" s="1">
        <f t="shared" si="52"/>
        <v>1</v>
      </c>
      <c r="AG101" s="1">
        <f t="shared" si="53"/>
        <v>1</v>
      </c>
      <c r="AH101" s="1">
        <f t="shared" si="54"/>
        <v>1</v>
      </c>
      <c r="AK101" s="1">
        <f t="shared" si="41"/>
        <v>1</v>
      </c>
      <c r="AM101" s="1" t="str">
        <f t="shared" si="48"/>
        <v>יוצר ותיק</v>
      </c>
      <c r="AN101" s="1" t="str">
        <f t="shared" si="48"/>
        <v>יוצר בראשית דרכו</v>
      </c>
      <c r="AO101" s="1" t="str">
        <f t="shared" si="48"/>
        <v>יוצר מנוסה</v>
      </c>
      <c r="AQ101" s="1">
        <f t="shared" si="48"/>
        <v>0</v>
      </c>
      <c r="AR101" s="1">
        <f t="shared" si="48"/>
        <v>1</v>
      </c>
      <c r="AT101" s="1">
        <f t="shared" si="42"/>
        <v>0</v>
      </c>
      <c r="AU101" s="1">
        <f t="shared" si="43"/>
        <v>0</v>
      </c>
      <c r="AV101" s="1">
        <f t="shared" si="44"/>
        <v>1</v>
      </c>
    </row>
    <row r="102" spans="1:48" ht="15.75" x14ac:dyDescent="0.25">
      <c r="A102" s="46">
        <f t="shared" si="45"/>
        <v>82</v>
      </c>
      <c r="B102" s="379" t="str">
        <f>IF('תנאי סף - כלליים'!F112="","",'תנאי סף - כלליים'!F112)</f>
        <v>דנה חפוטה</v>
      </c>
      <c r="C102" s="400"/>
      <c r="D102" s="288"/>
      <c r="E102" s="288"/>
      <c r="F102" s="288"/>
      <c r="G102" s="270">
        <f>IF(B102="","",IF(AND(C102=1,D102=1,E102&gt;400000,F102&gt;400000,$L$1=2017),פרמטרים!$C$12,1))</f>
        <v>1</v>
      </c>
      <c r="H102" s="399">
        <v>9</v>
      </c>
      <c r="I102" s="399">
        <v>9</v>
      </c>
      <c r="J102" s="399">
        <v>5</v>
      </c>
      <c r="K102" s="399">
        <v>2</v>
      </c>
      <c r="L102" s="399">
        <v>7</v>
      </c>
      <c r="M102" s="258">
        <v>3.65</v>
      </c>
      <c r="N102" s="10"/>
      <c r="O102" s="399"/>
      <c r="P102" s="10"/>
      <c r="Q102" s="10"/>
      <c r="R102" s="10"/>
      <c r="S102" s="10"/>
      <c r="T102" s="259">
        <f t="shared" si="32"/>
        <v>1</v>
      </c>
      <c r="U102" s="10"/>
      <c r="V102" s="10"/>
      <c r="W102" s="10"/>
      <c r="X102" s="259">
        <f t="shared" si="46"/>
        <v>0</v>
      </c>
      <c r="Y102" s="259" t="str">
        <f t="shared" si="33"/>
        <v>יוצר מנוסה</v>
      </c>
      <c r="Z102" s="259">
        <f>'תנאי סף - כלליים'!AP112</f>
        <v>1</v>
      </c>
      <c r="AA102" s="260">
        <f t="shared" si="34"/>
        <v>1</v>
      </c>
      <c r="AB102" s="256">
        <f t="shared" si="35"/>
        <v>1</v>
      </c>
      <c r="AC102" s="1">
        <f t="shared" si="49"/>
        <v>1</v>
      </c>
      <c r="AD102" s="1">
        <f t="shared" si="50"/>
        <v>1</v>
      </c>
      <c r="AE102" s="1">
        <f t="shared" si="51"/>
        <v>1</v>
      </c>
      <c r="AF102" s="1">
        <f t="shared" si="52"/>
        <v>1</v>
      </c>
      <c r="AG102" s="1">
        <f t="shared" si="53"/>
        <v>1</v>
      </c>
      <c r="AH102" s="1">
        <f t="shared" si="54"/>
        <v>1</v>
      </c>
      <c r="AK102" s="1">
        <f t="shared" si="41"/>
        <v>1</v>
      </c>
      <c r="AM102" s="1" t="str">
        <f t="shared" si="48"/>
        <v>יוצר ותיק</v>
      </c>
      <c r="AN102" s="1" t="str">
        <f t="shared" si="48"/>
        <v>יוצר בראשית דרכו</v>
      </c>
      <c r="AO102" s="1" t="str">
        <f t="shared" si="48"/>
        <v>יוצר מנוסה</v>
      </c>
      <c r="AQ102" s="1">
        <f t="shared" si="48"/>
        <v>0</v>
      </c>
      <c r="AR102" s="1">
        <f t="shared" si="48"/>
        <v>1</v>
      </c>
      <c r="AT102" s="1">
        <f t="shared" si="42"/>
        <v>0</v>
      </c>
      <c r="AU102" s="1">
        <f t="shared" si="43"/>
        <v>0</v>
      </c>
      <c r="AV102" s="1">
        <f t="shared" si="44"/>
        <v>1</v>
      </c>
    </row>
    <row r="103" spans="1:48" ht="15.75" x14ac:dyDescent="0.25">
      <c r="A103" s="46">
        <f t="shared" si="45"/>
        <v>83</v>
      </c>
      <c r="B103" s="379" t="str">
        <f>IF('תנאי סף - כלליים'!F113="","",'תנאי סף - כלליים'!F113)</f>
        <v/>
      </c>
      <c r="C103" s="400"/>
      <c r="D103" s="288"/>
      <c r="E103" s="288"/>
      <c r="F103" s="288"/>
      <c r="G103" s="270" t="str">
        <f>IF(B103="","",IF(AND(C103=1,D103=1,E103&gt;400000,F103&gt;400000,$L$1=2017),פרמטרים!$C$12,1))</f>
        <v/>
      </c>
      <c r="H103" s="399"/>
      <c r="I103" s="399"/>
      <c r="J103" s="399"/>
      <c r="K103" s="399"/>
      <c r="L103" s="399"/>
      <c r="M103" s="401"/>
      <c r="N103" s="10"/>
      <c r="O103" s="399"/>
      <c r="P103" s="10"/>
      <c r="Q103" s="10"/>
      <c r="R103" s="10"/>
      <c r="S103" s="10"/>
      <c r="T103" s="259" t="str">
        <f t="shared" si="32"/>
        <v/>
      </c>
      <c r="U103" s="10"/>
      <c r="V103" s="10"/>
      <c r="W103" s="10"/>
      <c r="X103" s="259" t="str">
        <f t="shared" si="46"/>
        <v/>
      </c>
      <c r="Y103" s="259" t="str">
        <f t="shared" si="33"/>
        <v/>
      </c>
      <c r="Z103" s="259" t="str">
        <f>'תנאי סף - כלליים'!AP113</f>
        <v/>
      </c>
      <c r="AA103" s="260" t="str">
        <f t="shared" si="34"/>
        <v/>
      </c>
      <c r="AB103" s="256" t="str">
        <f t="shared" si="35"/>
        <v/>
      </c>
      <c r="AC103" s="1">
        <f t="shared" si="36"/>
        <v>0</v>
      </c>
      <c r="AD103" s="1">
        <f t="shared" si="37"/>
        <v>0</v>
      </c>
      <c r="AE103" s="1">
        <f t="shared" si="38"/>
        <v>0</v>
      </c>
      <c r="AF103" s="1">
        <f t="shared" si="39"/>
        <v>0</v>
      </c>
      <c r="AG103" s="1">
        <f t="shared" si="40"/>
        <v>0</v>
      </c>
      <c r="AH103" s="1">
        <f t="shared" si="47"/>
        <v>0</v>
      </c>
      <c r="AK103" s="1">
        <f t="shared" si="41"/>
        <v>0</v>
      </c>
      <c r="AM103" s="1" t="str">
        <f t="shared" si="48"/>
        <v/>
      </c>
      <c r="AN103" s="1" t="str">
        <f t="shared" si="48"/>
        <v/>
      </c>
      <c r="AO103" s="1" t="str">
        <f t="shared" si="48"/>
        <v/>
      </c>
      <c r="AQ103" s="1" t="str">
        <f t="shared" si="48"/>
        <v/>
      </c>
      <c r="AR103" s="1" t="str">
        <f t="shared" si="48"/>
        <v/>
      </c>
      <c r="AT103" s="1">
        <f t="shared" si="42"/>
        <v>0</v>
      </c>
      <c r="AU103" s="1">
        <f t="shared" si="43"/>
        <v>0</v>
      </c>
      <c r="AV103" s="1">
        <f t="shared" si="44"/>
        <v>0</v>
      </c>
    </row>
    <row r="104" spans="1:48" ht="15.75" x14ac:dyDescent="0.25">
      <c r="A104" s="46">
        <f t="shared" si="45"/>
        <v>84</v>
      </c>
      <c r="B104" s="379" t="str">
        <f>IF('תנאי סף - כלליים'!F114="","",'תנאי סף - כלליים'!F114)</f>
        <v>ליאור לזרוף</v>
      </c>
      <c r="C104" s="400"/>
      <c r="D104" s="288"/>
      <c r="E104" s="288"/>
      <c r="F104" s="288"/>
      <c r="G104" s="270">
        <f>IF(B104="","",IF(AND(C104=1,D104=1,E104&gt;400000,F104&gt;400000,$L$1=2017),פרמטרים!$C$12,1))</f>
        <v>1</v>
      </c>
      <c r="H104" s="399">
        <v>7</v>
      </c>
      <c r="I104" s="399">
        <v>7</v>
      </c>
      <c r="J104" s="399">
        <v>10</v>
      </c>
      <c r="K104" s="399">
        <v>7</v>
      </c>
      <c r="L104" s="399">
        <v>7</v>
      </c>
      <c r="M104" s="401">
        <v>2.17</v>
      </c>
      <c r="N104" s="10"/>
      <c r="O104" s="399"/>
      <c r="P104" s="10"/>
      <c r="Q104" s="10"/>
      <c r="R104" s="10"/>
      <c r="S104" s="10"/>
      <c r="T104" s="259">
        <f t="shared" si="32"/>
        <v>1</v>
      </c>
      <c r="U104" s="10"/>
      <c r="V104" s="10"/>
      <c r="W104" s="10"/>
      <c r="X104" s="259">
        <f t="shared" si="46"/>
        <v>0</v>
      </c>
      <c r="Y104" s="259" t="str">
        <f t="shared" si="33"/>
        <v>אינו עומד בתנאי סף</v>
      </c>
      <c r="Z104" s="259">
        <f>'תנאי סף - כלליים'!AP114</f>
        <v>1</v>
      </c>
      <c r="AA104" s="260">
        <f t="shared" si="34"/>
        <v>0</v>
      </c>
      <c r="AB104" s="256" t="str">
        <f t="shared" si="35"/>
        <v/>
      </c>
      <c r="AC104" s="1">
        <f t="shared" si="36"/>
        <v>1</v>
      </c>
      <c r="AD104" s="1">
        <f t="shared" si="37"/>
        <v>1</v>
      </c>
      <c r="AE104" s="1">
        <f t="shared" si="38"/>
        <v>1</v>
      </c>
      <c r="AF104" s="1">
        <f t="shared" si="39"/>
        <v>1</v>
      </c>
      <c r="AG104" s="1">
        <f t="shared" si="40"/>
        <v>1</v>
      </c>
      <c r="AH104" s="1">
        <f t="shared" si="47"/>
        <v>1</v>
      </c>
      <c r="AK104" s="1">
        <f t="shared" si="41"/>
        <v>1</v>
      </c>
      <c r="AM104" s="1" t="str">
        <f t="shared" si="48"/>
        <v>יוצר ותיק</v>
      </c>
      <c r="AN104" s="1" t="str">
        <f t="shared" si="48"/>
        <v>יוצר בראשית דרכו</v>
      </c>
      <c r="AO104" s="1" t="str">
        <f t="shared" si="48"/>
        <v>יוצר מנוסה</v>
      </c>
      <c r="AQ104" s="1">
        <f t="shared" si="48"/>
        <v>0</v>
      </c>
      <c r="AR104" s="1">
        <f t="shared" si="48"/>
        <v>1</v>
      </c>
      <c r="AT104" s="1">
        <f t="shared" si="42"/>
        <v>0</v>
      </c>
      <c r="AU104" s="1">
        <f t="shared" si="43"/>
        <v>0</v>
      </c>
      <c r="AV104" s="1">
        <f t="shared" si="44"/>
        <v>0</v>
      </c>
    </row>
    <row r="105" spans="1:48" ht="15.75" x14ac:dyDescent="0.25">
      <c r="A105" s="46">
        <f t="shared" si="45"/>
        <v>85</v>
      </c>
      <c r="B105" s="379" t="str">
        <f>IF('תנאי סף - כלליים'!F115="","",'תנאי סף - כלליים'!F115)</f>
        <v>יענק'לה פילצר</v>
      </c>
      <c r="C105" s="400"/>
      <c r="D105" s="288"/>
      <c r="E105" s="288"/>
      <c r="F105" s="288"/>
      <c r="G105" s="270">
        <f>IF(B105="","",IF(AND(C105=1,D105=1,E105&gt;400000,F105&gt;400000,$L$1=2017),פרמטרים!$C$12,1))</f>
        <v>1</v>
      </c>
      <c r="H105" s="399">
        <v>10</v>
      </c>
      <c r="I105" s="399">
        <v>10</v>
      </c>
      <c r="J105" s="399">
        <v>9</v>
      </c>
      <c r="K105" s="399">
        <v>6</v>
      </c>
      <c r="L105" s="399">
        <v>24</v>
      </c>
      <c r="M105" s="401">
        <v>3.17</v>
      </c>
      <c r="N105" s="10"/>
      <c r="O105" s="399"/>
      <c r="P105" s="10"/>
      <c r="Q105" s="10"/>
      <c r="R105" s="10"/>
      <c r="S105" s="10"/>
      <c r="T105" s="259">
        <f t="shared" si="32"/>
        <v>1</v>
      </c>
      <c r="U105" s="10"/>
      <c r="V105" s="10"/>
      <c r="W105" s="10"/>
      <c r="X105" s="259">
        <f t="shared" si="46"/>
        <v>0</v>
      </c>
      <c r="Y105" s="259" t="str">
        <f t="shared" si="33"/>
        <v>יוצר מנוסה</v>
      </c>
      <c r="Z105" s="259">
        <f>'תנאי סף - כלליים'!AP115</f>
        <v>1</v>
      </c>
      <c r="AA105" s="260">
        <f t="shared" si="34"/>
        <v>1</v>
      </c>
      <c r="AB105" s="256">
        <f t="shared" si="35"/>
        <v>1</v>
      </c>
      <c r="AC105" s="1">
        <f t="shared" si="36"/>
        <v>1</v>
      </c>
      <c r="AD105" s="1">
        <f t="shared" si="37"/>
        <v>1</v>
      </c>
      <c r="AE105" s="1">
        <f t="shared" si="38"/>
        <v>1</v>
      </c>
      <c r="AF105" s="1">
        <f t="shared" si="39"/>
        <v>1</v>
      </c>
      <c r="AG105" s="1">
        <f t="shared" si="40"/>
        <v>1</v>
      </c>
      <c r="AH105" s="1">
        <f t="shared" si="47"/>
        <v>1</v>
      </c>
      <c r="AK105" s="1">
        <f t="shared" si="41"/>
        <v>1</v>
      </c>
      <c r="AM105" s="1" t="str">
        <f t="shared" si="48"/>
        <v>יוצר ותיק</v>
      </c>
      <c r="AN105" s="1" t="str">
        <f t="shared" si="48"/>
        <v>יוצר בראשית דרכו</v>
      </c>
      <c r="AO105" s="1" t="str">
        <f t="shared" si="48"/>
        <v>יוצר מנוסה</v>
      </c>
      <c r="AQ105" s="1">
        <f t="shared" si="48"/>
        <v>0</v>
      </c>
      <c r="AR105" s="1">
        <f t="shared" si="48"/>
        <v>1</v>
      </c>
      <c r="AT105" s="1">
        <f t="shared" si="42"/>
        <v>0</v>
      </c>
      <c r="AU105" s="1">
        <f t="shared" si="43"/>
        <v>0</v>
      </c>
      <c r="AV105" s="1">
        <f t="shared" si="44"/>
        <v>1</v>
      </c>
    </row>
    <row r="106" spans="1:48" ht="15.75" x14ac:dyDescent="0.25">
      <c r="A106" s="46">
        <f t="shared" si="45"/>
        <v>86</v>
      </c>
      <c r="B106" s="379" t="str">
        <f>IF('תנאי סף - כלליים'!F116="","",'תנאי סף - כלליים'!F116)</f>
        <v>ענבל פינטו</v>
      </c>
      <c r="C106" s="400"/>
      <c r="D106" s="288"/>
      <c r="E106" s="288"/>
      <c r="F106" s="288"/>
      <c r="G106" s="270">
        <f>IF(B106="","",IF(AND(C106=1,D106=1,E106&gt;400000,F106&gt;400000,$L$1=2017),פרמטרים!$C$12,1))</f>
        <v>1</v>
      </c>
      <c r="H106" s="399">
        <v>33</v>
      </c>
      <c r="I106" s="399">
        <v>33</v>
      </c>
      <c r="J106" s="399">
        <v>4</v>
      </c>
      <c r="K106" s="399">
        <v>3</v>
      </c>
      <c r="L106" s="399">
        <v>13</v>
      </c>
      <c r="M106" s="401">
        <v>4.4000000000000004</v>
      </c>
      <c r="N106" s="10"/>
      <c r="O106" s="399"/>
      <c r="P106" s="10"/>
      <c r="Q106" s="10"/>
      <c r="R106" s="10"/>
      <c r="S106" s="10"/>
      <c r="T106" s="259">
        <f t="shared" si="32"/>
        <v>1</v>
      </c>
      <c r="U106" s="10"/>
      <c r="V106" s="10"/>
      <c r="W106" s="10"/>
      <c r="X106" s="259">
        <f t="shared" si="46"/>
        <v>0</v>
      </c>
      <c r="Y106" s="259" t="str">
        <f t="shared" si="33"/>
        <v>יוצר מנוסה</v>
      </c>
      <c r="Z106" s="259">
        <f>'תנאי סף - כלליים'!AP116</f>
        <v>1</v>
      </c>
      <c r="AA106" s="260">
        <f t="shared" si="34"/>
        <v>1</v>
      </c>
      <c r="AB106" s="256">
        <f t="shared" si="35"/>
        <v>1</v>
      </c>
      <c r="AC106" s="1">
        <f t="shared" si="36"/>
        <v>1</v>
      </c>
      <c r="AD106" s="1">
        <f t="shared" si="37"/>
        <v>1</v>
      </c>
      <c r="AE106" s="1">
        <f t="shared" si="38"/>
        <v>1</v>
      </c>
      <c r="AF106" s="1">
        <f t="shared" si="39"/>
        <v>1</v>
      </c>
      <c r="AG106" s="1">
        <f t="shared" si="40"/>
        <v>1</v>
      </c>
      <c r="AH106" s="1">
        <f t="shared" si="47"/>
        <v>1</v>
      </c>
      <c r="AK106" s="1">
        <f t="shared" si="41"/>
        <v>1</v>
      </c>
      <c r="AM106" s="1" t="str">
        <f t="shared" si="48"/>
        <v>יוצר ותיק</v>
      </c>
      <c r="AN106" s="1" t="str">
        <f t="shared" si="48"/>
        <v>יוצר בראשית דרכו</v>
      </c>
      <c r="AO106" s="1" t="str">
        <f t="shared" si="48"/>
        <v>יוצר מנוסה</v>
      </c>
      <c r="AQ106" s="1">
        <f t="shared" si="48"/>
        <v>0</v>
      </c>
      <c r="AR106" s="1">
        <f t="shared" si="48"/>
        <v>1</v>
      </c>
      <c r="AT106" s="1">
        <f t="shared" si="42"/>
        <v>0</v>
      </c>
      <c r="AU106" s="1">
        <f t="shared" si="43"/>
        <v>0</v>
      </c>
      <c r="AV106" s="1">
        <f t="shared" si="44"/>
        <v>1</v>
      </c>
    </row>
    <row r="107" spans="1:48" ht="15.75" x14ac:dyDescent="0.25">
      <c r="A107" s="46">
        <f t="shared" si="45"/>
        <v>87</v>
      </c>
      <c r="B107" s="379" t="str">
        <f>IF('תנאי סף - כלליים'!F117="","",'תנאי סף - כלליים'!F117)</f>
        <v>רוני חדש</v>
      </c>
      <c r="C107" s="400"/>
      <c r="D107" s="288"/>
      <c r="E107" s="288"/>
      <c r="F107" s="288"/>
      <c r="G107" s="270">
        <f>IF(B107="","",IF(AND(C107=1,D107=1,E107&gt;400000,F107&gt;400000,$L$1=2017),פרמטרים!$C$12,1))</f>
        <v>1</v>
      </c>
      <c r="H107" s="399">
        <v>8</v>
      </c>
      <c r="I107" s="399">
        <v>8</v>
      </c>
      <c r="J107" s="399">
        <v>4</v>
      </c>
      <c r="K107" s="399">
        <v>3</v>
      </c>
      <c r="L107" s="399">
        <v>12</v>
      </c>
      <c r="M107" s="401">
        <v>3.97</v>
      </c>
      <c r="N107" s="10"/>
      <c r="O107" s="399"/>
      <c r="P107" s="10"/>
      <c r="Q107" s="10"/>
      <c r="R107" s="10"/>
      <c r="S107" s="10"/>
      <c r="T107" s="259">
        <f t="shared" si="32"/>
        <v>1</v>
      </c>
      <c r="U107" s="10"/>
      <c r="V107" s="10"/>
      <c r="W107" s="10"/>
      <c r="X107" s="259">
        <f t="shared" si="46"/>
        <v>0</v>
      </c>
      <c r="Y107" s="259" t="str">
        <f t="shared" si="33"/>
        <v>יוצר מנוסה</v>
      </c>
      <c r="Z107" s="259">
        <f>'תנאי סף - כלליים'!AP117</f>
        <v>1</v>
      </c>
      <c r="AA107" s="260">
        <f t="shared" si="34"/>
        <v>1</v>
      </c>
      <c r="AB107" s="256">
        <f t="shared" si="35"/>
        <v>1</v>
      </c>
      <c r="AC107" s="1">
        <f t="shared" si="36"/>
        <v>1</v>
      </c>
      <c r="AD107" s="1">
        <f t="shared" si="37"/>
        <v>1</v>
      </c>
      <c r="AE107" s="1">
        <f t="shared" si="38"/>
        <v>1</v>
      </c>
      <c r="AF107" s="1">
        <f t="shared" si="39"/>
        <v>1</v>
      </c>
      <c r="AG107" s="1">
        <f t="shared" si="40"/>
        <v>1</v>
      </c>
      <c r="AH107" s="1">
        <f t="shared" si="47"/>
        <v>1</v>
      </c>
      <c r="AK107" s="1">
        <f t="shared" si="41"/>
        <v>1</v>
      </c>
      <c r="AM107" s="1" t="str">
        <f t="shared" si="48"/>
        <v>יוצר ותיק</v>
      </c>
      <c r="AN107" s="1" t="str">
        <f t="shared" si="48"/>
        <v>יוצר בראשית דרכו</v>
      </c>
      <c r="AO107" s="1" t="str">
        <f t="shared" si="48"/>
        <v>יוצר מנוסה</v>
      </c>
      <c r="AQ107" s="1">
        <f t="shared" si="48"/>
        <v>0</v>
      </c>
      <c r="AR107" s="1">
        <f t="shared" si="48"/>
        <v>1</v>
      </c>
      <c r="AT107" s="1">
        <f t="shared" si="42"/>
        <v>0</v>
      </c>
      <c r="AU107" s="1">
        <f t="shared" si="43"/>
        <v>0</v>
      </c>
      <c r="AV107" s="1">
        <f t="shared" si="44"/>
        <v>1</v>
      </c>
    </row>
    <row r="108" spans="1:48" ht="15.75" x14ac:dyDescent="0.25">
      <c r="A108" s="46">
        <f t="shared" si="45"/>
        <v>88</v>
      </c>
      <c r="B108" s="379" t="str">
        <f>IF('תנאי סף - כלליים'!F118="","",'תנאי סף - כלליים'!F118)</f>
        <v>שחר בנימיני</v>
      </c>
      <c r="C108" s="400"/>
      <c r="D108" s="288"/>
      <c r="E108" s="288"/>
      <c r="F108" s="288"/>
      <c r="G108" s="270">
        <f>IF(B108="","",IF(AND(C108=1,D108=1,E108&gt;400000,F108&gt;400000,$L$1=2017),פרמטרים!$C$12,1))</f>
        <v>1</v>
      </c>
      <c r="H108" s="399">
        <v>14</v>
      </c>
      <c r="I108" s="399">
        <v>14</v>
      </c>
      <c r="J108" s="399">
        <v>7</v>
      </c>
      <c r="K108" s="399">
        <v>7</v>
      </c>
      <c r="L108" s="399">
        <v>9</v>
      </c>
      <c r="M108" s="401">
        <v>3.8</v>
      </c>
      <c r="N108" s="10"/>
      <c r="O108" s="399"/>
      <c r="P108" s="10"/>
      <c r="Q108" s="10"/>
      <c r="R108" s="10"/>
      <c r="S108" s="10"/>
      <c r="T108" s="259">
        <f t="shared" si="32"/>
        <v>1</v>
      </c>
      <c r="U108" s="10"/>
      <c r="V108" s="10"/>
      <c r="W108" s="10"/>
      <c r="X108" s="259">
        <f t="shared" si="46"/>
        <v>0</v>
      </c>
      <c r="Y108" s="259" t="str">
        <f t="shared" si="33"/>
        <v>יוצר מנוסה</v>
      </c>
      <c r="Z108" s="259">
        <f>'תנאי סף - כלליים'!AP118</f>
        <v>1</v>
      </c>
      <c r="AA108" s="260">
        <f t="shared" si="34"/>
        <v>1</v>
      </c>
      <c r="AB108" s="256">
        <f t="shared" si="35"/>
        <v>1</v>
      </c>
      <c r="AC108" s="1">
        <f t="shared" si="36"/>
        <v>1</v>
      </c>
      <c r="AD108" s="1">
        <f t="shared" si="37"/>
        <v>1</v>
      </c>
      <c r="AE108" s="1">
        <f t="shared" si="38"/>
        <v>1</v>
      </c>
      <c r="AF108" s="1">
        <f t="shared" si="39"/>
        <v>1</v>
      </c>
      <c r="AG108" s="1">
        <f t="shared" si="40"/>
        <v>1</v>
      </c>
      <c r="AH108" s="1">
        <f t="shared" si="47"/>
        <v>1</v>
      </c>
      <c r="AK108" s="1">
        <f t="shared" si="41"/>
        <v>1</v>
      </c>
      <c r="AM108" s="1" t="str">
        <f t="shared" si="48"/>
        <v>יוצר ותיק</v>
      </c>
      <c r="AN108" s="1" t="str">
        <f t="shared" si="48"/>
        <v>יוצר בראשית דרכו</v>
      </c>
      <c r="AO108" s="1" t="str">
        <f t="shared" si="48"/>
        <v>יוצר מנוסה</v>
      </c>
      <c r="AQ108" s="1">
        <f t="shared" si="48"/>
        <v>0</v>
      </c>
      <c r="AR108" s="1">
        <f t="shared" si="48"/>
        <v>1</v>
      </c>
      <c r="AT108" s="1">
        <f t="shared" si="42"/>
        <v>0</v>
      </c>
      <c r="AU108" s="1">
        <f t="shared" si="43"/>
        <v>0</v>
      </c>
      <c r="AV108" s="1">
        <f t="shared" si="44"/>
        <v>1</v>
      </c>
    </row>
    <row r="109" spans="1:48" ht="15.75" x14ac:dyDescent="0.25">
      <c r="A109" s="46">
        <f t="shared" si="45"/>
        <v>89</v>
      </c>
      <c r="B109" s="379" t="str">
        <f>IF('תנאי סף - כלליים'!F119="","",'תנאי סף - כלליים'!F119)</f>
        <v>רביד אברבאנל</v>
      </c>
      <c r="C109" s="400"/>
      <c r="D109" s="288"/>
      <c r="E109" s="288"/>
      <c r="F109" s="288"/>
      <c r="G109" s="270">
        <f>IF(B109="","",IF(AND(C109=1,D109=1,E109&gt;400000,F109&gt;400000,$L$1=2017),פרמטרים!$C$12,1))</f>
        <v>1</v>
      </c>
      <c r="H109" s="399">
        <v>8</v>
      </c>
      <c r="I109" s="399">
        <v>8</v>
      </c>
      <c r="J109" s="399">
        <v>4</v>
      </c>
      <c r="K109" s="399">
        <v>3</v>
      </c>
      <c r="L109" s="399">
        <v>11</v>
      </c>
      <c r="M109" s="401">
        <v>3.83</v>
      </c>
      <c r="N109" s="10"/>
      <c r="O109" s="399"/>
      <c r="P109" s="10"/>
      <c r="Q109" s="10"/>
      <c r="R109" s="10"/>
      <c r="S109" s="10"/>
      <c r="T109" s="259">
        <f t="shared" si="32"/>
        <v>1</v>
      </c>
      <c r="U109" s="10"/>
      <c r="V109" s="10"/>
      <c r="W109" s="10"/>
      <c r="X109" s="259">
        <f t="shared" si="46"/>
        <v>0</v>
      </c>
      <c r="Y109" s="259" t="str">
        <f t="shared" si="33"/>
        <v>יוצר מנוסה</v>
      </c>
      <c r="Z109" s="259">
        <f>'תנאי סף - כלליים'!AP119</f>
        <v>1</v>
      </c>
      <c r="AA109" s="260">
        <f t="shared" si="34"/>
        <v>1</v>
      </c>
      <c r="AB109" s="256">
        <f t="shared" si="35"/>
        <v>1</v>
      </c>
      <c r="AC109" s="1">
        <f t="shared" si="36"/>
        <v>1</v>
      </c>
      <c r="AD109" s="1">
        <f t="shared" si="37"/>
        <v>1</v>
      </c>
      <c r="AE109" s="1">
        <f t="shared" si="38"/>
        <v>1</v>
      </c>
      <c r="AF109" s="1">
        <f t="shared" si="39"/>
        <v>1</v>
      </c>
      <c r="AG109" s="1">
        <f t="shared" si="40"/>
        <v>1</v>
      </c>
      <c r="AH109" s="1">
        <f t="shared" si="47"/>
        <v>1</v>
      </c>
      <c r="AK109" s="1">
        <f t="shared" si="41"/>
        <v>1</v>
      </c>
      <c r="AM109" s="1" t="str">
        <f t="shared" si="48"/>
        <v>יוצר ותיק</v>
      </c>
      <c r="AN109" s="1" t="str">
        <f t="shared" si="48"/>
        <v>יוצר בראשית דרכו</v>
      </c>
      <c r="AO109" s="1" t="str">
        <f t="shared" si="48"/>
        <v>יוצר מנוסה</v>
      </c>
      <c r="AQ109" s="1">
        <f t="shared" si="48"/>
        <v>0</v>
      </c>
      <c r="AR109" s="1">
        <f t="shared" si="48"/>
        <v>1</v>
      </c>
      <c r="AT109" s="1">
        <f t="shared" si="42"/>
        <v>0</v>
      </c>
      <c r="AU109" s="1">
        <f t="shared" si="43"/>
        <v>0</v>
      </c>
      <c r="AV109" s="1">
        <f t="shared" si="44"/>
        <v>1</v>
      </c>
    </row>
    <row r="110" spans="1:48" ht="15.75" x14ac:dyDescent="0.25">
      <c r="A110" s="46">
        <f t="shared" si="45"/>
        <v>90</v>
      </c>
      <c r="B110" s="379" t="str">
        <f>IF('תנאי סף - כלליים'!F120="","",'תנאי סף - כלליים'!F120)</f>
        <v>שרון פרידמן</v>
      </c>
      <c r="C110" s="400"/>
      <c r="D110" s="288"/>
      <c r="E110" s="288"/>
      <c r="F110" s="288"/>
      <c r="G110" s="270">
        <f>IF(B110="","",IF(AND(C110=1,D110=1,E110&gt;400000,F110&gt;400000,$L$1=2017),פרמטרים!$C$12,1))</f>
        <v>1</v>
      </c>
      <c r="H110" s="399">
        <v>16</v>
      </c>
      <c r="I110" s="399">
        <v>16</v>
      </c>
      <c r="J110" s="399">
        <v>6</v>
      </c>
      <c r="K110" s="399">
        <v>6</v>
      </c>
      <c r="L110" s="399">
        <v>12</v>
      </c>
      <c r="M110" s="401">
        <v>5</v>
      </c>
      <c r="N110" s="10"/>
      <c r="O110" s="399"/>
      <c r="P110" s="10"/>
      <c r="Q110" s="10"/>
      <c r="R110" s="10"/>
      <c r="S110" s="10"/>
      <c r="T110" s="259">
        <f t="shared" si="32"/>
        <v>1</v>
      </c>
      <c r="U110" s="10"/>
      <c r="V110" s="10"/>
      <c r="W110" s="10"/>
      <c r="X110" s="259">
        <f t="shared" si="46"/>
        <v>0</v>
      </c>
      <c r="Y110" s="259" t="str">
        <f t="shared" si="33"/>
        <v>יוצר מנוסה</v>
      </c>
      <c r="Z110" s="259">
        <f>'תנאי סף - כלליים'!AP120</f>
        <v>1</v>
      </c>
      <c r="AA110" s="260">
        <f t="shared" si="34"/>
        <v>1</v>
      </c>
      <c r="AB110" s="256">
        <f t="shared" si="35"/>
        <v>1</v>
      </c>
      <c r="AC110" s="1">
        <f t="shared" si="36"/>
        <v>1</v>
      </c>
      <c r="AD110" s="1">
        <f t="shared" si="37"/>
        <v>1</v>
      </c>
      <c r="AE110" s="1">
        <f t="shared" si="38"/>
        <v>1</v>
      </c>
      <c r="AF110" s="1">
        <f t="shared" si="39"/>
        <v>1</v>
      </c>
      <c r="AG110" s="1">
        <f t="shared" si="40"/>
        <v>1</v>
      </c>
      <c r="AH110" s="1">
        <f t="shared" si="47"/>
        <v>1</v>
      </c>
      <c r="AK110" s="1">
        <f t="shared" si="41"/>
        <v>1</v>
      </c>
      <c r="AM110" s="1" t="str">
        <f t="shared" si="48"/>
        <v>יוצר ותיק</v>
      </c>
      <c r="AN110" s="1" t="str">
        <f t="shared" si="48"/>
        <v>יוצר בראשית דרכו</v>
      </c>
      <c r="AO110" s="1" t="str">
        <f t="shared" si="48"/>
        <v>יוצר מנוסה</v>
      </c>
      <c r="AQ110" s="1">
        <f t="shared" si="48"/>
        <v>0</v>
      </c>
      <c r="AR110" s="1">
        <f t="shared" si="48"/>
        <v>1</v>
      </c>
      <c r="AT110" s="1">
        <f t="shared" si="42"/>
        <v>0</v>
      </c>
      <c r="AU110" s="1">
        <f t="shared" si="43"/>
        <v>0</v>
      </c>
      <c r="AV110" s="1">
        <f t="shared" si="44"/>
        <v>1</v>
      </c>
    </row>
    <row r="111" spans="1:48" ht="15.75" x14ac:dyDescent="0.25">
      <c r="A111" s="46">
        <f t="shared" si="45"/>
        <v>91</v>
      </c>
      <c r="B111" s="379" t="str">
        <f>IF('תנאי סף - כלליים'!F121="","",'תנאי סף - כלליים'!F121)</f>
        <v>מירב כהן</v>
      </c>
      <c r="C111" s="400"/>
      <c r="D111" s="288"/>
      <c r="E111" s="288"/>
      <c r="F111" s="288"/>
      <c r="G111" s="270">
        <f>IF(B111="","",IF(AND(C111=1,D111=1,E111&gt;400000,F111&gt;400000,$L$1=2017),פרמטרים!$C$12,1))</f>
        <v>1</v>
      </c>
      <c r="H111" s="399">
        <v>15</v>
      </c>
      <c r="I111" s="399">
        <v>15</v>
      </c>
      <c r="J111" s="399">
        <v>5</v>
      </c>
      <c r="K111" s="399">
        <v>4</v>
      </c>
      <c r="L111" s="399">
        <v>5</v>
      </c>
      <c r="M111" s="401">
        <v>3.83</v>
      </c>
      <c r="N111" s="10"/>
      <c r="O111" s="399"/>
      <c r="P111" s="10"/>
      <c r="Q111" s="10"/>
      <c r="R111" s="10"/>
      <c r="S111" s="10"/>
      <c r="T111" s="259">
        <f t="shared" si="32"/>
        <v>1</v>
      </c>
      <c r="U111" s="10"/>
      <c r="V111" s="10"/>
      <c r="W111" s="10"/>
      <c r="X111" s="259">
        <f t="shared" si="46"/>
        <v>0</v>
      </c>
      <c r="Y111" s="259" t="str">
        <f t="shared" si="33"/>
        <v>יוצר מנוסה</v>
      </c>
      <c r="Z111" s="259">
        <f>'תנאי סף - כלליים'!AP121</f>
        <v>1</v>
      </c>
      <c r="AA111" s="260">
        <f t="shared" si="34"/>
        <v>1</v>
      </c>
      <c r="AB111" s="256">
        <f t="shared" si="35"/>
        <v>1</v>
      </c>
      <c r="AC111" s="1">
        <f t="shared" si="36"/>
        <v>1</v>
      </c>
      <c r="AD111" s="1">
        <f t="shared" si="37"/>
        <v>1</v>
      </c>
      <c r="AE111" s="1">
        <f t="shared" si="38"/>
        <v>1</v>
      </c>
      <c r="AF111" s="1">
        <f t="shared" si="39"/>
        <v>1</v>
      </c>
      <c r="AG111" s="1">
        <f t="shared" si="40"/>
        <v>1</v>
      </c>
      <c r="AH111" s="1">
        <f t="shared" si="47"/>
        <v>1</v>
      </c>
      <c r="AK111" s="1">
        <f t="shared" si="41"/>
        <v>1</v>
      </c>
      <c r="AM111" s="1" t="str">
        <f t="shared" si="48"/>
        <v>יוצר ותיק</v>
      </c>
      <c r="AN111" s="1" t="str">
        <f t="shared" si="48"/>
        <v>יוצר בראשית דרכו</v>
      </c>
      <c r="AO111" s="1" t="str">
        <f t="shared" si="48"/>
        <v>יוצר מנוסה</v>
      </c>
      <c r="AQ111" s="1">
        <f t="shared" si="48"/>
        <v>0</v>
      </c>
      <c r="AR111" s="1">
        <f t="shared" si="48"/>
        <v>1</v>
      </c>
      <c r="AT111" s="1">
        <f t="shared" si="42"/>
        <v>0</v>
      </c>
      <c r="AU111" s="1">
        <f t="shared" si="43"/>
        <v>0</v>
      </c>
      <c r="AV111" s="1">
        <f t="shared" si="44"/>
        <v>1</v>
      </c>
    </row>
    <row r="112" spans="1:48" ht="15.75" x14ac:dyDescent="0.25">
      <c r="A112" s="46">
        <f t="shared" si="45"/>
        <v>92</v>
      </c>
      <c r="B112" s="379" t="str">
        <f>IF('תנאי סף - כלליים'!F122="","",'תנאי סף - כלליים'!F122)</f>
        <v>קים טייטלבאום</v>
      </c>
      <c r="C112" s="400"/>
      <c r="D112" s="288"/>
      <c r="E112" s="288"/>
      <c r="F112" s="288"/>
      <c r="G112" s="270">
        <f>IF(B112="","",IF(AND(C112=1,D112=1,E112&gt;400000,F112&gt;400000,$L$1=2017),פרמטרים!$C$12,1))</f>
        <v>1</v>
      </c>
      <c r="H112" s="399">
        <v>8</v>
      </c>
      <c r="I112" s="399">
        <v>8</v>
      </c>
      <c r="J112" s="399">
        <v>7</v>
      </c>
      <c r="K112" s="399">
        <v>7</v>
      </c>
      <c r="L112" s="399">
        <v>7</v>
      </c>
      <c r="M112" s="401">
        <v>3.2</v>
      </c>
      <c r="N112" s="10"/>
      <c r="O112" s="399"/>
      <c r="P112" s="10"/>
      <c r="Q112" s="10"/>
      <c r="R112" s="10"/>
      <c r="S112" s="10"/>
      <c r="T112" s="259">
        <f t="shared" si="32"/>
        <v>1</v>
      </c>
      <c r="U112" s="10"/>
      <c r="V112" s="10"/>
      <c r="W112" s="10"/>
      <c r="X112" s="259">
        <f t="shared" si="46"/>
        <v>0</v>
      </c>
      <c r="Y112" s="259" t="str">
        <f t="shared" si="33"/>
        <v>יוצר מנוסה</v>
      </c>
      <c r="Z112" s="259">
        <f>'תנאי סף - כלליים'!AP122</f>
        <v>1</v>
      </c>
      <c r="AA112" s="260">
        <f t="shared" si="34"/>
        <v>1</v>
      </c>
      <c r="AB112" s="256">
        <f t="shared" si="35"/>
        <v>1</v>
      </c>
      <c r="AC112" s="1">
        <f t="shared" si="36"/>
        <v>1</v>
      </c>
      <c r="AD112" s="1">
        <f t="shared" si="37"/>
        <v>1</v>
      </c>
      <c r="AE112" s="1">
        <f t="shared" si="38"/>
        <v>1</v>
      </c>
      <c r="AF112" s="1">
        <f t="shared" si="39"/>
        <v>1</v>
      </c>
      <c r="AG112" s="1">
        <f t="shared" si="40"/>
        <v>1</v>
      </c>
      <c r="AH112" s="1">
        <f t="shared" si="47"/>
        <v>1</v>
      </c>
      <c r="AK112" s="1">
        <f t="shared" si="41"/>
        <v>1</v>
      </c>
      <c r="AM112" s="1" t="str">
        <f t="shared" si="48"/>
        <v>יוצר ותיק</v>
      </c>
      <c r="AN112" s="1" t="str">
        <f t="shared" si="48"/>
        <v>יוצר בראשית דרכו</v>
      </c>
      <c r="AO112" s="1" t="str">
        <f t="shared" si="48"/>
        <v>יוצר מנוסה</v>
      </c>
      <c r="AQ112" s="1">
        <f t="shared" si="48"/>
        <v>0</v>
      </c>
      <c r="AR112" s="1">
        <f t="shared" si="48"/>
        <v>1</v>
      </c>
      <c r="AT112" s="1">
        <f t="shared" si="42"/>
        <v>0</v>
      </c>
      <c r="AU112" s="1">
        <f t="shared" si="43"/>
        <v>0</v>
      </c>
      <c r="AV112" s="1">
        <f t="shared" si="44"/>
        <v>1</v>
      </c>
    </row>
    <row r="113" spans="1:48" ht="15.75" x14ac:dyDescent="0.25">
      <c r="A113" s="46">
        <f t="shared" si="45"/>
        <v>93</v>
      </c>
      <c r="B113" s="379" t="str">
        <f>IF('תנאי סף - כלליים'!F123="","",'תנאי סף - כלליים'!F123)</f>
        <v>אורי לנקינסקי</v>
      </c>
      <c r="C113" s="400"/>
      <c r="D113" s="288"/>
      <c r="E113" s="288"/>
      <c r="F113" s="288"/>
      <c r="G113" s="270">
        <f>IF(B113="","",IF(AND(C113=1,D113=1,E113&gt;400000,F113&gt;400000,$L$1=2017),פרמטרים!$C$12,1))</f>
        <v>1</v>
      </c>
      <c r="H113" s="399">
        <v>8</v>
      </c>
      <c r="I113" s="399">
        <v>8</v>
      </c>
      <c r="J113" s="399">
        <v>5</v>
      </c>
      <c r="K113" s="399">
        <v>5</v>
      </c>
      <c r="L113" s="399">
        <v>14</v>
      </c>
      <c r="M113" s="401">
        <v>2.63</v>
      </c>
      <c r="N113" s="10"/>
      <c r="O113" s="399"/>
      <c r="P113" s="10"/>
      <c r="Q113" s="10"/>
      <c r="R113" s="10"/>
      <c r="S113" s="10"/>
      <c r="T113" s="259">
        <f t="shared" si="32"/>
        <v>1</v>
      </c>
      <c r="U113" s="10"/>
      <c r="V113" s="10"/>
      <c r="W113" s="10"/>
      <c r="X113" s="259">
        <f t="shared" si="46"/>
        <v>0</v>
      </c>
      <c r="Y113" s="259" t="str">
        <f t="shared" si="33"/>
        <v>אינו עומד בתנאי סף</v>
      </c>
      <c r="Z113" s="259">
        <f>'תנאי סף - כלליים'!AP123</f>
        <v>1</v>
      </c>
      <c r="AA113" s="260">
        <f t="shared" si="34"/>
        <v>0</v>
      </c>
      <c r="AB113" s="256" t="str">
        <f t="shared" si="35"/>
        <v/>
      </c>
      <c r="AC113" s="1">
        <f t="shared" si="36"/>
        <v>1</v>
      </c>
      <c r="AD113" s="1">
        <f t="shared" si="37"/>
        <v>1</v>
      </c>
      <c r="AE113" s="1">
        <f t="shared" si="38"/>
        <v>1</v>
      </c>
      <c r="AF113" s="1">
        <f t="shared" si="39"/>
        <v>1</v>
      </c>
      <c r="AG113" s="1">
        <f t="shared" si="40"/>
        <v>1</v>
      </c>
      <c r="AH113" s="1">
        <f t="shared" si="47"/>
        <v>1</v>
      </c>
      <c r="AK113" s="1">
        <f t="shared" si="41"/>
        <v>1</v>
      </c>
      <c r="AM113" s="1" t="str">
        <f t="shared" si="48"/>
        <v>יוצר ותיק</v>
      </c>
      <c r="AN113" s="1" t="str">
        <f t="shared" si="48"/>
        <v>יוצר בראשית דרכו</v>
      </c>
      <c r="AO113" s="1" t="str">
        <f t="shared" si="48"/>
        <v>יוצר מנוסה</v>
      </c>
      <c r="AQ113" s="1">
        <f t="shared" si="48"/>
        <v>0</v>
      </c>
      <c r="AR113" s="1">
        <f t="shared" si="48"/>
        <v>1</v>
      </c>
      <c r="AT113" s="1">
        <f t="shared" si="42"/>
        <v>0</v>
      </c>
      <c r="AU113" s="1">
        <f t="shared" si="43"/>
        <v>0</v>
      </c>
      <c r="AV113" s="1">
        <f t="shared" si="44"/>
        <v>0</v>
      </c>
    </row>
    <row r="114" spans="1:48" ht="15.75" x14ac:dyDescent="0.25">
      <c r="A114" s="46">
        <f t="shared" si="45"/>
        <v>94</v>
      </c>
      <c r="B114" s="379" t="str">
        <f>IF('תנאי סף - כלליים'!F124="","",'תנאי סף - כלליים'!F124)</f>
        <v>מאי זרחי</v>
      </c>
      <c r="C114" s="400"/>
      <c r="D114" s="288"/>
      <c r="E114" s="288"/>
      <c r="F114" s="288"/>
      <c r="G114" s="270">
        <f>IF(B114="","",IF(AND(C114=1,D114=1,E114&gt;400000,F114&gt;400000,$L$1=2017),פרמטרים!$C$12,1))</f>
        <v>1</v>
      </c>
      <c r="H114" s="399">
        <v>15</v>
      </c>
      <c r="I114" s="399">
        <v>15</v>
      </c>
      <c r="J114" s="399">
        <v>10</v>
      </c>
      <c r="K114" s="399">
        <v>6</v>
      </c>
      <c r="L114" s="399">
        <v>9</v>
      </c>
      <c r="M114" s="401">
        <v>3.63</v>
      </c>
      <c r="N114" s="10"/>
      <c r="O114" s="399"/>
      <c r="P114" s="10"/>
      <c r="Q114" s="10"/>
      <c r="R114" s="10"/>
      <c r="S114" s="10"/>
      <c r="T114" s="259">
        <f t="shared" si="32"/>
        <v>1</v>
      </c>
      <c r="U114" s="10"/>
      <c r="V114" s="10"/>
      <c r="W114" s="10"/>
      <c r="X114" s="259">
        <f t="shared" si="46"/>
        <v>0</v>
      </c>
      <c r="Y114" s="259" t="str">
        <f t="shared" si="33"/>
        <v>יוצר מנוסה</v>
      </c>
      <c r="Z114" s="259">
        <f>'תנאי סף - כלליים'!AP124</f>
        <v>1</v>
      </c>
      <c r="AA114" s="260">
        <f t="shared" si="34"/>
        <v>1</v>
      </c>
      <c r="AB114" s="256">
        <f t="shared" si="35"/>
        <v>1</v>
      </c>
      <c r="AC114" s="1">
        <f t="shared" si="36"/>
        <v>1</v>
      </c>
      <c r="AD114" s="1">
        <f t="shared" si="37"/>
        <v>1</v>
      </c>
      <c r="AE114" s="1">
        <f t="shared" si="38"/>
        <v>1</v>
      </c>
      <c r="AF114" s="1">
        <f t="shared" si="39"/>
        <v>1</v>
      </c>
      <c r="AG114" s="1">
        <f t="shared" si="40"/>
        <v>1</v>
      </c>
      <c r="AH114" s="1">
        <f t="shared" si="47"/>
        <v>1</v>
      </c>
      <c r="AK114" s="1">
        <f t="shared" si="41"/>
        <v>1</v>
      </c>
      <c r="AM114" s="1" t="str">
        <f t="shared" si="48"/>
        <v>יוצר ותיק</v>
      </c>
      <c r="AN114" s="1" t="str">
        <f t="shared" si="48"/>
        <v>יוצר בראשית דרכו</v>
      </c>
      <c r="AO114" s="1" t="str">
        <f t="shared" si="48"/>
        <v>יוצר מנוסה</v>
      </c>
      <c r="AQ114" s="1">
        <f t="shared" si="48"/>
        <v>0</v>
      </c>
      <c r="AR114" s="1">
        <f t="shared" si="48"/>
        <v>1</v>
      </c>
      <c r="AT114" s="1">
        <f t="shared" si="42"/>
        <v>0</v>
      </c>
      <c r="AU114" s="1">
        <f t="shared" si="43"/>
        <v>0</v>
      </c>
      <c r="AV114" s="1">
        <f t="shared" si="44"/>
        <v>1</v>
      </c>
    </row>
    <row r="115" spans="1:48" ht="15.75" x14ac:dyDescent="0.25">
      <c r="A115" s="46">
        <f t="shared" si="45"/>
        <v>95</v>
      </c>
      <c r="B115" s="379" t="str">
        <f>IF('תנאי סף - כלליים'!F125="","",'תנאי סף - כלליים'!F125)</f>
        <v>דנה מרכוס</v>
      </c>
      <c r="C115" s="400"/>
      <c r="D115" s="288"/>
      <c r="E115" s="288"/>
      <c r="F115" s="288"/>
      <c r="G115" s="270">
        <f>IF(B115="","",IF(AND(C115=1,D115=1,E115&gt;400000,F115&gt;400000,$L$1=2017),פרמטרים!$C$12,1))</f>
        <v>1</v>
      </c>
      <c r="H115" s="399">
        <v>6</v>
      </c>
      <c r="I115" s="399">
        <v>6</v>
      </c>
      <c r="J115" s="399">
        <v>7</v>
      </c>
      <c r="K115" s="399">
        <v>5</v>
      </c>
      <c r="L115" s="399">
        <v>10</v>
      </c>
      <c r="M115" s="401">
        <v>3.1</v>
      </c>
      <c r="N115" s="10"/>
      <c r="O115" s="399"/>
      <c r="P115" s="10"/>
      <c r="Q115" s="10"/>
      <c r="R115" s="10"/>
      <c r="S115" s="10"/>
      <c r="T115" s="259">
        <f t="shared" si="32"/>
        <v>1</v>
      </c>
      <c r="U115" s="10"/>
      <c r="V115" s="10"/>
      <c r="W115" s="10"/>
      <c r="X115" s="259">
        <f t="shared" si="46"/>
        <v>0</v>
      </c>
      <c r="Y115" s="259" t="str">
        <f t="shared" si="33"/>
        <v>יוצר מנוסה</v>
      </c>
      <c r="Z115" s="259">
        <f>'תנאי סף - כלליים'!AP125</f>
        <v>1</v>
      </c>
      <c r="AA115" s="260">
        <f t="shared" si="34"/>
        <v>1</v>
      </c>
      <c r="AB115" s="256">
        <f t="shared" si="35"/>
        <v>1</v>
      </c>
      <c r="AC115" s="1">
        <f t="shared" si="36"/>
        <v>1</v>
      </c>
      <c r="AD115" s="1">
        <f t="shared" si="37"/>
        <v>1</v>
      </c>
      <c r="AE115" s="1">
        <f t="shared" si="38"/>
        <v>1</v>
      </c>
      <c r="AF115" s="1">
        <f t="shared" si="39"/>
        <v>1</v>
      </c>
      <c r="AG115" s="1">
        <f t="shared" si="40"/>
        <v>1</v>
      </c>
      <c r="AH115" s="1">
        <f t="shared" si="47"/>
        <v>1</v>
      </c>
      <c r="AK115" s="1">
        <f t="shared" si="41"/>
        <v>1</v>
      </c>
      <c r="AM115" s="1" t="str">
        <f t="shared" si="48"/>
        <v>יוצר ותיק</v>
      </c>
      <c r="AN115" s="1" t="str">
        <f t="shared" si="48"/>
        <v>יוצר בראשית דרכו</v>
      </c>
      <c r="AO115" s="1" t="str">
        <f t="shared" si="48"/>
        <v>יוצר מנוסה</v>
      </c>
      <c r="AQ115" s="1">
        <f t="shared" si="48"/>
        <v>0</v>
      </c>
      <c r="AR115" s="1">
        <f t="shared" si="48"/>
        <v>1</v>
      </c>
      <c r="AT115" s="1">
        <f t="shared" si="42"/>
        <v>0</v>
      </c>
      <c r="AU115" s="1">
        <f t="shared" si="43"/>
        <v>0</v>
      </c>
      <c r="AV115" s="1">
        <f t="shared" si="44"/>
        <v>1</v>
      </c>
    </row>
    <row r="116" spans="1:48" ht="15.75" x14ac:dyDescent="0.25">
      <c r="A116" s="46">
        <f t="shared" si="45"/>
        <v>96</v>
      </c>
      <c r="B116" s="379" t="str">
        <f>IF('תנאי סף - כלליים'!F126="","",'תנאי סף - כלליים'!F126)</f>
        <v>יואנה בליקמן</v>
      </c>
      <c r="C116" s="400"/>
      <c r="D116" s="288"/>
      <c r="E116" s="288"/>
      <c r="F116" s="288"/>
      <c r="G116" s="270">
        <f>IF(B116="","",IF(AND(C116=1,D116=1,E116&gt;400000,F116&gt;400000,$L$1=2017),פרמטרים!$C$12,1))</f>
        <v>1</v>
      </c>
      <c r="H116" s="399">
        <v>8</v>
      </c>
      <c r="I116" s="399">
        <v>8</v>
      </c>
      <c r="J116" s="399">
        <v>6</v>
      </c>
      <c r="K116" s="399">
        <v>4</v>
      </c>
      <c r="L116" s="399">
        <v>20</v>
      </c>
      <c r="M116" s="401">
        <v>2</v>
      </c>
      <c r="N116" s="10"/>
      <c r="O116" s="399"/>
      <c r="P116" s="10"/>
      <c r="Q116" s="10"/>
      <c r="R116" s="10"/>
      <c r="S116" s="10"/>
      <c r="T116" s="259">
        <f t="shared" si="32"/>
        <v>1</v>
      </c>
      <c r="U116" s="10"/>
      <c r="V116" s="10"/>
      <c r="W116" s="10"/>
      <c r="X116" s="259">
        <f t="shared" si="46"/>
        <v>0</v>
      </c>
      <c r="Y116" s="259" t="str">
        <f t="shared" si="33"/>
        <v>אינו עומד בתנאי סף</v>
      </c>
      <c r="Z116" s="259">
        <f>'תנאי סף - כלליים'!AP126</f>
        <v>1</v>
      </c>
      <c r="AA116" s="260">
        <f t="shared" si="34"/>
        <v>0</v>
      </c>
      <c r="AB116" s="256" t="str">
        <f t="shared" si="35"/>
        <v/>
      </c>
      <c r="AC116" s="1">
        <f t="shared" si="36"/>
        <v>1</v>
      </c>
      <c r="AD116" s="1">
        <f t="shared" si="37"/>
        <v>1</v>
      </c>
      <c r="AE116" s="1">
        <f t="shared" si="38"/>
        <v>1</v>
      </c>
      <c r="AF116" s="1">
        <f t="shared" si="39"/>
        <v>1</v>
      </c>
      <c r="AG116" s="1">
        <f t="shared" si="40"/>
        <v>1</v>
      </c>
      <c r="AH116" s="1">
        <f t="shared" si="47"/>
        <v>1</v>
      </c>
      <c r="AK116" s="1">
        <f t="shared" si="41"/>
        <v>1</v>
      </c>
      <c r="AM116" s="1" t="str">
        <f t="shared" si="48"/>
        <v>יוצר ותיק</v>
      </c>
      <c r="AN116" s="1" t="str">
        <f t="shared" si="48"/>
        <v>יוצר בראשית דרכו</v>
      </c>
      <c r="AO116" s="1" t="str">
        <f t="shared" si="48"/>
        <v>יוצר מנוסה</v>
      </c>
      <c r="AQ116" s="1">
        <f t="shared" si="48"/>
        <v>0</v>
      </c>
      <c r="AR116" s="1">
        <f t="shared" si="48"/>
        <v>1</v>
      </c>
      <c r="AT116" s="1">
        <f t="shared" si="42"/>
        <v>0</v>
      </c>
      <c r="AU116" s="1">
        <f t="shared" si="43"/>
        <v>0</v>
      </c>
      <c r="AV116" s="1">
        <f t="shared" si="44"/>
        <v>0</v>
      </c>
    </row>
    <row r="117" spans="1:48" ht="15.75" x14ac:dyDescent="0.25">
      <c r="A117" s="46">
        <f t="shared" si="45"/>
        <v>97</v>
      </c>
      <c r="B117" s="379" t="str">
        <f>IF('תנאי סף - כלליים'!F127="","",'תנאי סף - כלליים'!F127)</f>
        <v/>
      </c>
      <c r="C117" s="400"/>
      <c r="D117" s="288"/>
      <c r="E117" s="288"/>
      <c r="F117" s="288"/>
      <c r="G117" s="270" t="str">
        <f>IF(B117="","",IF(AND(C117=1,D117=1,E117&gt;400000,F117&gt;400000,$L$1=2017),פרמטרים!$C$12,1))</f>
        <v/>
      </c>
      <c r="H117" s="399"/>
      <c r="I117" s="399"/>
      <c r="J117" s="399"/>
      <c r="K117" s="399"/>
      <c r="L117" s="399"/>
      <c r="M117" s="401"/>
      <c r="N117" s="10"/>
      <c r="O117" s="399"/>
      <c r="P117" s="10"/>
      <c r="Q117" s="10"/>
      <c r="R117" s="10"/>
      <c r="S117" s="10"/>
      <c r="T117" s="259" t="str">
        <f t="shared" si="32"/>
        <v/>
      </c>
      <c r="U117" s="10"/>
      <c r="V117" s="10"/>
      <c r="W117" s="10"/>
      <c r="X117" s="259" t="str">
        <f t="shared" si="46"/>
        <v/>
      </c>
      <c r="Y117" s="259" t="str">
        <f t="shared" si="33"/>
        <v/>
      </c>
      <c r="Z117" s="259" t="str">
        <f>'תנאי סף - כלליים'!AP127</f>
        <v/>
      </c>
      <c r="AA117" s="260" t="str">
        <f>IF(B117="","",IF(AK117&lt;&gt;1,"בדוק נתוני הזנה",IF(OR(AND(Z117=1,Y117&lt;&gt;$AK$7,I117&gt;=2),AND($L$1=2016,I117&gt;=2)),1,0)))</f>
        <v/>
      </c>
      <c r="AB117" s="256" t="str">
        <f t="shared" si="35"/>
        <v/>
      </c>
      <c r="AC117" s="1">
        <f t="shared" si="36"/>
        <v>0</v>
      </c>
      <c r="AD117" s="1">
        <f t="shared" si="37"/>
        <v>0</v>
      </c>
      <c r="AE117" s="1">
        <f t="shared" si="38"/>
        <v>0</v>
      </c>
      <c r="AF117" s="1">
        <f t="shared" si="39"/>
        <v>0</v>
      </c>
      <c r="AG117" s="1">
        <f t="shared" si="40"/>
        <v>0</v>
      </c>
      <c r="AH117" s="1">
        <f t="shared" si="47"/>
        <v>0</v>
      </c>
      <c r="AK117" s="1">
        <f>IF(SUM(AC117:AJ117)=COUNT(AC117:AJ117),1,0)</f>
        <v>0</v>
      </c>
      <c r="AM117" s="1" t="str">
        <f t="shared" si="48"/>
        <v/>
      </c>
      <c r="AN117" s="1" t="str">
        <f t="shared" si="48"/>
        <v/>
      </c>
      <c r="AO117" s="1" t="str">
        <f t="shared" si="48"/>
        <v/>
      </c>
      <c r="AQ117" s="1" t="str">
        <f t="shared" si="48"/>
        <v/>
      </c>
      <c r="AR117" s="1" t="str">
        <f t="shared" si="48"/>
        <v/>
      </c>
      <c r="AT117" s="1">
        <f t="shared" si="42"/>
        <v>0</v>
      </c>
      <c r="AU117" s="1">
        <f>IF(AND(H117&gt;=$H$6,I117&gt;=LEFT($I$6,1)*1,I117&lt;=RIGHT($I$6,1)*1,J117&gt;=$J$6,K117&gt;=$K$6,L117&gt;=$L$6,OR(M117&gt;=$M$6,X117=1),SUMPRODUCT(--(O117:Q117&gt;=$N$6:$P$6))=COUNTA($N$4:$P$4),AV117=0),1,0)</f>
        <v>0</v>
      </c>
      <c r="AV117" s="1">
        <f t="shared" si="44"/>
        <v>0</v>
      </c>
    </row>
    <row r="118" spans="1:48" ht="15.75" x14ac:dyDescent="0.25">
      <c r="A118" s="46">
        <f t="shared" si="45"/>
        <v>98</v>
      </c>
      <c r="B118" s="379" t="str">
        <f>IF('תנאי סף - כלליים'!F128="","",'תנאי סף - כלליים'!F128)</f>
        <v>שקד מוכיח</v>
      </c>
      <c r="C118" s="400"/>
      <c r="D118" s="288"/>
      <c r="E118" s="288"/>
      <c r="F118" s="288"/>
      <c r="G118" s="270">
        <f>IF(B118="","",IF(AND(C118=1,D118=1,E118&gt;400000,F118&gt;400000,$L$1=2017),פרמטרים!$C$12,1))</f>
        <v>1</v>
      </c>
      <c r="H118" s="399">
        <v>6</v>
      </c>
      <c r="I118" s="399">
        <v>6</v>
      </c>
      <c r="J118" s="399">
        <v>9</v>
      </c>
      <c r="K118" s="399">
        <v>8</v>
      </c>
      <c r="L118" s="399">
        <v>27</v>
      </c>
      <c r="M118" s="401">
        <v>3.4</v>
      </c>
      <c r="N118" s="10"/>
      <c r="O118" s="399"/>
      <c r="P118" s="10"/>
      <c r="Q118" s="10"/>
      <c r="R118" s="10"/>
      <c r="S118" s="10"/>
      <c r="T118" s="259">
        <f t="shared" si="32"/>
        <v>1</v>
      </c>
      <c r="U118" s="10"/>
      <c r="V118" s="10"/>
      <c r="W118" s="10"/>
      <c r="X118" s="259">
        <f t="shared" si="46"/>
        <v>0</v>
      </c>
      <c r="Y118" s="259" t="str">
        <f t="shared" si="33"/>
        <v>יוצר מנוסה</v>
      </c>
      <c r="Z118" s="259">
        <f>'תנאי סף - כלליים'!AP128</f>
        <v>1</v>
      </c>
      <c r="AA118" s="260">
        <f>IF(B118="","",IF(AK118&lt;&gt;1,"בדוק נתוני הזנה",IF(OR(AND(Z118=1,Y118&lt;&gt;$AK$7,I118&gt;=2),AND($L$1=2016,I118&gt;=2)),1,0)))</f>
        <v>1</v>
      </c>
      <c r="AB118" s="256">
        <f t="shared" si="35"/>
        <v>1</v>
      </c>
      <c r="AC118" s="1">
        <f t="shared" si="36"/>
        <v>1</v>
      </c>
      <c r="AD118" s="1">
        <f t="shared" si="37"/>
        <v>1</v>
      </c>
      <c r="AE118" s="1">
        <f t="shared" si="38"/>
        <v>1</v>
      </c>
      <c r="AF118" s="1">
        <f t="shared" si="39"/>
        <v>1</v>
      </c>
      <c r="AG118" s="1">
        <f t="shared" si="40"/>
        <v>1</v>
      </c>
      <c r="AH118" s="1">
        <f t="shared" si="47"/>
        <v>1</v>
      </c>
      <c r="AK118" s="1">
        <f>IF(SUM(AC118:AJ118)=COUNT(AC118:AJ118),1,0)</f>
        <v>1</v>
      </c>
      <c r="AM118" s="1" t="str">
        <f t="shared" si="48"/>
        <v>יוצר ותיק</v>
      </c>
      <c r="AN118" s="1" t="str">
        <f t="shared" si="48"/>
        <v>יוצר בראשית דרכו</v>
      </c>
      <c r="AO118" s="1" t="str">
        <f t="shared" si="48"/>
        <v>יוצר מנוסה</v>
      </c>
      <c r="AQ118" s="1">
        <f t="shared" si="48"/>
        <v>0</v>
      </c>
      <c r="AR118" s="1">
        <f t="shared" si="48"/>
        <v>1</v>
      </c>
      <c r="AT118" s="1">
        <f t="shared" si="42"/>
        <v>0</v>
      </c>
      <c r="AU118" s="1">
        <f>IF(AND(H118&gt;=$H$6,I118&gt;=LEFT($I$6,1)*1,I118&lt;=RIGHT($I$6,1)*1,J118&gt;=$J$6,K118&gt;=$K$6,L118&gt;=$L$6,OR(M118&gt;=$M$6,X118=1),SUMPRODUCT(--(O118:Q118&gt;=$N$6:$P$6))=COUNTA($N$4:$P$4),AV118=0),1,0)</f>
        <v>0</v>
      </c>
      <c r="AV118" s="1">
        <f t="shared" si="44"/>
        <v>1</v>
      </c>
    </row>
    <row r="119" spans="1:48" ht="15.75" x14ac:dyDescent="0.25">
      <c r="A119" s="46">
        <f t="shared" si="45"/>
        <v>99</v>
      </c>
      <c r="B119" s="379" t="str">
        <f>IF('תנאי סף - כלליים'!F129="","",'תנאי סף - כלליים'!F129)</f>
        <v>שרון הללי אסא</v>
      </c>
      <c r="C119" s="400"/>
      <c r="D119" s="288"/>
      <c r="E119" s="288"/>
      <c r="F119" s="288"/>
      <c r="G119" s="270">
        <f>IF(B119="","",IF(AND(C119=1,D119=1,E119&gt;400000,F119&gt;400000,$L$1=2017),פרמטרים!$C$12,1))</f>
        <v>1</v>
      </c>
      <c r="H119" s="399">
        <v>25</v>
      </c>
      <c r="I119" s="399">
        <v>25</v>
      </c>
      <c r="J119" s="399">
        <v>13</v>
      </c>
      <c r="K119" s="399">
        <v>12</v>
      </c>
      <c r="L119" s="399">
        <v>18</v>
      </c>
      <c r="M119" s="401">
        <v>3</v>
      </c>
      <c r="N119" s="10"/>
      <c r="O119" s="399"/>
      <c r="P119" s="10"/>
      <c r="Q119" s="10"/>
      <c r="R119" s="10"/>
      <c r="S119" s="10"/>
      <c r="T119" s="259">
        <f t="shared" si="32"/>
        <v>1</v>
      </c>
      <c r="U119" s="10"/>
      <c r="V119" s="10"/>
      <c r="W119" s="10"/>
      <c r="X119" s="259">
        <f t="shared" si="46"/>
        <v>0</v>
      </c>
      <c r="Y119" s="259" t="str">
        <f t="shared" si="33"/>
        <v>יוצר מנוסה</v>
      </c>
      <c r="Z119" s="259">
        <f>'תנאי סף - כלליים'!AP129</f>
        <v>1</v>
      </c>
      <c r="AA119" s="260">
        <f>IF(B119="","",IF(AK119&lt;&gt;1,"בדוק נתוני הזנה",IF(OR(AND(Z119=1,Y119&lt;&gt;$AK$7,I119&gt;=2),AND($L$1=2016,I119&gt;=2)),1,0)))</f>
        <v>1</v>
      </c>
      <c r="AB119" s="256">
        <f t="shared" si="35"/>
        <v>1</v>
      </c>
      <c r="AC119" s="1">
        <f t="shared" si="36"/>
        <v>1</v>
      </c>
      <c r="AD119" s="1">
        <f t="shared" si="37"/>
        <v>1</v>
      </c>
      <c r="AE119" s="1">
        <f t="shared" si="38"/>
        <v>1</v>
      </c>
      <c r="AF119" s="1">
        <f t="shared" si="39"/>
        <v>1</v>
      </c>
      <c r="AG119" s="1">
        <f t="shared" si="40"/>
        <v>1</v>
      </c>
      <c r="AH119" s="1">
        <f t="shared" si="47"/>
        <v>1</v>
      </c>
      <c r="AK119" s="1">
        <f>IF(SUM(AC119:AJ119)=COUNT(AC119:AJ119),1,0)</f>
        <v>1</v>
      </c>
      <c r="AM119" s="1" t="str">
        <f t="shared" si="48"/>
        <v>יוצר ותיק</v>
      </c>
      <c r="AN119" s="1" t="str">
        <f t="shared" si="48"/>
        <v>יוצר בראשית דרכו</v>
      </c>
      <c r="AO119" s="1" t="str">
        <f t="shared" si="48"/>
        <v>יוצר מנוסה</v>
      </c>
      <c r="AQ119" s="1">
        <f t="shared" si="48"/>
        <v>0</v>
      </c>
      <c r="AR119" s="1">
        <f t="shared" si="48"/>
        <v>1</v>
      </c>
      <c r="AT119" s="1">
        <f t="shared" si="42"/>
        <v>0</v>
      </c>
      <c r="AU119" s="1">
        <f>IF(AND(H119&gt;=$H$6,I119&gt;=LEFT($I$6,1)*1,I119&lt;=RIGHT($I$6,1)*1,J119&gt;=$J$6,K119&gt;=$K$6,L119&gt;=$L$6,OR(M119&gt;=$M$6,X119=1),SUMPRODUCT(--(O119:Q119&gt;=$N$6:$P$6))=COUNTA($N$4:$P$4),AV119=0),1,0)</f>
        <v>0</v>
      </c>
      <c r="AV119" s="1">
        <f t="shared" si="44"/>
        <v>1</v>
      </c>
    </row>
    <row r="120" spans="1:48" ht="18" customHeight="1" x14ac:dyDescent="0.25">
      <c r="A120" s="46">
        <f t="shared" si="45"/>
        <v>100</v>
      </c>
      <c r="B120" s="379" t="str">
        <f>IF('תנאי סף - כלליים'!F130="","",'תנאי סף - כלליים'!F130)</f>
        <v>להקת ג'אם</v>
      </c>
      <c r="C120" s="400"/>
      <c r="D120" s="288"/>
      <c r="E120" s="288"/>
      <c r="F120" s="288"/>
      <c r="G120" s="270">
        <f>IF(B120="","",IF(AND(C120=1,D120=1,E120&gt;400000,F120&gt;400000,$L$1=2017),פרמטרים!$C$12,1))</f>
        <v>1</v>
      </c>
      <c r="H120" s="399">
        <v>6</v>
      </c>
      <c r="I120" s="399">
        <v>6</v>
      </c>
      <c r="J120" s="399">
        <v>4</v>
      </c>
      <c r="K120" s="399">
        <v>2</v>
      </c>
      <c r="L120" s="399">
        <v>7</v>
      </c>
      <c r="M120" s="401">
        <v>4.8</v>
      </c>
      <c r="N120" s="10"/>
      <c r="O120" s="399"/>
      <c r="P120" s="10"/>
      <c r="Q120" s="10"/>
      <c r="R120" s="10"/>
      <c r="S120" s="10"/>
      <c r="T120" s="259">
        <f t="shared" si="32"/>
        <v>1</v>
      </c>
      <c r="U120" s="10"/>
      <c r="V120" s="10"/>
      <c r="W120" s="10"/>
      <c r="X120" s="259">
        <f t="shared" si="46"/>
        <v>0</v>
      </c>
      <c r="Y120" s="259" t="str">
        <f t="shared" si="33"/>
        <v>יוצר מנוסה</v>
      </c>
      <c r="Z120" s="259">
        <f>'תנאי סף - כלליים'!AP130</f>
        <v>1</v>
      </c>
      <c r="AA120" s="260">
        <f>IF(B120="","",IF(AK120&lt;&gt;1,"בדוק נתוני הזנה",IF(OR(AND(Z120=1,Y120&lt;&gt;$AK$7,I120&gt;=2),AND($L$1=2016,I120&gt;=2)),1,0)))</f>
        <v>1</v>
      </c>
      <c r="AB120" s="256">
        <f t="shared" si="35"/>
        <v>1</v>
      </c>
      <c r="AC120" s="1">
        <f t="shared" si="36"/>
        <v>1</v>
      </c>
      <c r="AD120" s="1">
        <f t="shared" si="37"/>
        <v>1</v>
      </c>
      <c r="AE120" s="1">
        <f t="shared" si="38"/>
        <v>1</v>
      </c>
      <c r="AF120" s="1">
        <f t="shared" si="39"/>
        <v>1</v>
      </c>
      <c r="AG120" s="1">
        <f t="shared" si="40"/>
        <v>1</v>
      </c>
      <c r="AH120" s="1">
        <f t="shared" si="47"/>
        <v>1</v>
      </c>
      <c r="AK120" s="1">
        <f>IF(SUM(AC120:AJ120)=COUNT(AC120:AJ120),1,0)</f>
        <v>1</v>
      </c>
      <c r="AM120" s="1" t="str">
        <f t="shared" si="48"/>
        <v>יוצר ותיק</v>
      </c>
      <c r="AN120" s="1" t="str">
        <f t="shared" si="48"/>
        <v>יוצר בראשית דרכו</v>
      </c>
      <c r="AO120" s="1" t="str">
        <f t="shared" si="48"/>
        <v>יוצר מנוסה</v>
      </c>
      <c r="AQ120" s="1">
        <f t="shared" si="48"/>
        <v>0</v>
      </c>
      <c r="AR120" s="1">
        <f t="shared" si="48"/>
        <v>1</v>
      </c>
      <c r="AT120" s="1">
        <f t="shared" si="42"/>
        <v>0</v>
      </c>
      <c r="AU120" s="1">
        <f>IF(AND(H120&gt;=$H$6,I120&gt;=LEFT($I$6,1)*1,I120&lt;=RIGHT($I$6,1)*1,J120&gt;=$J$6,K120&gt;=$K$6,L120&gt;=$L$6,OR(M120&gt;=$M$6,X120=1),SUMPRODUCT(--(O120:Q120&gt;=$N$6:$P$6))=COUNTA($N$4:$P$4),AV120=0),1,0)</f>
        <v>0</v>
      </c>
      <c r="AV120" s="1">
        <f t="shared" si="44"/>
        <v>1</v>
      </c>
    </row>
    <row r="121" spans="1:48" ht="13.5" customHeight="1" x14ac:dyDescent="0.25">
      <c r="A121" s="46">
        <f t="shared" si="45"/>
        <v>101</v>
      </c>
      <c r="B121" s="379" t="str">
        <f>IF('תנאי סף - כלליים'!F131="","",'תנאי סף - כלליים'!F131)</f>
        <v>עידו גידרון</v>
      </c>
      <c r="C121" s="400" t="s">
        <v>194</v>
      </c>
      <c r="D121" s="288" t="s">
        <v>194</v>
      </c>
      <c r="E121" s="288" t="s">
        <v>194</v>
      </c>
      <c r="F121" s="288" t="s">
        <v>194</v>
      </c>
      <c r="G121" s="270" t="s">
        <v>194</v>
      </c>
      <c r="H121" s="399">
        <v>6</v>
      </c>
      <c r="I121" s="399">
        <v>6</v>
      </c>
      <c r="J121" s="399">
        <v>4</v>
      </c>
      <c r="K121" s="399">
        <v>2</v>
      </c>
      <c r="L121" s="399">
        <v>9</v>
      </c>
      <c r="M121" s="401">
        <v>2.73</v>
      </c>
      <c r="N121" s="10"/>
      <c r="O121" s="399"/>
      <c r="P121" s="10"/>
      <c r="Q121" s="10"/>
      <c r="R121" s="10"/>
      <c r="S121" s="10"/>
      <c r="T121" s="259">
        <f t="shared" ref="T121:T132" si="55">IF($B121="","",IF(M121&gt;=$R$6,1,0))</f>
        <v>1</v>
      </c>
      <c r="U121" s="10"/>
      <c r="V121" s="10"/>
      <c r="W121" s="10"/>
      <c r="X121" s="259">
        <f t="shared" ref="X121:X132" si="56">IF($B121="","",IF(AND(R121=1,S121=1,T121=1,U121&lt;3,OR(U121&lt;=1,V121=1),W121=1),1,0))</f>
        <v>0</v>
      </c>
      <c r="Y121" s="259" t="str">
        <f t="shared" ref="Y121:Y132" si="57">IF($B121="","",IF(AV121=1,$AV$20,IF(AU121=1,$AU$20,IF(AT121=1,$AT$20,$AK$7))))</f>
        <v>אינו עומד בתנאי סף</v>
      </c>
      <c r="Z121" s="259">
        <f>'תנאי סף - כלליים'!AP131</f>
        <v>1</v>
      </c>
      <c r="AA121" s="260">
        <f t="shared" ref="AA121:AA132" si="58">IF(B121="","",IF(AK121&lt;&gt;1,"בדוק נתוני הזנה",IF(OR(AND(Z121=1,Y121&lt;&gt;$AK$7,I121&gt;=2),AND($L$1=2016,I121&gt;=2)),1,0)))</f>
        <v>0</v>
      </c>
      <c r="AB121" s="256" t="str">
        <f t="shared" ref="AB121:AB132" si="59">IFERROR(IF(B121="","",INDEX($Q$5:$Q$7,MATCH(Y121,$F$5:$F$7,0))),"")</f>
        <v/>
      </c>
      <c r="AC121" s="1">
        <f t="shared" ref="AC121:AC132" si="60">IF(OR($B121="",ISERR(H121/3)),0,IF(OR(H121&lt;0,H121&lt;&gt;ROUND(H121,0)),0,1))</f>
        <v>1</v>
      </c>
      <c r="AD121" s="1">
        <f t="shared" ref="AD121:AD132" si="61">IF(OR($B121="",ISERR(I121/3)),0,IF(OR(I121&lt;0,I121&lt;&gt;ROUND(I121,0)),0,1))</f>
        <v>1</v>
      </c>
      <c r="AE121" s="1">
        <f t="shared" ref="AE121:AE132" si="62">IF(OR($B121="",ISERR(J121/3)),0,IF(OR(J121&lt;0,J121&lt;&gt;ROUND(J121,0)),0,1))</f>
        <v>1</v>
      </c>
      <c r="AF121" s="1">
        <f t="shared" ref="AF121:AF132" si="63">IF(OR($B121="",ISERR(K121/3)),0,IF(OR(K121&lt;0,K121&lt;&gt;ROUND(K121,0)),0,1))</f>
        <v>1</v>
      </c>
      <c r="AG121" s="1">
        <f t="shared" ref="AG121:AG132" si="64">IF(OR($B121="",ISERR(L121/3)),0,IF(OR(L121&lt;0,L121&lt;&gt;ROUND(L121,0)),0,1))</f>
        <v>1</v>
      </c>
      <c r="AH121" s="1">
        <f t="shared" ref="AH121:AH132" si="65">IF(OR($B121="",ISERR(M121/3)),0,IF(M121&lt;0,0,1))</f>
        <v>1</v>
      </c>
      <c r="AK121" s="1">
        <f t="shared" ref="AK121:AK131" si="66">IF(SUM(AC121:AJ121)=COUNT(AC121:AJ121),1,0)</f>
        <v>1</v>
      </c>
      <c r="AM121" s="1" t="str">
        <f t="shared" si="48"/>
        <v>יוצר ותיק</v>
      </c>
      <c r="AN121" s="1" t="str">
        <f t="shared" si="48"/>
        <v>יוצר בראשית דרכו</v>
      </c>
      <c r="AO121" s="1" t="str">
        <f t="shared" si="48"/>
        <v>יוצר מנוסה</v>
      </c>
      <c r="AQ121" s="1">
        <f t="shared" si="48"/>
        <v>0</v>
      </c>
      <c r="AR121" s="1">
        <f t="shared" si="48"/>
        <v>1</v>
      </c>
      <c r="AT121" s="1">
        <f t="shared" ref="AT121:AT132" si="67">IF(AND(H121&gt;=$H$5,I121&gt;=$I$5,J121&gt;=$J$5,K121&gt;=$K$5,L121&gt;=$L$5,OR((M121&gt;=$M$5),AND(N121=1,M121&gt;=$R$6)),SUMPRODUCT(--(O121:Q121&gt;=$N$5:$P$5))=COUNTA($N$4:$P$4),AV121=0),1,0)</f>
        <v>0</v>
      </c>
      <c r="AU121" s="1">
        <f t="shared" ref="AU121:AU132" si="68">IF(AND(H121&gt;=$H$6,I121&gt;=LEFT($I$6,1)*1,I121&lt;=RIGHT($I$6,1)*1,J121&gt;=$J$6,K121&gt;=$K$6,L121&gt;=$L$6,OR(M121&gt;=$M$6,X121=1),SUMPRODUCT(--(O121:Q121&gt;=$N$6:$P$6))=COUNTA($N$4:$P$4),AV121=0),1,0)</f>
        <v>0</v>
      </c>
      <c r="AV121" s="1">
        <f t="shared" ref="AV121:AV132" si="69">IF(AND(H121&gt;=$H$7,I121&gt;=$I$7,J121&gt;=$J$7,K121&gt;=$K$7,L121&gt;=$L$7,OR(M121&gt;=$M$7,X121=1),SUMPRODUCT(--(O121:Q121&gt;=$N$7:$P$7))=COUNTA($N$4:$P$4)),1,0)</f>
        <v>0</v>
      </c>
    </row>
    <row r="122" spans="1:48" ht="15.75" x14ac:dyDescent="0.25">
      <c r="A122" s="46">
        <f t="shared" si="45"/>
        <v>102</v>
      </c>
      <c r="B122" s="379" t="str">
        <f>IF('תנאי סף - כלליים'!F132="","",'תנאי סף - כלליים'!F132)</f>
        <v>אלה גרינבוים</v>
      </c>
      <c r="C122" s="400"/>
      <c r="D122" s="288"/>
      <c r="E122" s="288"/>
      <c r="F122" s="288"/>
      <c r="G122" s="270"/>
      <c r="H122" s="399">
        <v>5</v>
      </c>
      <c r="I122" s="399">
        <v>5</v>
      </c>
      <c r="J122" s="399">
        <v>10</v>
      </c>
      <c r="K122" s="399">
        <v>9</v>
      </c>
      <c r="L122" s="399">
        <v>55</v>
      </c>
      <c r="M122" s="401">
        <v>2.0699999999999998</v>
      </c>
      <c r="N122" s="10"/>
      <c r="O122" s="399"/>
      <c r="P122" s="10"/>
      <c r="Q122" s="10"/>
      <c r="R122" s="10"/>
      <c r="S122" s="10"/>
      <c r="T122" s="259">
        <f t="shared" si="55"/>
        <v>1</v>
      </c>
      <c r="U122" s="10"/>
      <c r="V122" s="10"/>
      <c r="W122" s="10"/>
      <c r="X122" s="259">
        <f t="shared" si="56"/>
        <v>0</v>
      </c>
      <c r="Y122" s="259" t="str">
        <f t="shared" si="57"/>
        <v>אינו עומד בתנאי סף</v>
      </c>
      <c r="Z122" s="259">
        <f>'תנאי סף - כלליים'!AP132</f>
        <v>1</v>
      </c>
      <c r="AA122" s="260">
        <f t="shared" si="58"/>
        <v>0</v>
      </c>
      <c r="AB122" s="256" t="str">
        <f t="shared" si="59"/>
        <v/>
      </c>
      <c r="AC122" s="1">
        <f t="shared" si="60"/>
        <v>1</v>
      </c>
      <c r="AD122" s="1">
        <f t="shared" si="61"/>
        <v>1</v>
      </c>
      <c r="AE122" s="1">
        <f t="shared" si="62"/>
        <v>1</v>
      </c>
      <c r="AF122" s="1">
        <f t="shared" si="63"/>
        <v>1</v>
      </c>
      <c r="AG122" s="1">
        <f t="shared" si="64"/>
        <v>1</v>
      </c>
      <c r="AH122" s="1">
        <f t="shared" si="65"/>
        <v>1</v>
      </c>
      <c r="AK122" s="1">
        <f t="shared" si="66"/>
        <v>1</v>
      </c>
      <c r="AM122" s="1" t="str">
        <f t="shared" ref="AM122:AR132" si="70">IF($B122="","",AM$20)</f>
        <v>יוצר ותיק</v>
      </c>
      <c r="AN122" s="1" t="str">
        <f t="shared" si="70"/>
        <v>יוצר בראשית דרכו</v>
      </c>
      <c r="AO122" s="1" t="str">
        <f t="shared" si="70"/>
        <v>יוצר מנוסה</v>
      </c>
      <c r="AQ122" s="1">
        <f t="shared" si="70"/>
        <v>0</v>
      </c>
      <c r="AR122" s="1">
        <f t="shared" si="70"/>
        <v>1</v>
      </c>
      <c r="AT122" s="1">
        <f t="shared" si="67"/>
        <v>0</v>
      </c>
      <c r="AU122" s="1">
        <f t="shared" si="68"/>
        <v>0</v>
      </c>
      <c r="AV122" s="1">
        <f t="shared" si="69"/>
        <v>0</v>
      </c>
    </row>
    <row r="123" spans="1:48" ht="15.75" x14ac:dyDescent="0.25">
      <c r="A123" s="46">
        <f t="shared" si="45"/>
        <v>103</v>
      </c>
      <c r="B123" s="379" t="str">
        <f>IF('תנאי סף - כלליים'!F133="","",'תנאי סף - כלליים'!F133)</f>
        <v>קלי איאש</v>
      </c>
      <c r="C123" s="400"/>
      <c r="D123" s="288"/>
      <c r="E123" s="288"/>
      <c r="F123" s="288"/>
      <c r="G123" s="270"/>
      <c r="H123" s="399">
        <v>10</v>
      </c>
      <c r="I123" s="399">
        <v>10</v>
      </c>
      <c r="J123" s="399">
        <v>3</v>
      </c>
      <c r="K123" s="399">
        <v>3</v>
      </c>
      <c r="L123" s="399">
        <v>5</v>
      </c>
      <c r="M123" s="401">
        <v>2.6</v>
      </c>
      <c r="N123" s="10"/>
      <c r="O123" s="399"/>
      <c r="P123" s="10"/>
      <c r="Q123" s="10"/>
      <c r="R123" s="10"/>
      <c r="S123" s="10"/>
      <c r="T123" s="259">
        <f t="shared" si="55"/>
        <v>1</v>
      </c>
      <c r="U123" s="10"/>
      <c r="V123" s="10"/>
      <c r="W123" s="10"/>
      <c r="X123" s="259">
        <f t="shared" si="56"/>
        <v>0</v>
      </c>
      <c r="Y123" s="259" t="str">
        <f t="shared" si="57"/>
        <v>אינו עומד בתנאי סף</v>
      </c>
      <c r="Z123" s="259">
        <f>'תנאי סף - כלליים'!AP133</f>
        <v>1</v>
      </c>
      <c r="AA123" s="260">
        <f t="shared" si="58"/>
        <v>0</v>
      </c>
      <c r="AB123" s="256" t="str">
        <f t="shared" si="59"/>
        <v/>
      </c>
      <c r="AC123" s="1">
        <f t="shared" si="60"/>
        <v>1</v>
      </c>
      <c r="AD123" s="1">
        <f t="shared" si="61"/>
        <v>1</v>
      </c>
      <c r="AE123" s="1">
        <f t="shared" si="62"/>
        <v>1</v>
      </c>
      <c r="AF123" s="1">
        <f t="shared" si="63"/>
        <v>1</v>
      </c>
      <c r="AG123" s="1">
        <f t="shared" si="64"/>
        <v>1</v>
      </c>
      <c r="AH123" s="1">
        <f t="shared" si="65"/>
        <v>1</v>
      </c>
      <c r="AK123" s="1">
        <f t="shared" si="66"/>
        <v>1</v>
      </c>
      <c r="AM123" s="1" t="str">
        <f t="shared" si="70"/>
        <v>יוצר ותיק</v>
      </c>
      <c r="AN123" s="1" t="str">
        <f t="shared" si="70"/>
        <v>יוצר בראשית דרכו</v>
      </c>
      <c r="AO123" s="1" t="str">
        <f t="shared" si="70"/>
        <v>יוצר מנוסה</v>
      </c>
      <c r="AQ123" s="1">
        <f t="shared" si="70"/>
        <v>0</v>
      </c>
      <c r="AR123" s="1">
        <f t="shared" si="70"/>
        <v>1</v>
      </c>
      <c r="AT123" s="1">
        <f t="shared" si="67"/>
        <v>0</v>
      </c>
      <c r="AU123" s="1">
        <f t="shared" si="68"/>
        <v>0</v>
      </c>
      <c r="AV123" s="1">
        <f t="shared" si="69"/>
        <v>0</v>
      </c>
    </row>
    <row r="124" spans="1:48" ht="15.75" x14ac:dyDescent="0.25">
      <c r="A124" s="46">
        <f t="shared" si="45"/>
        <v>104</v>
      </c>
      <c r="B124" s="379" t="str">
        <f>IF('תנאי סף - כלליים'!F134="","",'תנאי סף - כלליים'!F134)</f>
        <v>מעין דנוך</v>
      </c>
      <c r="C124" s="400"/>
      <c r="D124" s="288"/>
      <c r="E124" s="288"/>
      <c r="F124" s="288"/>
      <c r="G124" s="270"/>
      <c r="H124" s="399">
        <v>14</v>
      </c>
      <c r="I124" s="399">
        <v>14</v>
      </c>
      <c r="J124" s="399">
        <v>4</v>
      </c>
      <c r="K124" s="399">
        <v>4</v>
      </c>
      <c r="L124" s="399">
        <v>9</v>
      </c>
      <c r="M124" s="401">
        <v>2.0299999999999998</v>
      </c>
      <c r="N124" s="10"/>
      <c r="O124" s="399"/>
      <c r="P124" s="10"/>
      <c r="Q124" s="10"/>
      <c r="R124" s="10"/>
      <c r="S124" s="10"/>
      <c r="T124" s="259">
        <f t="shared" si="55"/>
        <v>1</v>
      </c>
      <c r="U124" s="10"/>
      <c r="V124" s="10"/>
      <c r="W124" s="10"/>
      <c r="X124" s="259">
        <f t="shared" si="56"/>
        <v>0</v>
      </c>
      <c r="Y124" s="259" t="str">
        <f t="shared" si="57"/>
        <v>אינו עומד בתנאי סף</v>
      </c>
      <c r="Z124" s="259">
        <f>'תנאי סף - כלליים'!AP134</f>
        <v>1</v>
      </c>
      <c r="AA124" s="260">
        <f t="shared" si="58"/>
        <v>0</v>
      </c>
      <c r="AB124" s="256" t="str">
        <f t="shared" si="59"/>
        <v/>
      </c>
      <c r="AC124" s="1">
        <f t="shared" si="60"/>
        <v>1</v>
      </c>
      <c r="AD124" s="1">
        <f t="shared" si="61"/>
        <v>1</v>
      </c>
      <c r="AE124" s="1">
        <f t="shared" si="62"/>
        <v>1</v>
      </c>
      <c r="AF124" s="1">
        <f t="shared" si="63"/>
        <v>1</v>
      </c>
      <c r="AG124" s="1">
        <f t="shared" si="64"/>
        <v>1</v>
      </c>
      <c r="AH124" s="1">
        <f t="shared" si="65"/>
        <v>1</v>
      </c>
      <c r="AK124" s="1">
        <f t="shared" si="66"/>
        <v>1</v>
      </c>
      <c r="AM124" s="1" t="str">
        <f t="shared" si="70"/>
        <v>יוצר ותיק</v>
      </c>
      <c r="AN124" s="1" t="str">
        <f t="shared" si="70"/>
        <v>יוצר בראשית דרכו</v>
      </c>
      <c r="AO124" s="1" t="str">
        <f t="shared" si="70"/>
        <v>יוצר מנוסה</v>
      </c>
      <c r="AQ124" s="1">
        <f t="shared" si="70"/>
        <v>0</v>
      </c>
      <c r="AR124" s="1">
        <f t="shared" si="70"/>
        <v>1</v>
      </c>
      <c r="AT124" s="1">
        <f t="shared" si="67"/>
        <v>0</v>
      </c>
      <c r="AU124" s="1">
        <f t="shared" si="68"/>
        <v>0</v>
      </c>
      <c r="AV124" s="1">
        <f t="shared" si="69"/>
        <v>0</v>
      </c>
    </row>
    <row r="125" spans="1:48" ht="15.75" x14ac:dyDescent="0.25">
      <c r="A125" s="46">
        <f t="shared" si="45"/>
        <v>105</v>
      </c>
      <c r="B125" s="379" t="str">
        <f>IF('תנאי סף - כלליים'!F135="","",'תנאי סף - כלליים'!F135)</f>
        <v>מורן אברג'ל יצחקי</v>
      </c>
      <c r="C125" s="400"/>
      <c r="D125" s="288"/>
      <c r="E125" s="288"/>
      <c r="F125" s="288"/>
      <c r="G125" s="270"/>
      <c r="H125" s="399">
        <v>12</v>
      </c>
      <c r="I125" s="399">
        <v>12</v>
      </c>
      <c r="J125" s="399">
        <v>6</v>
      </c>
      <c r="K125" s="399">
        <v>6</v>
      </c>
      <c r="L125" s="399">
        <v>6</v>
      </c>
      <c r="M125" s="401">
        <v>3.37</v>
      </c>
      <c r="N125" s="10"/>
      <c r="O125" s="399"/>
      <c r="P125" s="10"/>
      <c r="Q125" s="10"/>
      <c r="R125" s="10"/>
      <c r="S125" s="10"/>
      <c r="T125" s="259">
        <f t="shared" si="55"/>
        <v>1</v>
      </c>
      <c r="U125" s="10"/>
      <c r="V125" s="10"/>
      <c r="W125" s="10"/>
      <c r="X125" s="259">
        <f t="shared" si="56"/>
        <v>0</v>
      </c>
      <c r="Y125" s="259" t="str">
        <f t="shared" si="57"/>
        <v>יוצר מנוסה</v>
      </c>
      <c r="Z125" s="259">
        <f>'תנאי סף - כלליים'!AP135</f>
        <v>1</v>
      </c>
      <c r="AA125" s="260">
        <f t="shared" si="58"/>
        <v>1</v>
      </c>
      <c r="AB125" s="256">
        <f t="shared" si="59"/>
        <v>1</v>
      </c>
      <c r="AC125" s="1">
        <f t="shared" si="60"/>
        <v>1</v>
      </c>
      <c r="AD125" s="1">
        <f t="shared" si="61"/>
        <v>1</v>
      </c>
      <c r="AE125" s="1">
        <f t="shared" si="62"/>
        <v>1</v>
      </c>
      <c r="AF125" s="1">
        <f t="shared" si="63"/>
        <v>1</v>
      </c>
      <c r="AG125" s="1">
        <f t="shared" si="64"/>
        <v>1</v>
      </c>
      <c r="AH125" s="1">
        <f t="shared" si="65"/>
        <v>1</v>
      </c>
      <c r="AK125" s="1">
        <f t="shared" si="66"/>
        <v>1</v>
      </c>
      <c r="AM125" s="1" t="str">
        <f t="shared" si="70"/>
        <v>יוצר ותיק</v>
      </c>
      <c r="AN125" s="1" t="str">
        <f t="shared" si="70"/>
        <v>יוצר בראשית דרכו</v>
      </c>
      <c r="AO125" s="1" t="str">
        <f t="shared" si="70"/>
        <v>יוצר מנוסה</v>
      </c>
      <c r="AQ125" s="1">
        <f t="shared" si="70"/>
        <v>0</v>
      </c>
      <c r="AR125" s="1">
        <f t="shared" si="70"/>
        <v>1</v>
      </c>
      <c r="AT125" s="1">
        <f t="shared" si="67"/>
        <v>0</v>
      </c>
      <c r="AU125" s="1">
        <f t="shared" si="68"/>
        <v>0</v>
      </c>
      <c r="AV125" s="1">
        <f t="shared" si="69"/>
        <v>1</v>
      </c>
    </row>
    <row r="126" spans="1:48" ht="15.75" x14ac:dyDescent="0.25">
      <c r="A126" s="46">
        <f t="shared" si="45"/>
        <v>106</v>
      </c>
      <c r="B126" s="379" t="str">
        <f>IF('תנאי סף - כלליים'!F136="","",'תנאי סף - כלליים'!F136)</f>
        <v>מיכל בן צבי</v>
      </c>
      <c r="C126" s="400"/>
      <c r="D126" s="288"/>
      <c r="E126" s="288"/>
      <c r="F126" s="288"/>
      <c r="G126" s="270"/>
      <c r="H126" s="399">
        <v>7</v>
      </c>
      <c r="I126" s="399">
        <v>7</v>
      </c>
      <c r="J126" s="399">
        <v>4</v>
      </c>
      <c r="K126" s="399">
        <v>4</v>
      </c>
      <c r="L126" s="399">
        <v>7</v>
      </c>
      <c r="M126" s="401">
        <v>3.37</v>
      </c>
      <c r="N126" s="10"/>
      <c r="O126" s="399"/>
      <c r="P126" s="10"/>
      <c r="Q126" s="10"/>
      <c r="R126" s="10"/>
      <c r="S126" s="10"/>
      <c r="T126" s="259">
        <f t="shared" si="55"/>
        <v>1</v>
      </c>
      <c r="U126" s="10"/>
      <c r="V126" s="10"/>
      <c r="W126" s="10"/>
      <c r="X126" s="259">
        <f t="shared" si="56"/>
        <v>0</v>
      </c>
      <c r="Y126" s="259" t="str">
        <f t="shared" si="57"/>
        <v>יוצר מנוסה</v>
      </c>
      <c r="Z126" s="259">
        <f>'תנאי סף - כלליים'!AP136</f>
        <v>1</v>
      </c>
      <c r="AA126" s="260">
        <f t="shared" si="58"/>
        <v>1</v>
      </c>
      <c r="AB126" s="256">
        <f t="shared" si="59"/>
        <v>1</v>
      </c>
      <c r="AC126" s="1">
        <f t="shared" si="60"/>
        <v>1</v>
      </c>
      <c r="AD126" s="1">
        <f t="shared" si="61"/>
        <v>1</v>
      </c>
      <c r="AE126" s="1">
        <f t="shared" si="62"/>
        <v>1</v>
      </c>
      <c r="AF126" s="1">
        <f t="shared" si="63"/>
        <v>1</v>
      </c>
      <c r="AG126" s="1">
        <f t="shared" si="64"/>
        <v>1</v>
      </c>
      <c r="AH126" s="1">
        <f t="shared" si="65"/>
        <v>1</v>
      </c>
      <c r="AK126" s="1">
        <f t="shared" si="66"/>
        <v>1</v>
      </c>
      <c r="AM126" s="1" t="str">
        <f t="shared" si="70"/>
        <v>יוצר ותיק</v>
      </c>
      <c r="AN126" s="1" t="str">
        <f t="shared" si="70"/>
        <v>יוצר בראשית דרכו</v>
      </c>
      <c r="AO126" s="1" t="str">
        <f t="shared" si="70"/>
        <v>יוצר מנוסה</v>
      </c>
      <c r="AQ126" s="1">
        <f t="shared" si="70"/>
        <v>0</v>
      </c>
      <c r="AR126" s="1">
        <f t="shared" si="70"/>
        <v>1</v>
      </c>
      <c r="AT126" s="1">
        <f t="shared" si="67"/>
        <v>0</v>
      </c>
      <c r="AU126" s="1">
        <f t="shared" si="68"/>
        <v>0</v>
      </c>
      <c r="AV126" s="1">
        <f t="shared" si="69"/>
        <v>1</v>
      </c>
    </row>
    <row r="127" spans="1:48" ht="15.75" x14ac:dyDescent="0.25">
      <c r="A127" s="46">
        <f t="shared" si="45"/>
        <v>107</v>
      </c>
      <c r="B127" s="379" t="str">
        <f>IF('תנאי סף - כלליים'!F137="","",'תנאי סף - כלליים'!F137)</f>
        <v>מיקה קופפר</v>
      </c>
      <c r="C127" s="400"/>
      <c r="D127" s="288"/>
      <c r="E127" s="288"/>
      <c r="F127" s="288"/>
      <c r="G127" s="270"/>
      <c r="H127" s="399">
        <v>7</v>
      </c>
      <c r="I127" s="399">
        <v>7</v>
      </c>
      <c r="J127" s="399">
        <v>7</v>
      </c>
      <c r="K127" s="399">
        <v>7</v>
      </c>
      <c r="L127" s="399">
        <v>8</v>
      </c>
      <c r="M127" s="401">
        <v>4.0999999999999996</v>
      </c>
      <c r="N127" s="10"/>
      <c r="O127" s="399"/>
      <c r="P127" s="10"/>
      <c r="Q127" s="10"/>
      <c r="R127" s="10"/>
      <c r="S127" s="10"/>
      <c r="T127" s="259">
        <f t="shared" si="55"/>
        <v>1</v>
      </c>
      <c r="U127" s="10"/>
      <c r="V127" s="10"/>
      <c r="W127" s="10"/>
      <c r="X127" s="259">
        <f t="shared" si="56"/>
        <v>0</v>
      </c>
      <c r="Y127" s="259" t="str">
        <f t="shared" si="57"/>
        <v>יוצר מנוסה</v>
      </c>
      <c r="Z127" s="259">
        <f>'תנאי סף - כלליים'!AP137</f>
        <v>1</v>
      </c>
      <c r="AA127" s="260">
        <f t="shared" si="58"/>
        <v>1</v>
      </c>
      <c r="AB127" s="256">
        <f t="shared" si="59"/>
        <v>1</v>
      </c>
      <c r="AC127" s="1">
        <f t="shared" si="60"/>
        <v>1</v>
      </c>
      <c r="AD127" s="1">
        <f t="shared" si="61"/>
        <v>1</v>
      </c>
      <c r="AE127" s="1">
        <f t="shared" si="62"/>
        <v>1</v>
      </c>
      <c r="AF127" s="1">
        <f t="shared" si="63"/>
        <v>1</v>
      </c>
      <c r="AG127" s="1">
        <f t="shared" si="64"/>
        <v>1</v>
      </c>
      <c r="AH127" s="1">
        <f t="shared" si="65"/>
        <v>1</v>
      </c>
      <c r="AK127" s="1">
        <f t="shared" si="66"/>
        <v>1</v>
      </c>
      <c r="AM127" s="1" t="str">
        <f t="shared" si="70"/>
        <v>יוצר ותיק</v>
      </c>
      <c r="AN127" s="1" t="str">
        <f t="shared" si="70"/>
        <v>יוצר בראשית דרכו</v>
      </c>
      <c r="AO127" s="1" t="str">
        <f t="shared" si="70"/>
        <v>יוצר מנוסה</v>
      </c>
      <c r="AQ127" s="1">
        <f t="shared" si="70"/>
        <v>0</v>
      </c>
      <c r="AR127" s="1">
        <f t="shared" si="70"/>
        <v>1</v>
      </c>
      <c r="AT127" s="1">
        <f t="shared" si="67"/>
        <v>0</v>
      </c>
      <c r="AU127" s="1">
        <f t="shared" si="68"/>
        <v>0</v>
      </c>
      <c r="AV127" s="1">
        <f t="shared" si="69"/>
        <v>1</v>
      </c>
    </row>
    <row r="128" spans="1:48" ht="15.75" x14ac:dyDescent="0.25">
      <c r="A128" s="46">
        <f t="shared" si="45"/>
        <v>108</v>
      </c>
      <c r="B128" s="379" t="str">
        <f>IF('תנאי סף - כלליים'!F138="","",'תנאי סף - כלליים'!F138)</f>
        <v/>
      </c>
      <c r="C128" s="400"/>
      <c r="D128" s="288"/>
      <c r="E128" s="288"/>
      <c r="F128" s="288"/>
      <c r="G128" s="270"/>
      <c r="H128" s="399"/>
      <c r="I128" s="399"/>
      <c r="J128" s="399"/>
      <c r="K128" s="399"/>
      <c r="L128" s="399"/>
      <c r="M128" s="401"/>
      <c r="N128" s="10"/>
      <c r="O128" s="399"/>
      <c r="P128" s="10"/>
      <c r="Q128" s="10"/>
      <c r="R128" s="10"/>
      <c r="S128" s="10"/>
      <c r="T128" s="259" t="str">
        <f t="shared" si="55"/>
        <v/>
      </c>
      <c r="U128" s="10"/>
      <c r="V128" s="10"/>
      <c r="W128" s="10"/>
      <c r="X128" s="259" t="str">
        <f t="shared" si="56"/>
        <v/>
      </c>
      <c r="Y128" s="259" t="str">
        <f t="shared" si="57"/>
        <v/>
      </c>
      <c r="Z128" s="259" t="str">
        <f>'תנאי סף - כלליים'!AP138</f>
        <v/>
      </c>
      <c r="AA128" s="260" t="str">
        <f t="shared" si="58"/>
        <v/>
      </c>
      <c r="AB128" s="256" t="str">
        <f t="shared" si="59"/>
        <v/>
      </c>
      <c r="AC128" s="1">
        <f t="shared" si="60"/>
        <v>0</v>
      </c>
      <c r="AD128" s="1">
        <f t="shared" si="61"/>
        <v>0</v>
      </c>
      <c r="AE128" s="1">
        <f t="shared" si="62"/>
        <v>0</v>
      </c>
      <c r="AF128" s="1">
        <f t="shared" si="63"/>
        <v>0</v>
      </c>
      <c r="AG128" s="1">
        <f t="shared" si="64"/>
        <v>0</v>
      </c>
      <c r="AH128" s="1">
        <f t="shared" si="65"/>
        <v>0</v>
      </c>
      <c r="AK128" s="1">
        <f t="shared" si="66"/>
        <v>0</v>
      </c>
      <c r="AM128" s="1" t="str">
        <f t="shared" si="70"/>
        <v/>
      </c>
      <c r="AN128" s="1" t="str">
        <f t="shared" si="70"/>
        <v/>
      </c>
      <c r="AO128" s="1" t="str">
        <f t="shared" si="70"/>
        <v/>
      </c>
      <c r="AQ128" s="1" t="str">
        <f t="shared" si="70"/>
        <v/>
      </c>
      <c r="AR128" s="1" t="str">
        <f t="shared" si="70"/>
        <v/>
      </c>
      <c r="AT128" s="1">
        <f t="shared" si="67"/>
        <v>0</v>
      </c>
      <c r="AU128" s="1">
        <f t="shared" si="68"/>
        <v>0</v>
      </c>
      <c r="AV128" s="1">
        <f t="shared" si="69"/>
        <v>0</v>
      </c>
    </row>
    <row r="129" spans="1:48" ht="15.75" x14ac:dyDescent="0.25">
      <c r="A129" s="46">
        <f t="shared" si="45"/>
        <v>109</v>
      </c>
      <c r="B129" s="379" t="str">
        <f>IF('תנאי סף - כלליים'!F139="","",'תנאי סף - כלליים'!F139)</f>
        <v>נועה שילה</v>
      </c>
      <c r="C129" s="400"/>
      <c r="D129" s="288"/>
      <c r="E129" s="288"/>
      <c r="F129" s="288"/>
      <c r="G129" s="270"/>
      <c r="H129" s="399">
        <v>9</v>
      </c>
      <c r="I129" s="399">
        <v>9</v>
      </c>
      <c r="J129" s="399">
        <v>7</v>
      </c>
      <c r="K129" s="399">
        <v>6</v>
      </c>
      <c r="L129" s="399">
        <v>10</v>
      </c>
      <c r="M129" s="401">
        <v>3.1</v>
      </c>
      <c r="N129" s="10"/>
      <c r="O129" s="399"/>
      <c r="P129" s="10"/>
      <c r="Q129" s="10"/>
      <c r="R129" s="10"/>
      <c r="S129" s="10"/>
      <c r="T129" s="259">
        <f t="shared" si="55"/>
        <v>1</v>
      </c>
      <c r="U129" s="10"/>
      <c r="V129" s="10"/>
      <c r="W129" s="10"/>
      <c r="X129" s="259">
        <f t="shared" si="56"/>
        <v>0</v>
      </c>
      <c r="Y129" s="259" t="str">
        <f t="shared" si="57"/>
        <v>יוצר מנוסה</v>
      </c>
      <c r="Z129" s="259">
        <f>'תנאי סף - כלליים'!AP139</f>
        <v>1</v>
      </c>
      <c r="AA129" s="260">
        <f t="shared" si="58"/>
        <v>1</v>
      </c>
      <c r="AB129" s="256">
        <f t="shared" si="59"/>
        <v>1</v>
      </c>
      <c r="AC129" s="1">
        <f t="shared" si="60"/>
        <v>1</v>
      </c>
      <c r="AD129" s="1">
        <f t="shared" si="61"/>
        <v>1</v>
      </c>
      <c r="AE129" s="1">
        <f t="shared" si="62"/>
        <v>1</v>
      </c>
      <c r="AF129" s="1">
        <f t="shared" si="63"/>
        <v>1</v>
      </c>
      <c r="AG129" s="1">
        <f t="shared" si="64"/>
        <v>1</v>
      </c>
      <c r="AH129" s="1">
        <f t="shared" si="65"/>
        <v>1</v>
      </c>
      <c r="AK129" s="1">
        <f t="shared" si="66"/>
        <v>1</v>
      </c>
      <c r="AM129" s="1" t="str">
        <f t="shared" si="70"/>
        <v>יוצר ותיק</v>
      </c>
      <c r="AN129" s="1" t="str">
        <f t="shared" si="70"/>
        <v>יוצר בראשית דרכו</v>
      </c>
      <c r="AO129" s="1" t="str">
        <f t="shared" si="70"/>
        <v>יוצר מנוסה</v>
      </c>
      <c r="AQ129" s="1">
        <f t="shared" si="70"/>
        <v>0</v>
      </c>
      <c r="AR129" s="1">
        <f t="shared" si="70"/>
        <v>1</v>
      </c>
      <c r="AT129" s="1">
        <f t="shared" si="67"/>
        <v>0</v>
      </c>
      <c r="AU129" s="1">
        <f t="shared" si="68"/>
        <v>0</v>
      </c>
      <c r="AV129" s="1">
        <f t="shared" si="69"/>
        <v>1</v>
      </c>
    </row>
    <row r="130" spans="1:48" ht="15.75" x14ac:dyDescent="0.25">
      <c r="A130" s="46">
        <f t="shared" si="45"/>
        <v>110</v>
      </c>
      <c r="B130" s="379" t="str">
        <f>IF('תנאי סף - כלליים'!F140="","",'תנאי סף - כלליים'!F140)</f>
        <v/>
      </c>
      <c r="C130" s="400"/>
      <c r="D130" s="288"/>
      <c r="E130" s="288"/>
      <c r="F130" s="288"/>
      <c r="G130" s="270"/>
      <c r="H130" s="399"/>
      <c r="I130" s="399"/>
      <c r="J130" s="399"/>
      <c r="K130" s="399"/>
      <c r="L130" s="399"/>
      <c r="M130" s="401"/>
      <c r="N130" s="10"/>
      <c r="O130" s="399"/>
      <c r="P130" s="10"/>
      <c r="Q130" s="10"/>
      <c r="R130" s="10"/>
      <c r="S130" s="10"/>
      <c r="T130" s="259" t="str">
        <f t="shared" si="55"/>
        <v/>
      </c>
      <c r="U130" s="10"/>
      <c r="V130" s="10"/>
      <c r="W130" s="10"/>
      <c r="X130" s="259" t="str">
        <f t="shared" si="56"/>
        <v/>
      </c>
      <c r="Y130" s="259" t="str">
        <f t="shared" si="57"/>
        <v/>
      </c>
      <c r="Z130" s="259" t="str">
        <f>'תנאי סף - כלליים'!AP140</f>
        <v/>
      </c>
      <c r="AA130" s="260" t="str">
        <f t="shared" si="58"/>
        <v/>
      </c>
      <c r="AB130" s="256" t="str">
        <f t="shared" si="59"/>
        <v/>
      </c>
      <c r="AC130" s="1">
        <f t="shared" si="60"/>
        <v>0</v>
      </c>
      <c r="AD130" s="1">
        <f t="shared" si="61"/>
        <v>0</v>
      </c>
      <c r="AE130" s="1">
        <f t="shared" si="62"/>
        <v>0</v>
      </c>
      <c r="AF130" s="1">
        <f t="shared" si="63"/>
        <v>0</v>
      </c>
      <c r="AG130" s="1">
        <f t="shared" si="64"/>
        <v>0</v>
      </c>
      <c r="AH130" s="1">
        <f t="shared" si="65"/>
        <v>0</v>
      </c>
      <c r="AK130" s="1">
        <f t="shared" si="66"/>
        <v>0</v>
      </c>
      <c r="AM130" s="1" t="str">
        <f t="shared" si="70"/>
        <v/>
      </c>
      <c r="AN130" s="1" t="str">
        <f t="shared" si="70"/>
        <v/>
      </c>
      <c r="AO130" s="1" t="str">
        <f t="shared" si="70"/>
        <v/>
      </c>
      <c r="AQ130" s="1" t="str">
        <f t="shared" si="70"/>
        <v/>
      </c>
      <c r="AR130" s="1" t="str">
        <f t="shared" si="70"/>
        <v/>
      </c>
      <c r="AT130" s="1">
        <f t="shared" si="67"/>
        <v>0</v>
      </c>
      <c r="AU130" s="1">
        <f t="shared" si="68"/>
        <v>0</v>
      </c>
      <c r="AV130" s="1">
        <f t="shared" si="69"/>
        <v>0</v>
      </c>
    </row>
    <row r="131" spans="1:48" ht="15.75" x14ac:dyDescent="0.25">
      <c r="A131" s="46">
        <f t="shared" si="45"/>
        <v>111</v>
      </c>
      <c r="B131" s="379" t="str">
        <f>IF('תנאי סף - כלליים'!F141="","",'תנאי סף - כלליים'!F141)</f>
        <v>עדי בוטרוס אמנויות הבמה (ע"ר)</v>
      </c>
      <c r="C131" s="400"/>
      <c r="D131" s="288"/>
      <c r="E131" s="288"/>
      <c r="F131" s="288"/>
      <c r="G131" s="270"/>
      <c r="H131" s="399">
        <v>13</v>
      </c>
      <c r="I131" s="399">
        <v>13</v>
      </c>
      <c r="J131" s="399">
        <v>5</v>
      </c>
      <c r="K131" s="399">
        <v>4</v>
      </c>
      <c r="L131" s="399">
        <v>5</v>
      </c>
      <c r="M131" s="401">
        <v>3.9</v>
      </c>
      <c r="N131" s="10"/>
      <c r="O131" s="399"/>
      <c r="P131" s="10"/>
      <c r="Q131" s="10"/>
      <c r="R131" s="10"/>
      <c r="S131" s="10"/>
      <c r="T131" s="259">
        <f t="shared" si="55"/>
        <v>1</v>
      </c>
      <c r="U131" s="10"/>
      <c r="V131" s="10"/>
      <c r="W131" s="10"/>
      <c r="X131" s="259">
        <f t="shared" si="56"/>
        <v>0</v>
      </c>
      <c r="Y131" s="259" t="str">
        <f t="shared" si="57"/>
        <v>יוצר מנוסה</v>
      </c>
      <c r="Z131" s="259">
        <f>'תנאי סף - כלליים'!AP141</f>
        <v>1</v>
      </c>
      <c r="AA131" s="260">
        <f t="shared" si="58"/>
        <v>1</v>
      </c>
      <c r="AB131" s="256">
        <f t="shared" si="59"/>
        <v>1</v>
      </c>
      <c r="AC131" s="1">
        <f t="shared" si="60"/>
        <v>1</v>
      </c>
      <c r="AD131" s="1">
        <f t="shared" si="61"/>
        <v>1</v>
      </c>
      <c r="AE131" s="1">
        <f t="shared" si="62"/>
        <v>1</v>
      </c>
      <c r="AF131" s="1">
        <f t="shared" si="63"/>
        <v>1</v>
      </c>
      <c r="AG131" s="1">
        <f t="shared" si="64"/>
        <v>1</v>
      </c>
      <c r="AH131" s="1">
        <f t="shared" si="65"/>
        <v>1</v>
      </c>
      <c r="AK131" s="1">
        <f t="shared" si="66"/>
        <v>1</v>
      </c>
      <c r="AM131" s="1" t="str">
        <f t="shared" si="70"/>
        <v>יוצר ותיק</v>
      </c>
      <c r="AN131" s="1" t="str">
        <f t="shared" si="70"/>
        <v>יוצר בראשית דרכו</v>
      </c>
      <c r="AO131" s="1" t="str">
        <f t="shared" si="70"/>
        <v>יוצר מנוסה</v>
      </c>
      <c r="AQ131" s="1">
        <f t="shared" si="70"/>
        <v>0</v>
      </c>
      <c r="AR131" s="1">
        <f t="shared" si="70"/>
        <v>1</v>
      </c>
      <c r="AT131" s="1">
        <f t="shared" si="67"/>
        <v>0</v>
      </c>
      <c r="AU131" s="1">
        <f t="shared" si="68"/>
        <v>0</v>
      </c>
      <c r="AV131" s="1">
        <f t="shared" si="69"/>
        <v>1</v>
      </c>
    </row>
    <row r="132" spans="1:48" ht="15.75" x14ac:dyDescent="0.25">
      <c r="A132" s="46">
        <f t="shared" si="45"/>
        <v>112</v>
      </c>
      <c r="B132" s="379" t="str">
        <f>IF('תנאי סף - כלליים'!F142="","",'תנאי סף - כלליים'!F142)</f>
        <v/>
      </c>
      <c r="C132" s="400"/>
      <c r="D132" s="288"/>
      <c r="E132" s="288"/>
      <c r="F132" s="288"/>
      <c r="G132" s="270"/>
      <c r="H132" s="399"/>
      <c r="I132" s="399"/>
      <c r="J132" s="399"/>
      <c r="K132" s="399"/>
      <c r="L132" s="399"/>
      <c r="M132" s="401"/>
      <c r="N132" s="10"/>
      <c r="O132" s="399"/>
      <c r="P132" s="10"/>
      <c r="Q132" s="10"/>
      <c r="R132" s="10"/>
      <c r="S132" s="10"/>
      <c r="T132" s="259" t="str">
        <f t="shared" si="55"/>
        <v/>
      </c>
      <c r="U132" s="10"/>
      <c r="V132" s="10"/>
      <c r="W132" s="10"/>
      <c r="X132" s="259" t="str">
        <f t="shared" si="56"/>
        <v/>
      </c>
      <c r="Y132" s="259" t="str">
        <f t="shared" si="57"/>
        <v/>
      </c>
      <c r="Z132" s="259" t="str">
        <f>'תנאי סף - כלליים'!AP142</f>
        <v/>
      </c>
      <c r="AA132" s="260" t="str">
        <f t="shared" si="58"/>
        <v/>
      </c>
      <c r="AB132" s="256" t="str">
        <f t="shared" si="59"/>
        <v/>
      </c>
      <c r="AC132" s="1">
        <f t="shared" si="60"/>
        <v>0</v>
      </c>
      <c r="AD132" s="1">
        <f t="shared" si="61"/>
        <v>0</v>
      </c>
      <c r="AE132" s="1">
        <f t="shared" si="62"/>
        <v>0</v>
      </c>
      <c r="AF132" s="1">
        <f t="shared" si="63"/>
        <v>0</v>
      </c>
      <c r="AG132" s="1">
        <f t="shared" si="64"/>
        <v>0</v>
      </c>
      <c r="AH132" s="1">
        <f t="shared" si="65"/>
        <v>0</v>
      </c>
      <c r="AK132" s="1">
        <f>IF(SUM(AC132:AJ132)=COUNT(AC132:AJ132),1,0)</f>
        <v>0</v>
      </c>
      <c r="AM132" s="1" t="str">
        <f t="shared" si="70"/>
        <v/>
      </c>
      <c r="AN132" s="1" t="str">
        <f t="shared" si="70"/>
        <v/>
      </c>
      <c r="AO132" s="1" t="str">
        <f t="shared" si="70"/>
        <v/>
      </c>
      <c r="AQ132" s="1" t="str">
        <f t="shared" si="70"/>
        <v/>
      </c>
      <c r="AR132" s="1" t="str">
        <f t="shared" si="70"/>
        <v/>
      </c>
      <c r="AT132" s="1">
        <f t="shared" si="67"/>
        <v>0</v>
      </c>
      <c r="AU132" s="1">
        <f t="shared" si="68"/>
        <v>0</v>
      </c>
      <c r="AV132" s="1">
        <f t="shared" si="69"/>
        <v>0</v>
      </c>
    </row>
  </sheetData>
  <sheetProtection algorithmName="SHA-512" hashValue="3vhVuc98ubvXaVJwMtYha5SfaSUi3dOZXHwv3WQPVgzFhf4Gd1PnmIcXSPkLXu2PUN7kKuLz8P6rfOm3cqODGA==" saltValue="XUQOztM4rqJLIZ4Vg/WXnA==" spinCount="100000" sheet="1" formatColumns="0" formatRows="0" autoFilter="0"/>
  <autoFilter ref="A20:GT132" xr:uid="{00000000-0001-0000-0500-000000000000}"/>
  <dataConsolidate/>
  <mergeCells count="27">
    <mergeCell ref="B19:B20"/>
    <mergeCell ref="C19:C20"/>
    <mergeCell ref="D19:D20"/>
    <mergeCell ref="E19:E20"/>
    <mergeCell ref="F19:F20"/>
    <mergeCell ref="O19:O20"/>
    <mergeCell ref="G19:G20"/>
    <mergeCell ref="H19:H20"/>
    <mergeCell ref="I19:I20"/>
    <mergeCell ref="J19:J20"/>
    <mergeCell ref="K19:K20"/>
    <mergeCell ref="Q19:Q20"/>
    <mergeCell ref="P19:P20"/>
    <mergeCell ref="A18:AB18"/>
    <mergeCell ref="F4:G4"/>
    <mergeCell ref="F5:G5"/>
    <mergeCell ref="F6:G6"/>
    <mergeCell ref="F7:G7"/>
    <mergeCell ref="R4:R5"/>
    <mergeCell ref="B5:C5"/>
    <mergeCell ref="B6:C6"/>
    <mergeCell ref="B7:C7"/>
    <mergeCell ref="B4:C4"/>
    <mergeCell ref="A19:A20"/>
    <mergeCell ref="L19:L20"/>
    <mergeCell ref="M19:M20"/>
    <mergeCell ref="N19:N20"/>
  </mergeCells>
  <conditionalFormatting sqref="B5:B7">
    <cfRule type="notContainsBlanks" dxfId="213" priority="62">
      <formula>LEN(TRIM(B5))&gt;0</formula>
    </cfRule>
  </conditionalFormatting>
  <conditionalFormatting sqref="B21:B132">
    <cfRule type="notContainsBlanks" dxfId="212" priority="81">
      <formula>LEN(TRIM(B21))&gt;0</formula>
    </cfRule>
  </conditionalFormatting>
  <conditionalFormatting sqref="C21:F132">
    <cfRule type="expression" dxfId="211" priority="1">
      <formula>AND($B21="",C21&lt;&gt;"")</formula>
    </cfRule>
    <cfRule type="expression" dxfId="210" priority="2">
      <formula>$B21&lt;&gt;""</formula>
    </cfRule>
  </conditionalFormatting>
  <conditionalFormatting sqref="F5:F7">
    <cfRule type="notContainsBlanks" dxfId="209" priority="76">
      <formula>LEN(TRIM(F5))&gt;0</formula>
    </cfRule>
  </conditionalFormatting>
  <conditionalFormatting sqref="G21:G132">
    <cfRule type="containsBlanks" dxfId="208" priority="3">
      <formula>LEN(TRIM(G21))=0</formula>
    </cfRule>
  </conditionalFormatting>
  <conditionalFormatting sqref="H98:J98">
    <cfRule type="expression" dxfId="207" priority="56">
      <formula>AND($B98="",H98&lt;&gt;"")</formula>
    </cfRule>
    <cfRule type="expression" dxfId="206" priority="57">
      <formula>$B98&lt;&gt;""</formula>
    </cfRule>
  </conditionalFormatting>
  <conditionalFormatting sqref="H97:N97">
    <cfRule type="expression" dxfId="205" priority="54">
      <formula>AND($B97="",H97&lt;&gt;"")</formula>
    </cfRule>
    <cfRule type="expression" dxfId="204" priority="55">
      <formula>$B97&lt;&gt;""</formula>
    </cfRule>
  </conditionalFormatting>
  <conditionalFormatting sqref="H21:W96 O97:W97 K98:U98 H99:U99 H100:W132">
    <cfRule type="expression" dxfId="203" priority="79">
      <formula>AND($B21="",H21&lt;&gt;"")</formula>
    </cfRule>
    <cfRule type="expression" dxfId="202" priority="80">
      <formula>$B21&lt;&gt;""</formula>
    </cfRule>
  </conditionalFormatting>
  <conditionalFormatting sqref="L1:L2">
    <cfRule type="containsBlanks" dxfId="201" priority="82">
      <formula>LEN(TRIM(L1))=0</formula>
    </cfRule>
  </conditionalFormatting>
  <conditionalFormatting sqref="Q5:Q7">
    <cfRule type="notContainsBlanks" dxfId="200" priority="73">
      <formula>LEN(TRIM(Q5))&gt;0</formula>
    </cfRule>
  </conditionalFormatting>
  <conditionalFormatting sqref="T21:T132">
    <cfRule type="notContainsBlanks" dxfId="199" priority="60">
      <formula>LEN(TRIM(T21))&gt;0</formula>
    </cfRule>
  </conditionalFormatting>
  <conditionalFormatting sqref="V98:W99">
    <cfRule type="expression" dxfId="198" priority="52">
      <formula>AND($B98="",V98&lt;&gt;"")</formula>
    </cfRule>
    <cfRule type="expression" dxfId="197" priority="53">
      <formula>$B98&lt;&gt;""</formula>
    </cfRule>
  </conditionalFormatting>
  <conditionalFormatting sqref="X21:Z132">
    <cfRule type="notContainsBlanks" dxfId="196" priority="51">
      <formula>LEN(TRIM(X21))&gt;0</formula>
    </cfRule>
  </conditionalFormatting>
  <conditionalFormatting sqref="AA21:AA132">
    <cfRule type="cellIs" dxfId="195" priority="84" operator="equal">
      <formula>0</formula>
    </cfRule>
    <cfRule type="containsErrors" dxfId="194" priority="85">
      <formula>ISERROR(AA21)</formula>
    </cfRule>
    <cfRule type="notContainsBlanks" dxfId="193" priority="86">
      <formula>LEN(TRIM(AA21))&gt;0</formula>
    </cfRule>
  </conditionalFormatting>
  <dataValidations count="7">
    <dataValidation type="decimal" allowBlank="1" showInputMessage="1" showErrorMessage="1" errorTitle="יש להזין ערכים 1-5" sqref="M21:M132" xr:uid="{00000000-0002-0000-0500-000000000000}">
      <formula1>1</formula1>
      <formula2>5</formula2>
    </dataValidation>
    <dataValidation errorStyle="warning" allowBlank="1" showInputMessage="1" showErrorMessage="1" errorTitle="טעות בהזנה" error="יש להזין סיווג מתאים" sqref="T21:T132 X21:Y132" xr:uid="{00000000-0002-0000-0500-000001000000}"/>
    <dataValidation type="list" allowBlank="1" showInputMessage="1" showErrorMessage="1" errorTitle="טעות בהזנה" error="יש להזין מספר שלם 0 או 1" sqref="N21:S132 U21:W132" xr:uid="{00000000-0002-0000-0500-000002000000}">
      <formula1>$AQ21:$AR21</formula1>
    </dataValidation>
    <dataValidation type="list" allowBlank="1" showInputMessage="1" showErrorMessage="1" errorTitle="טעות בהזנה" error="יש להזין 0 או 1" sqref="C21:D120" xr:uid="{00000000-0002-0000-0500-000003000000}">
      <formula1>$AQ21:$AR21</formula1>
    </dataValidation>
    <dataValidation allowBlank="1" showInputMessage="1" showErrorMessage="1" errorTitle="טעות בהזנה" error="יש להזין 0 או 1" sqref="G21:G120 Z21:Z132" xr:uid="{00000000-0002-0000-0500-000004000000}"/>
    <dataValidation type="decimal" operator="greaterThanOrEqual" allowBlank="1" showInputMessage="1" showErrorMessage="1" errorTitle="טעות בהזנה" error="יש להזין 0 או 1" sqref="E21:F120" xr:uid="{00000000-0002-0000-0500-000005000000}">
      <formula1>0</formula1>
    </dataValidation>
    <dataValidation type="whole" errorStyle="warning" operator="greaterThanOrEqual" allowBlank="1" showInputMessage="1" showErrorMessage="1" errorTitle="טעות בהזנה" error="יש להזין מספר שלם שאינו שלילי" sqref="H21:L96 H97:I97 K97:L97 H98:L132" xr:uid="{00000000-0002-0000-0500-000006000000}">
      <formula1>0</formula1>
    </dataValidation>
  </dataValidations>
  <printOptions horizontalCentered="1"/>
  <pageMargins left="0.27559055118110237" right="0.19685039370078741" top="0.62992125984251968" bottom="0.47244094488188981" header="0.31496062992125984" footer="0.23622047244094491"/>
  <pageSetup paperSize="9" scale="20" orientation="landscape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  <rowBreaks count="1" manualBreakCount="1">
    <brk id="6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Worksheet______4">
    <tabColor theme="5" tint="0.39997558519241921"/>
    <pageSetUpPr fitToPage="1"/>
  </sheetPr>
  <dimension ref="B1:K122"/>
  <sheetViews>
    <sheetView rightToLeft="1" view="pageBreakPreview" topLeftCell="B1" zoomScaleNormal="100" zoomScaleSheetLayoutView="100" workbookViewId="0">
      <selection activeCell="B1" sqref="B1"/>
    </sheetView>
  </sheetViews>
  <sheetFormatPr defaultColWidth="9.140625" defaultRowHeight="12.75" outlineLevelRow="1" x14ac:dyDescent="0.2"/>
  <cols>
    <col min="1" max="1" width="0" style="1" hidden="1" customWidth="1"/>
    <col min="2" max="2" width="10" style="1" bestFit="1" customWidth="1"/>
    <col min="3" max="3" width="39.42578125" style="1" customWidth="1"/>
    <col min="4" max="4" width="26.140625" style="1" customWidth="1"/>
    <col min="5" max="5" width="27.28515625" style="1" customWidth="1"/>
    <col min="6" max="6" width="19.28515625" style="1" customWidth="1"/>
    <col min="7" max="7" width="13.42578125" style="1" customWidth="1"/>
    <col min="8" max="8" width="10.28515625" style="1" customWidth="1"/>
    <col min="9" max="16384" width="9.140625" style="1"/>
  </cols>
  <sheetData>
    <row r="1" spans="2:11" ht="19.5" outlineLevel="1" thickBot="1" x14ac:dyDescent="0.35">
      <c r="C1" s="763" t="str">
        <f>פרמטרים!B19</f>
        <v>מפתח סימול וניקוד מספר הרצות</v>
      </c>
      <c r="D1" s="764"/>
    </row>
    <row r="2" spans="2:11" ht="21.75" customHeight="1" outlineLevel="1" thickBot="1" x14ac:dyDescent="0.25">
      <c r="C2" s="37" t="str">
        <f>פרמטרים!B20</f>
        <v>פרמטר</v>
      </c>
      <c r="D2" s="38" t="str">
        <f>פרמטרים!C20</f>
        <v>ניקוד</v>
      </c>
    </row>
    <row r="3" spans="2:11" ht="21" customHeight="1" outlineLevel="1" x14ac:dyDescent="0.25">
      <c r="C3" s="47" t="str">
        <f>פרמטרים!B21</f>
        <v>ניקוד הפקה בשנת ההערכה</v>
      </c>
      <c r="D3" s="59">
        <f>פרמטרים!C21</f>
        <v>1</v>
      </c>
    </row>
    <row r="4" spans="2:11" ht="13.5" outlineLevel="1" thickBot="1" x14ac:dyDescent="0.25"/>
    <row r="5" spans="2:11" ht="18.75" x14ac:dyDescent="0.2">
      <c r="C5" s="708" t="str">
        <f>פרמטרים!C1</f>
        <v>שנת התקציב</v>
      </c>
      <c r="D5" s="709"/>
      <c r="E5" s="8">
        <f>פרמטרים!E1</f>
        <v>2025</v>
      </c>
    </row>
    <row r="6" spans="2:11" ht="19.5" thickBot="1" x14ac:dyDescent="0.25">
      <c r="C6" s="712" t="str">
        <f>פרמטרים!C2</f>
        <v>תקציב</v>
      </c>
      <c r="D6" s="713"/>
      <c r="E6" s="19">
        <f>פרמטרים!E2</f>
        <v>8082764</v>
      </c>
    </row>
    <row r="7" spans="2:11" ht="20.25" thickTop="1" thickBot="1" x14ac:dyDescent="0.35">
      <c r="B7" s="765" t="str">
        <f ca="1">"שיעור יחסי במשתנה "&amp;MID(CELL("filename",H96),FIND("]",CELL("filename",H96),1)+1,99)</f>
        <v>שיעור יחסי במשתנה הרצות</v>
      </c>
      <c r="C7" s="766"/>
      <c r="D7" s="766"/>
      <c r="E7" s="766"/>
      <c r="F7" s="766"/>
      <c r="G7" s="766"/>
    </row>
    <row r="8" spans="2:11" ht="32.25" thickBot="1" x14ac:dyDescent="0.25">
      <c r="B8" s="93" t="s">
        <v>206</v>
      </c>
      <c r="C8" s="52" t="s">
        <v>225</v>
      </c>
      <c r="D8" s="52" t="str">
        <f>IF($E$5&lt;2023,'הוראת שעה'!D9,'הוראת שעה'!D10)</f>
        <v>מספר הרצות בשנת ההערכה</v>
      </c>
      <c r="E8" s="52" t="s">
        <v>226</v>
      </c>
      <c r="F8" s="52" t="s">
        <v>227</v>
      </c>
      <c r="G8" s="75" t="s">
        <v>228</v>
      </c>
    </row>
    <row r="9" spans="2:11" ht="15.75" x14ac:dyDescent="0.25">
      <c r="B9" s="23">
        <f>סיווג!A21</f>
        <v>1</v>
      </c>
      <c r="C9" s="24" t="str">
        <f>IF(סיווג!AA21&lt;&gt;1,"",סיווג!B21)</f>
        <v>סילביה דוראן</v>
      </c>
      <c r="D9" s="72">
        <v>2</v>
      </c>
      <c r="E9" s="233">
        <f>סיווג!AB21</f>
        <v>0.33</v>
      </c>
      <c r="F9" s="96">
        <f>IF(C9="","",D9*$D$3*E9)</f>
        <v>0.66</v>
      </c>
      <c r="G9" s="97">
        <f t="shared" ref="G9:G40" si="0">IF(ISERR(F9/$F$121),"",F9/$F$121)</f>
        <v>3.8246236222662638E-4</v>
      </c>
      <c r="K9" s="28"/>
    </row>
    <row r="10" spans="2:11" ht="15.75" x14ac:dyDescent="0.25">
      <c r="B10" s="25">
        <f>סיווג!A22</f>
        <v>2</v>
      </c>
      <c r="C10" s="402" t="str">
        <f>IF(סיווג!AA22&lt;&gt;1,"",סיווג!B22)</f>
        <v>רנה שינפלד</v>
      </c>
      <c r="D10" s="403">
        <v>21</v>
      </c>
      <c r="E10" s="404">
        <f>סיווג!AB22</f>
        <v>1</v>
      </c>
      <c r="F10" s="405">
        <f t="shared" ref="F10:F73" si="1">IF(C10="","",D10*$D$3*E10)</f>
        <v>21</v>
      </c>
      <c r="G10" s="98">
        <f t="shared" si="0"/>
        <v>1.2169256979938111E-2</v>
      </c>
      <c r="K10" s="28"/>
    </row>
    <row r="11" spans="2:11" ht="15.75" x14ac:dyDescent="0.25">
      <c r="B11" s="25">
        <f>סיווג!A23</f>
        <v>3</v>
      </c>
      <c r="C11" s="402" t="str">
        <f>IF(סיווג!AA23&lt;&gt;1,"",סיווג!B23)</f>
        <v>אבי קייזר וסרג'יו אנטוניניו</v>
      </c>
      <c r="D11" s="403">
        <v>27</v>
      </c>
      <c r="E11" s="404">
        <f>סיווג!AB23</f>
        <v>1</v>
      </c>
      <c r="F11" s="405">
        <f t="shared" si="1"/>
        <v>27</v>
      </c>
      <c r="G11" s="98">
        <f t="shared" si="0"/>
        <v>1.5646187545634713E-2</v>
      </c>
      <c r="K11" s="28"/>
    </row>
    <row r="12" spans="2:11" ht="15.75" x14ac:dyDescent="0.25">
      <c r="B12" s="25">
        <f>סיווג!A24</f>
        <v>4</v>
      </c>
      <c r="C12" s="402" t="str">
        <f>IF(סיווג!AA24&lt;&gt;1,"",סיווג!B24)</f>
        <v/>
      </c>
      <c r="D12" s="403"/>
      <c r="E12" s="404" t="str">
        <f>סיווג!AB24</f>
        <v/>
      </c>
      <c r="F12" s="405" t="str">
        <f t="shared" si="1"/>
        <v/>
      </c>
      <c r="G12" s="98" t="str">
        <f t="shared" si="0"/>
        <v/>
      </c>
      <c r="K12" s="28"/>
    </row>
    <row r="13" spans="2:11" ht="15.75" x14ac:dyDescent="0.25">
      <c r="B13" s="25">
        <f>סיווג!A25</f>
        <v>5</v>
      </c>
      <c r="C13" s="402" t="str">
        <f>IF(סיווג!AA25&lt;&gt;1,"",סיווג!B25)</f>
        <v>אדוה ירמיהו</v>
      </c>
      <c r="D13" s="403">
        <v>11</v>
      </c>
      <c r="E13" s="404">
        <f>סיווג!AB25</f>
        <v>1</v>
      </c>
      <c r="F13" s="405">
        <f t="shared" si="1"/>
        <v>11</v>
      </c>
      <c r="G13" s="98">
        <f t="shared" si="0"/>
        <v>6.3743727037771057E-3</v>
      </c>
      <c r="K13" s="28"/>
    </row>
    <row r="14" spans="2:11" ht="15.75" x14ac:dyDescent="0.25">
      <c r="B14" s="25">
        <f>סיווג!A26</f>
        <v>6</v>
      </c>
      <c r="C14" s="402" t="str">
        <f>IF(סיווג!AA26&lt;&gt;1,"",סיווג!B26)</f>
        <v>אהרונה ישראל</v>
      </c>
      <c r="D14" s="403">
        <v>8</v>
      </c>
      <c r="E14" s="404">
        <f>סיווג!AB26</f>
        <v>1</v>
      </c>
      <c r="F14" s="405">
        <f t="shared" si="1"/>
        <v>8</v>
      </c>
      <c r="G14" s="98">
        <f t="shared" si="0"/>
        <v>4.6359074209288047E-3</v>
      </c>
      <c r="K14" s="28"/>
    </row>
    <row r="15" spans="2:11" ht="15.75" x14ac:dyDescent="0.25">
      <c r="B15" s="25">
        <f>סיווג!A27</f>
        <v>7</v>
      </c>
      <c r="C15" s="402" t="str">
        <f>IF(סיווג!AA27&lt;&gt;1,"",סיווג!B27)</f>
        <v>אופיר יודילביץ</v>
      </c>
      <c r="D15" s="403">
        <v>26</v>
      </c>
      <c r="E15" s="404">
        <f>סיווג!AB27</f>
        <v>1</v>
      </c>
      <c r="F15" s="405">
        <f t="shared" si="1"/>
        <v>26</v>
      </c>
      <c r="G15" s="98">
        <f t="shared" si="0"/>
        <v>1.5066699118018615E-2</v>
      </c>
      <c r="K15" s="28"/>
    </row>
    <row r="16" spans="2:11" ht="15.75" x14ac:dyDescent="0.25">
      <c r="B16" s="25">
        <f>סיווג!A28</f>
        <v>8</v>
      </c>
      <c r="C16" s="402" t="str">
        <f>IF(סיווג!AA28&lt;&gt;1,"",סיווג!B28)</f>
        <v>אור מרין ואורן נחום</v>
      </c>
      <c r="D16" s="403">
        <v>16</v>
      </c>
      <c r="E16" s="404">
        <f>סיווג!AB28</f>
        <v>1</v>
      </c>
      <c r="F16" s="405">
        <f t="shared" si="1"/>
        <v>16</v>
      </c>
      <c r="G16" s="98">
        <f t="shared" si="0"/>
        <v>9.2718148418576094E-3</v>
      </c>
      <c r="K16" s="28"/>
    </row>
    <row r="17" spans="2:11" ht="15.75" x14ac:dyDescent="0.25">
      <c r="B17" s="25">
        <f>סיווג!A29</f>
        <v>9</v>
      </c>
      <c r="C17" s="402" t="str">
        <f>IF(סיווג!AA29&lt;&gt;1,"",סיווג!B29)</f>
        <v>אורי שפיר</v>
      </c>
      <c r="D17" s="403">
        <v>31</v>
      </c>
      <c r="E17" s="404">
        <f>סיווג!AB29</f>
        <v>1</v>
      </c>
      <c r="F17" s="405">
        <f t="shared" si="1"/>
        <v>31</v>
      </c>
      <c r="G17" s="98">
        <f t="shared" si="0"/>
        <v>1.7964141256099117E-2</v>
      </c>
      <c r="K17" s="28"/>
    </row>
    <row r="18" spans="2:11" ht="15.75" x14ac:dyDescent="0.25">
      <c r="B18" s="25">
        <f>סיווג!A30</f>
        <v>10</v>
      </c>
      <c r="C18" s="402" t="str">
        <f>IF(סיווג!AA30&lt;&gt;1,"",סיווג!B30)</f>
        <v>אורלי פורטל</v>
      </c>
      <c r="D18" s="403">
        <v>24</v>
      </c>
      <c r="E18" s="404">
        <f>סיווג!AB30</f>
        <v>1</v>
      </c>
      <c r="F18" s="405">
        <f t="shared" si="1"/>
        <v>24</v>
      </c>
      <c r="G18" s="98">
        <f t="shared" si="0"/>
        <v>1.3907722262786413E-2</v>
      </c>
      <c r="K18" s="28"/>
    </row>
    <row r="19" spans="2:11" ht="15.75" x14ac:dyDescent="0.25">
      <c r="B19" s="25">
        <f>סיווג!A31</f>
        <v>11</v>
      </c>
      <c r="C19" s="402" t="str">
        <f>IF(סיווג!AA31&lt;&gt;1,"",סיווג!B31)</f>
        <v/>
      </c>
      <c r="D19" s="403"/>
      <c r="E19" s="404" t="str">
        <f>סיווג!AB31</f>
        <v/>
      </c>
      <c r="F19" s="405" t="str">
        <f t="shared" si="1"/>
        <v/>
      </c>
      <c r="G19" s="98" t="str">
        <f t="shared" si="0"/>
        <v/>
      </c>
      <c r="K19" s="28"/>
    </row>
    <row r="20" spans="2:11" ht="15.75" x14ac:dyDescent="0.25">
      <c r="B20" s="25">
        <f>סיווג!A32</f>
        <v>12</v>
      </c>
      <c r="C20" s="402" t="str">
        <f>IF(סיווג!AA32&lt;&gt;1,"",סיווג!B32)</f>
        <v>אורין יוחנן</v>
      </c>
      <c r="D20" s="403">
        <v>8</v>
      </c>
      <c r="E20" s="404">
        <f>סיווג!AB32</f>
        <v>1</v>
      </c>
      <c r="F20" s="405">
        <f t="shared" si="1"/>
        <v>8</v>
      </c>
      <c r="G20" s="98">
        <f t="shared" si="0"/>
        <v>4.6359074209288047E-3</v>
      </c>
      <c r="K20" s="28"/>
    </row>
    <row r="21" spans="2:11" ht="15.75" x14ac:dyDescent="0.25">
      <c r="B21" s="25">
        <f>סיווג!A33</f>
        <v>13</v>
      </c>
      <c r="C21" s="402" t="str">
        <f>IF(סיווג!AA33&lt;&gt;1,"",סיווג!B33)</f>
        <v>איריס ארז</v>
      </c>
      <c r="D21" s="403">
        <v>18</v>
      </c>
      <c r="E21" s="404">
        <f>סיווג!AB33</f>
        <v>1</v>
      </c>
      <c r="F21" s="405">
        <f t="shared" si="1"/>
        <v>18</v>
      </c>
      <c r="G21" s="98">
        <f t="shared" si="0"/>
        <v>1.043079169708981E-2</v>
      </c>
      <c r="K21" s="28"/>
    </row>
    <row r="22" spans="2:11" ht="15.75" x14ac:dyDescent="0.25">
      <c r="B22" s="25">
        <f>סיווג!A34</f>
        <v>14</v>
      </c>
      <c r="C22" s="402" t="str">
        <f>IF(סיווג!AA34&lt;&gt;1,"",סיווג!B34)</f>
        <v/>
      </c>
      <c r="D22" s="403"/>
      <c r="E22" s="404" t="str">
        <f>סיווג!AB34</f>
        <v/>
      </c>
      <c r="F22" s="405" t="str">
        <f t="shared" si="1"/>
        <v/>
      </c>
      <c r="G22" s="98" t="str">
        <f t="shared" si="0"/>
        <v/>
      </c>
      <c r="K22" s="28"/>
    </row>
    <row r="23" spans="2:11" ht="15.75" x14ac:dyDescent="0.25">
      <c r="B23" s="25">
        <f>סיווג!A35</f>
        <v>15</v>
      </c>
      <c r="C23" s="402" t="str">
        <f>IF(סיווג!AA35&lt;&gt;1,"",סיווג!B35)</f>
        <v>ענבל אושמן</v>
      </c>
      <c r="D23" s="403">
        <v>11</v>
      </c>
      <c r="E23" s="404">
        <f>סיווג!AB35</f>
        <v>1</v>
      </c>
      <c r="F23" s="405">
        <f t="shared" si="1"/>
        <v>11</v>
      </c>
      <c r="G23" s="98">
        <f t="shared" si="0"/>
        <v>6.3743727037771057E-3</v>
      </c>
      <c r="K23" s="28"/>
    </row>
    <row r="24" spans="2:11" ht="15.75" x14ac:dyDescent="0.25">
      <c r="B24" s="25">
        <f>סיווג!A36</f>
        <v>16</v>
      </c>
      <c r="C24" s="402" t="str">
        <f>IF(סיווג!AA36&lt;&gt;1,"",סיווג!B36)</f>
        <v>אנדריאה מרטיני</v>
      </c>
      <c r="D24" s="403">
        <v>12</v>
      </c>
      <c r="E24" s="404">
        <f>סיווג!AB36</f>
        <v>1</v>
      </c>
      <c r="F24" s="405">
        <f t="shared" si="1"/>
        <v>12</v>
      </c>
      <c r="G24" s="98">
        <f t="shared" si="0"/>
        <v>6.9538611313932066E-3</v>
      </c>
      <c r="K24" s="28"/>
    </row>
    <row r="25" spans="2:11" ht="15.75" x14ac:dyDescent="0.25">
      <c r="B25" s="25">
        <f>סיווג!A37</f>
        <v>17</v>
      </c>
      <c r="C25" s="402" t="str">
        <f>IF(סיווג!AA37&lt;&gt;1,"",סיווג!B37)</f>
        <v>אפרת רובין</v>
      </c>
      <c r="D25" s="403">
        <v>19</v>
      </c>
      <c r="E25" s="404">
        <f>סיווג!AB37</f>
        <v>1</v>
      </c>
      <c r="F25" s="405">
        <f t="shared" si="1"/>
        <v>19</v>
      </c>
      <c r="G25" s="98">
        <f t="shared" si="0"/>
        <v>1.1010280124705911E-2</v>
      </c>
      <c r="K25" s="28"/>
    </row>
    <row r="26" spans="2:11" ht="15.75" x14ac:dyDescent="0.25">
      <c r="B26" s="25">
        <f>סיווג!A38</f>
        <v>18</v>
      </c>
      <c r="C26" s="402" t="str">
        <f>IF(סיווג!AA38&lt;&gt;1,"",סיווג!B38)</f>
        <v>שרון צוקרמן</v>
      </c>
      <c r="D26" s="403">
        <f>IF(C26=סיווג!B38,סיווג!L38,"")</f>
        <v>12</v>
      </c>
      <c r="E26" s="404">
        <f>סיווג!AB38</f>
        <v>1</v>
      </c>
      <c r="F26" s="405">
        <f t="shared" si="1"/>
        <v>12</v>
      </c>
      <c r="G26" s="98">
        <f t="shared" si="0"/>
        <v>6.9538611313932066E-3</v>
      </c>
      <c r="K26" s="28"/>
    </row>
    <row r="27" spans="2:11" ht="15.75" x14ac:dyDescent="0.25">
      <c r="B27" s="25">
        <f>סיווג!A39</f>
        <v>19</v>
      </c>
      <c r="C27" s="402" t="str">
        <f>IF(סיווג!AA39&lt;&gt;1,"",סיווג!B39)</f>
        <v>בשמת נוסן</v>
      </c>
      <c r="D27" s="403">
        <v>15</v>
      </c>
      <c r="E27" s="404">
        <f>סיווג!AB39</f>
        <v>1</v>
      </c>
      <c r="F27" s="405">
        <f t="shared" si="1"/>
        <v>15</v>
      </c>
      <c r="G27" s="98">
        <f t="shared" si="0"/>
        <v>8.6923264142415076E-3</v>
      </c>
      <c r="K27" s="28"/>
    </row>
    <row r="28" spans="2:11" ht="15.75" x14ac:dyDescent="0.25">
      <c r="B28" s="25">
        <f>סיווג!A40</f>
        <v>20</v>
      </c>
      <c r="C28" s="402" t="str">
        <f>IF(סיווג!AA40&lt;&gt;1,"",סיווג!B40)</f>
        <v>גיל קרר</v>
      </c>
      <c r="D28" s="403">
        <v>25</v>
      </c>
      <c r="E28" s="404">
        <f>סיווג!AB40</f>
        <v>1</v>
      </c>
      <c r="F28" s="405">
        <f t="shared" si="1"/>
        <v>25</v>
      </c>
      <c r="G28" s="98">
        <f t="shared" si="0"/>
        <v>1.4487210690402513E-2</v>
      </c>
      <c r="K28" s="28"/>
    </row>
    <row r="29" spans="2:11" ht="15.75" x14ac:dyDescent="0.25">
      <c r="B29" s="25">
        <f>סיווג!A41</f>
        <v>21</v>
      </c>
      <c r="C29" s="402" t="str">
        <f>IF(סיווג!AA41&lt;&gt;1,"",סיווג!B41)</f>
        <v>דינה תלם</v>
      </c>
      <c r="D29" s="403">
        <f>IF(C29=סיווג!B41,סיווג!L41,"")</f>
        <v>41</v>
      </c>
      <c r="E29" s="404">
        <f>סיווג!AB41</f>
        <v>1</v>
      </c>
      <c r="F29" s="405">
        <f t="shared" si="1"/>
        <v>41</v>
      </c>
      <c r="G29" s="98">
        <f t="shared" si="0"/>
        <v>2.3759025532260124E-2</v>
      </c>
      <c r="K29" s="28"/>
    </row>
    <row r="30" spans="2:11" ht="15.75" x14ac:dyDescent="0.25">
      <c r="B30" s="25">
        <f>סיווג!A42</f>
        <v>22</v>
      </c>
      <c r="C30" s="402" t="str">
        <f>IF(סיווג!AA42&lt;&gt;1,"",סיווג!B42)</f>
        <v>דנה יהלומי</v>
      </c>
      <c r="D30" s="403">
        <v>16</v>
      </c>
      <c r="E30" s="404">
        <f>סיווג!AB42</f>
        <v>1</v>
      </c>
      <c r="F30" s="405">
        <f t="shared" si="1"/>
        <v>16</v>
      </c>
      <c r="G30" s="98">
        <f t="shared" si="0"/>
        <v>9.2718148418576094E-3</v>
      </c>
      <c r="K30" s="28"/>
    </row>
    <row r="31" spans="2:11" ht="15.75" x14ac:dyDescent="0.25">
      <c r="B31" s="25">
        <f>סיווג!A43</f>
        <v>23</v>
      </c>
      <c r="C31" s="402" t="str">
        <f>IF(סיווג!AA43&lt;&gt;1,"",סיווג!B43)</f>
        <v>דנה רוטנברג</v>
      </c>
      <c r="D31" s="403">
        <v>54</v>
      </c>
      <c r="E31" s="404">
        <f>סיווג!AB43</f>
        <v>1</v>
      </c>
      <c r="F31" s="405">
        <f t="shared" si="1"/>
        <v>54</v>
      </c>
      <c r="G31" s="98">
        <f t="shared" si="0"/>
        <v>3.1292375091269427E-2</v>
      </c>
      <c r="K31" s="28"/>
    </row>
    <row r="32" spans="2:11" ht="15.75" x14ac:dyDescent="0.25">
      <c r="B32" s="25">
        <f>סיווג!A44</f>
        <v>24</v>
      </c>
      <c r="C32" s="402" t="str">
        <f>IF(סיווג!AA44&lt;&gt;1,"",סיווג!B44)</f>
        <v>דפי אלטבב</v>
      </c>
      <c r="D32" s="403">
        <v>20</v>
      </c>
      <c r="E32" s="404">
        <f>סיווג!AB44</f>
        <v>1</v>
      </c>
      <c r="F32" s="405">
        <f t="shared" si="1"/>
        <v>20</v>
      </c>
      <c r="G32" s="98">
        <f t="shared" si="0"/>
        <v>1.1589768552322011E-2</v>
      </c>
      <c r="K32" s="28"/>
    </row>
    <row r="33" spans="2:11" ht="15.75" x14ac:dyDescent="0.25">
      <c r="B33" s="25">
        <f>סיווג!A45</f>
        <v>25</v>
      </c>
      <c r="C33" s="402" t="str">
        <f>IF(סיווג!AA45&lt;&gt;1,"",סיווג!B45)</f>
        <v>הלל קוגן</v>
      </c>
      <c r="D33" s="403">
        <v>51</v>
      </c>
      <c r="E33" s="404">
        <f>סיווג!AB45</f>
        <v>1</v>
      </c>
      <c r="F33" s="405">
        <f t="shared" si="1"/>
        <v>51</v>
      </c>
      <c r="G33" s="98">
        <f t="shared" si="0"/>
        <v>2.9553909808421128E-2</v>
      </c>
      <c r="K33" s="28"/>
    </row>
    <row r="34" spans="2:11" ht="15.75" x14ac:dyDescent="0.25">
      <c r="B34" s="25">
        <f>סיווג!A46</f>
        <v>26</v>
      </c>
      <c r="C34" s="402" t="str">
        <f>IF(סיווג!AA46&lt;&gt;1,"",סיווג!B46)</f>
        <v>אנאבל דביר</v>
      </c>
      <c r="D34" s="403">
        <v>31</v>
      </c>
      <c r="E34" s="404">
        <f>סיווג!AB46</f>
        <v>1</v>
      </c>
      <c r="F34" s="405">
        <f t="shared" si="1"/>
        <v>31</v>
      </c>
      <c r="G34" s="98">
        <f t="shared" si="0"/>
        <v>1.7964141256099117E-2</v>
      </c>
      <c r="K34" s="28"/>
    </row>
    <row r="35" spans="2:11" ht="15.75" x14ac:dyDescent="0.25">
      <c r="B35" s="25">
        <f>סיווג!A47</f>
        <v>27</v>
      </c>
      <c r="C35" s="402" t="str">
        <f>IF(סיווג!AA47&lt;&gt;1,"",סיווג!B47)</f>
        <v>יוסי ברג ועודד גרף</v>
      </c>
      <c r="D35" s="403">
        <v>31</v>
      </c>
      <c r="E35" s="404">
        <f>סיווג!AB47</f>
        <v>1</v>
      </c>
      <c r="F35" s="405">
        <f t="shared" si="1"/>
        <v>31</v>
      </c>
      <c r="G35" s="98">
        <f t="shared" si="0"/>
        <v>1.7964141256099117E-2</v>
      </c>
      <c r="K35" s="28"/>
    </row>
    <row r="36" spans="2:11" ht="15.75" x14ac:dyDescent="0.25">
      <c r="B36" s="25">
        <f>סיווג!A48</f>
        <v>28</v>
      </c>
      <c r="C36" s="402" t="str">
        <f>IF(סיווג!AA48&lt;&gt;1,"",סיווג!B48)</f>
        <v>נדין בומר</v>
      </c>
      <c r="D36" s="403">
        <v>24</v>
      </c>
      <c r="E36" s="404">
        <f>סיווג!AB48</f>
        <v>1</v>
      </c>
      <c r="F36" s="405">
        <f t="shared" si="1"/>
        <v>24</v>
      </c>
      <c r="G36" s="98">
        <f t="shared" si="0"/>
        <v>1.3907722262786413E-2</v>
      </c>
      <c r="K36" s="28"/>
    </row>
    <row r="37" spans="2:11" ht="15.75" x14ac:dyDescent="0.25">
      <c r="B37" s="25">
        <f>סיווג!A49</f>
        <v>29</v>
      </c>
      <c r="C37" s="402" t="str">
        <f>IF(סיווג!AA49&lt;&gt;1,"",סיווג!B49)</f>
        <v xml:space="preserve">להקת בלט פאנוב </v>
      </c>
      <c r="D37" s="403">
        <v>73</v>
      </c>
      <c r="E37" s="404">
        <f>סיווג!AB49</f>
        <v>1</v>
      </c>
      <c r="F37" s="405">
        <f t="shared" si="1"/>
        <v>73</v>
      </c>
      <c r="G37" s="98">
        <f t="shared" si="0"/>
        <v>4.2302655215975343E-2</v>
      </c>
      <c r="K37" s="28"/>
    </row>
    <row r="38" spans="2:11" ht="15.75" x14ac:dyDescent="0.25">
      <c r="B38" s="25">
        <f>סיווג!A50</f>
        <v>30</v>
      </c>
      <c r="C38" s="402" t="str">
        <f>IF(סיווג!AA50&lt;&gt;1,"",סיווג!B50)</f>
        <v/>
      </c>
      <c r="D38" s="403"/>
      <c r="E38" s="404" t="str">
        <f>סיווג!AB50</f>
        <v/>
      </c>
      <c r="F38" s="405" t="str">
        <f t="shared" si="1"/>
        <v/>
      </c>
      <c r="G38" s="98" t="str">
        <f t="shared" si="0"/>
        <v/>
      </c>
      <c r="K38" s="28"/>
    </row>
    <row r="39" spans="2:11" ht="15.75" x14ac:dyDescent="0.25">
      <c r="B39" s="25">
        <f>סיווג!A51</f>
        <v>31</v>
      </c>
      <c r="C39" s="402" t="str">
        <f>IF(סיווג!AA51&lt;&gt;1,"",סיווג!B51)</f>
        <v/>
      </c>
      <c r="D39" s="403"/>
      <c r="E39" s="404" t="str">
        <f>סיווג!AB51</f>
        <v/>
      </c>
      <c r="F39" s="405" t="str">
        <f t="shared" si="1"/>
        <v/>
      </c>
      <c r="G39" s="98" t="str">
        <f t="shared" si="0"/>
        <v/>
      </c>
      <c r="K39" s="28"/>
    </row>
    <row r="40" spans="2:11" ht="15.75" x14ac:dyDescent="0.25">
      <c r="B40" s="25">
        <f>סיווג!A52</f>
        <v>32</v>
      </c>
      <c r="C40" s="402" t="str">
        <f>IF(סיווג!AA52&lt;&gt;1,"",סיווג!B52)</f>
        <v>מיכל סממה</v>
      </c>
      <c r="D40" s="403">
        <v>17</v>
      </c>
      <c r="E40" s="404">
        <f>סיווג!AB52</f>
        <v>1</v>
      </c>
      <c r="F40" s="405">
        <f t="shared" si="1"/>
        <v>17</v>
      </c>
      <c r="G40" s="98">
        <f t="shared" si="0"/>
        <v>9.8513032694737095E-3</v>
      </c>
      <c r="K40" s="28"/>
    </row>
    <row r="41" spans="2:11" ht="15.75" x14ac:dyDescent="0.25">
      <c r="B41" s="25">
        <f>סיווג!A53</f>
        <v>33</v>
      </c>
      <c r="C41" s="402" t="str">
        <f>IF(סיווג!AA53&lt;&gt;1,"",סיווג!B53)</f>
        <v>מאיה ברינר</v>
      </c>
      <c r="D41" s="403">
        <v>71</v>
      </c>
      <c r="E41" s="404">
        <f>סיווג!AB53</f>
        <v>1</v>
      </c>
      <c r="F41" s="405">
        <f t="shared" si="1"/>
        <v>71</v>
      </c>
      <c r="G41" s="98">
        <f t="shared" ref="G41:G72" si="2">IF(ISERR(F41/$F$121),"",F41/$F$121)</f>
        <v>4.114367836074314E-2</v>
      </c>
      <c r="K41" s="28"/>
    </row>
    <row r="42" spans="2:11" ht="15.75" x14ac:dyDescent="0.25">
      <c r="B42" s="25">
        <f>סיווג!A54</f>
        <v>34</v>
      </c>
      <c r="C42" s="402" t="str">
        <f>IF(סיווג!AA54&lt;&gt;1,"",סיווג!B54)</f>
        <v>מאיה מכלל גלפנד</v>
      </c>
      <c r="D42" s="403">
        <v>13</v>
      </c>
      <c r="E42" s="404">
        <f>סיווג!AB54</f>
        <v>1</v>
      </c>
      <c r="F42" s="405">
        <f t="shared" si="1"/>
        <v>13</v>
      </c>
      <c r="G42" s="98">
        <f t="shared" si="2"/>
        <v>7.5333495590093075E-3</v>
      </c>
      <c r="K42" s="28"/>
    </row>
    <row r="43" spans="2:11" ht="15.75" x14ac:dyDescent="0.25">
      <c r="B43" s="25">
        <f>סיווג!A55</f>
        <v>35</v>
      </c>
      <c r="C43" s="402" t="str">
        <f>IF(סיווג!AA55&lt;&gt;1,"",סיווג!B55)</f>
        <v>מיה שטרן ותומר שרעבי</v>
      </c>
      <c r="D43" s="403">
        <v>7</v>
      </c>
      <c r="E43" s="404">
        <f>סיווג!AB55</f>
        <v>1</v>
      </c>
      <c r="F43" s="405">
        <f t="shared" si="1"/>
        <v>7</v>
      </c>
      <c r="G43" s="98">
        <f t="shared" si="2"/>
        <v>4.0564189933127038E-3</v>
      </c>
      <c r="K43" s="28"/>
    </row>
    <row r="44" spans="2:11" ht="15.75" x14ac:dyDescent="0.25">
      <c r="B44" s="25">
        <f>סיווג!A56</f>
        <v>36</v>
      </c>
      <c r="C44" s="402" t="str">
        <f>IF(סיווג!AA56&lt;&gt;1,"",סיווג!B56)</f>
        <v>מיכאל גטמן</v>
      </c>
      <c r="D44" s="403">
        <v>16</v>
      </c>
      <c r="E44" s="404">
        <f>סיווג!AB56</f>
        <v>1</v>
      </c>
      <c r="F44" s="405">
        <f t="shared" si="1"/>
        <v>16</v>
      </c>
      <c r="G44" s="98">
        <f t="shared" si="2"/>
        <v>9.2718148418576094E-3</v>
      </c>
      <c r="K44" s="28"/>
    </row>
    <row r="45" spans="2:11" ht="15.75" x14ac:dyDescent="0.25">
      <c r="B45" s="25">
        <f>סיווג!A57</f>
        <v>37</v>
      </c>
      <c r="C45" s="402" t="str">
        <f>IF(סיווג!AA57&lt;&gt;1,"",סיווג!B57)</f>
        <v>מיכל הרמן</v>
      </c>
      <c r="D45" s="403">
        <v>7</v>
      </c>
      <c r="E45" s="404">
        <f>סיווג!AB57</f>
        <v>1</v>
      </c>
      <c r="F45" s="405">
        <f t="shared" si="1"/>
        <v>7</v>
      </c>
      <c r="G45" s="98">
        <f t="shared" si="2"/>
        <v>4.0564189933127038E-3</v>
      </c>
      <c r="K45" s="28"/>
    </row>
    <row r="46" spans="2:11" ht="15.75" x14ac:dyDescent="0.25">
      <c r="B46" s="25">
        <f>סיווג!A58</f>
        <v>38</v>
      </c>
      <c r="C46" s="402" t="str">
        <f>IF(סיווג!AA58&lt;&gt;1,"",סיווג!B58)</f>
        <v>מירב דגן</v>
      </c>
      <c r="D46" s="403">
        <v>11</v>
      </c>
      <c r="E46" s="404">
        <f>סיווג!AB58</f>
        <v>1</v>
      </c>
      <c r="F46" s="405">
        <f t="shared" si="1"/>
        <v>11</v>
      </c>
      <c r="G46" s="98">
        <f t="shared" si="2"/>
        <v>6.3743727037771057E-3</v>
      </c>
      <c r="K46" s="28"/>
    </row>
    <row r="47" spans="2:11" ht="15.75" x14ac:dyDescent="0.25">
      <c r="B47" s="25">
        <f>סיווג!A59</f>
        <v>39</v>
      </c>
      <c r="C47" s="402" t="str">
        <f>IF(סיווג!AA59&lt;&gt;1,"",סיווג!B59)</f>
        <v>תמר לם ודיוויד קרן</v>
      </c>
      <c r="D47" s="403">
        <v>6</v>
      </c>
      <c r="E47" s="404">
        <f>סיווג!AB59</f>
        <v>1</v>
      </c>
      <c r="F47" s="405">
        <f t="shared" si="1"/>
        <v>6</v>
      </c>
      <c r="G47" s="98">
        <f t="shared" si="2"/>
        <v>3.4769305656966033E-3</v>
      </c>
      <c r="K47" s="28"/>
    </row>
    <row r="48" spans="2:11" ht="15.75" x14ac:dyDescent="0.25">
      <c r="B48" s="25">
        <f>סיווג!A60</f>
        <v>40</v>
      </c>
      <c r="C48" s="402" t="str">
        <f>IF(סיווג!AA60&lt;&gt;1,"",סיווג!B60)</f>
        <v>סיגל ברגמן</v>
      </c>
      <c r="D48" s="403">
        <v>13</v>
      </c>
      <c r="E48" s="404">
        <f>סיווג!AB60</f>
        <v>1</v>
      </c>
      <c r="F48" s="405">
        <f t="shared" si="1"/>
        <v>13</v>
      </c>
      <c r="G48" s="98">
        <f t="shared" si="2"/>
        <v>7.5333495590093075E-3</v>
      </c>
      <c r="K48" s="28"/>
    </row>
    <row r="49" spans="2:11" ht="15.75" x14ac:dyDescent="0.25">
      <c r="B49" s="25">
        <f>סיווג!A61</f>
        <v>41</v>
      </c>
      <c r="C49" s="402" t="str">
        <f>IF(סיווג!AA61&lt;&gt;1,"",סיווג!B61)</f>
        <v>מעין ליבמן שרון</v>
      </c>
      <c r="D49" s="403">
        <v>21</v>
      </c>
      <c r="E49" s="404">
        <f>סיווג!AB61</f>
        <v>1</v>
      </c>
      <c r="F49" s="405">
        <f t="shared" si="1"/>
        <v>21</v>
      </c>
      <c r="G49" s="98">
        <f t="shared" si="2"/>
        <v>1.2169256979938111E-2</v>
      </c>
      <c r="K49" s="28"/>
    </row>
    <row r="50" spans="2:11" ht="15.75" x14ac:dyDescent="0.25">
      <c r="B50" s="25">
        <f>סיווג!A62</f>
        <v>42</v>
      </c>
      <c r="C50" s="402" t="str">
        <f>IF(סיווג!AA62&lt;&gt;1,"",סיווג!B62)</f>
        <v>אודליה קופרברג</v>
      </c>
      <c r="D50" s="403">
        <v>7</v>
      </c>
      <c r="E50" s="404">
        <f>סיווג!AB62</f>
        <v>1</v>
      </c>
      <c r="F50" s="405">
        <f t="shared" si="1"/>
        <v>7</v>
      </c>
      <c r="G50" s="98">
        <f t="shared" si="2"/>
        <v>4.0564189933127038E-3</v>
      </c>
      <c r="K50" s="28"/>
    </row>
    <row r="51" spans="2:11" ht="15.75" x14ac:dyDescent="0.25">
      <c r="B51" s="25">
        <f>סיווג!A63</f>
        <v>43</v>
      </c>
      <c r="C51" s="402" t="str">
        <f>IF(סיווג!AA63&lt;&gt;1,"",סיווג!B63)</f>
        <v>נועה צוק</v>
      </c>
      <c r="D51" s="403">
        <v>21</v>
      </c>
      <c r="E51" s="404">
        <f>סיווג!AB63</f>
        <v>1</v>
      </c>
      <c r="F51" s="405">
        <f t="shared" si="1"/>
        <v>21</v>
      </c>
      <c r="G51" s="98">
        <f t="shared" si="2"/>
        <v>1.2169256979938111E-2</v>
      </c>
      <c r="K51" s="28"/>
    </row>
    <row r="52" spans="2:11" ht="15.75" x14ac:dyDescent="0.25">
      <c r="B52" s="25">
        <f>סיווג!A64</f>
        <v>44</v>
      </c>
      <c r="C52" s="402" t="str">
        <f>IF(סיווג!AA64&lt;&gt;1,"",סיווג!B64)</f>
        <v>נטע פולברמכר</v>
      </c>
      <c r="D52" s="403">
        <v>17</v>
      </c>
      <c r="E52" s="404">
        <f>סיווג!AB64</f>
        <v>1</v>
      </c>
      <c r="F52" s="405">
        <f t="shared" si="1"/>
        <v>17</v>
      </c>
      <c r="G52" s="98">
        <f t="shared" si="2"/>
        <v>9.8513032694737095E-3</v>
      </c>
      <c r="K52" s="28"/>
    </row>
    <row r="53" spans="2:11" ht="15.75" x14ac:dyDescent="0.25">
      <c r="B53" s="25">
        <f>סיווג!A65</f>
        <v>45</v>
      </c>
      <c r="C53" s="402" t="str">
        <f>IF(סיווג!AA65&lt;&gt;1,"",סיווג!B65)</f>
        <v>ניב שינפלד ואורן לאור</v>
      </c>
      <c r="D53" s="403">
        <v>53</v>
      </c>
      <c r="E53" s="404">
        <f>סיווג!AB65</f>
        <v>1</v>
      </c>
      <c r="F53" s="405">
        <f t="shared" si="1"/>
        <v>53</v>
      </c>
      <c r="G53" s="98">
        <f t="shared" si="2"/>
        <v>3.0712886663653328E-2</v>
      </c>
      <c r="K53" s="28"/>
    </row>
    <row r="54" spans="2:11" ht="15.75" x14ac:dyDescent="0.25">
      <c r="B54" s="25">
        <f>סיווג!A66</f>
        <v>46</v>
      </c>
      <c r="C54" s="402" t="str">
        <f>IF(סיווג!AA66&lt;&gt;1,"",סיווג!B66)</f>
        <v>נימה יעקובי</v>
      </c>
      <c r="D54" s="403">
        <f>IF(C54=סיווג!B66,סיווג!L66,"")</f>
        <v>73</v>
      </c>
      <c r="E54" s="404">
        <f>סיווג!AB66</f>
        <v>1</v>
      </c>
      <c r="F54" s="405">
        <f t="shared" si="1"/>
        <v>73</v>
      </c>
      <c r="G54" s="98">
        <f t="shared" si="2"/>
        <v>4.2302655215975343E-2</v>
      </c>
      <c r="K54" s="28"/>
    </row>
    <row r="55" spans="2:11" ht="15.75" x14ac:dyDescent="0.25">
      <c r="B55" s="25">
        <f>סיווג!A67</f>
        <v>47</v>
      </c>
      <c r="C55" s="402" t="str">
        <f>IF(סיווג!AA67&lt;&gt;1,"",סיווג!B67)</f>
        <v>נמרוד פריד</v>
      </c>
      <c r="D55" s="403">
        <v>11</v>
      </c>
      <c r="E55" s="404">
        <f>סיווג!AB67</f>
        <v>1</v>
      </c>
      <c r="F55" s="405">
        <f t="shared" si="1"/>
        <v>11</v>
      </c>
      <c r="G55" s="98">
        <f t="shared" si="2"/>
        <v>6.3743727037771057E-3</v>
      </c>
      <c r="K55" s="28"/>
    </row>
    <row r="56" spans="2:11" ht="15.75" x14ac:dyDescent="0.25">
      <c r="B56" s="25">
        <f>סיווג!A68</f>
        <v>48</v>
      </c>
      <c r="C56" s="402" t="str">
        <f>IF(סיווג!AA68&lt;&gt;1,"",סיווג!B68)</f>
        <v>נעה דר</v>
      </c>
      <c r="D56" s="403">
        <f>IF(C56=סיווג!B68,סיווג!L68,"")</f>
        <v>13</v>
      </c>
      <c r="E56" s="404">
        <f>סיווג!AB68</f>
        <v>1</v>
      </c>
      <c r="F56" s="405">
        <f t="shared" si="1"/>
        <v>13</v>
      </c>
      <c r="G56" s="98">
        <f t="shared" si="2"/>
        <v>7.5333495590093075E-3</v>
      </c>
      <c r="K56" s="28"/>
    </row>
    <row r="57" spans="2:11" ht="15.75" x14ac:dyDescent="0.25">
      <c r="B57" s="25">
        <f>סיווג!A69</f>
        <v>49</v>
      </c>
      <c r="C57" s="402" t="str">
        <f>IF(סיווג!AA69&lt;&gt;1,"",סיווג!B69)</f>
        <v>נעה שדור</v>
      </c>
      <c r="D57" s="403">
        <v>14</v>
      </c>
      <c r="E57" s="404">
        <f>סיווג!AB69</f>
        <v>1</v>
      </c>
      <c r="F57" s="405">
        <f t="shared" si="1"/>
        <v>14</v>
      </c>
      <c r="G57" s="98">
        <f t="shared" si="2"/>
        <v>8.1128379866254076E-3</v>
      </c>
      <c r="K57" s="28"/>
    </row>
    <row r="58" spans="2:11" ht="15.75" x14ac:dyDescent="0.25">
      <c r="B58" s="25">
        <f>סיווג!A70</f>
        <v>50</v>
      </c>
      <c r="C58" s="402" t="str">
        <f>IF(סיווג!AA70&lt;&gt;1,"",סיווג!B70)</f>
        <v>סאלי אן פרילנד</v>
      </c>
      <c r="D58" s="403">
        <f>IF(C58=סיווג!B70,סיווג!L70,"")</f>
        <v>10</v>
      </c>
      <c r="E58" s="404">
        <f>סיווג!AB70</f>
        <v>1</v>
      </c>
      <c r="F58" s="405">
        <f t="shared" si="1"/>
        <v>10</v>
      </c>
      <c r="G58" s="98">
        <f t="shared" si="2"/>
        <v>5.7948842761610057E-3</v>
      </c>
      <c r="K58" s="28"/>
    </row>
    <row r="59" spans="2:11" ht="15.75" x14ac:dyDescent="0.25">
      <c r="B59" s="25">
        <f>סיווג!A71</f>
        <v>51</v>
      </c>
      <c r="C59" s="402" t="str">
        <f>IF(סיווג!AA71&lt;&gt;1,"",סיווג!B71)</f>
        <v>סהר עזימי</v>
      </c>
      <c r="D59" s="403">
        <v>13</v>
      </c>
      <c r="E59" s="404">
        <f>סיווג!AB71</f>
        <v>1</v>
      </c>
      <c r="F59" s="405">
        <f t="shared" si="1"/>
        <v>13</v>
      </c>
      <c r="G59" s="98">
        <f t="shared" si="2"/>
        <v>7.5333495590093075E-3</v>
      </c>
      <c r="K59" s="28"/>
    </row>
    <row r="60" spans="2:11" ht="15.75" x14ac:dyDescent="0.25">
      <c r="B60" s="25">
        <f>סיווג!A72</f>
        <v>52</v>
      </c>
      <c r="C60" s="402" t="str">
        <f>IF(סיווג!AA72&lt;&gt;1,"",סיווג!B72)</f>
        <v>עדו פדר</v>
      </c>
      <c r="D60" s="403">
        <f>IF(C60=סיווג!B72,סיווג!L72,"")</f>
        <v>10</v>
      </c>
      <c r="E60" s="404">
        <f>סיווג!AB72</f>
        <v>1</v>
      </c>
      <c r="F60" s="405">
        <f t="shared" si="1"/>
        <v>10</v>
      </c>
      <c r="G60" s="98">
        <f t="shared" si="2"/>
        <v>5.7948842761610057E-3</v>
      </c>
      <c r="K60" s="28"/>
    </row>
    <row r="61" spans="2:11" ht="15.75" x14ac:dyDescent="0.25">
      <c r="B61" s="25">
        <f>סיווג!A73</f>
        <v>53</v>
      </c>
      <c r="C61" s="402" t="str">
        <f>IF(סיווג!AA73&lt;&gt;1,"",סיווג!B73)</f>
        <v>עודד רונן</v>
      </c>
      <c r="D61" s="403">
        <v>6</v>
      </c>
      <c r="E61" s="404">
        <f>סיווג!AB73</f>
        <v>1</v>
      </c>
      <c r="F61" s="405">
        <f t="shared" si="1"/>
        <v>6</v>
      </c>
      <c r="G61" s="98">
        <f t="shared" si="2"/>
        <v>3.4769305656966033E-3</v>
      </c>
      <c r="K61" s="28"/>
    </row>
    <row r="62" spans="2:11" ht="15.75" x14ac:dyDescent="0.25">
      <c r="B62" s="25">
        <f>סיווג!A74</f>
        <v>54</v>
      </c>
      <c r="C62" s="402" t="str">
        <f>IF(סיווג!AA74&lt;&gt;1,"",סיווג!B74)</f>
        <v>עידן כהן</v>
      </c>
      <c r="D62" s="403">
        <f>IF(C62=סיווג!B74,סיווג!L74,"")</f>
        <v>7</v>
      </c>
      <c r="E62" s="404">
        <f>סיווג!AB74</f>
        <v>1</v>
      </c>
      <c r="F62" s="405">
        <f t="shared" si="1"/>
        <v>7</v>
      </c>
      <c r="G62" s="98">
        <f t="shared" si="2"/>
        <v>4.0564189933127038E-3</v>
      </c>
      <c r="K62" s="28"/>
    </row>
    <row r="63" spans="2:11" ht="15.75" x14ac:dyDescent="0.25">
      <c r="B63" s="25">
        <f>סיווג!A75</f>
        <v>55</v>
      </c>
      <c r="C63" s="402" t="str">
        <f>IF(סיווג!AA75&lt;&gt;1,"",סיווג!B75)</f>
        <v>עידן שרעבי</v>
      </c>
      <c r="D63" s="403">
        <v>12</v>
      </c>
      <c r="E63" s="404">
        <f>סיווג!AB75</f>
        <v>1</v>
      </c>
      <c r="F63" s="405">
        <f t="shared" si="1"/>
        <v>12</v>
      </c>
      <c r="G63" s="98">
        <f t="shared" si="2"/>
        <v>6.9538611313932066E-3</v>
      </c>
      <c r="K63" s="28"/>
    </row>
    <row r="64" spans="2:11" ht="15.75" x14ac:dyDescent="0.25">
      <c r="B64" s="25">
        <f>סיווג!A76</f>
        <v>56</v>
      </c>
      <c r="C64" s="402" t="str">
        <f>IF(סיווג!AA76&lt;&gt;1,"",סיווג!B76)</f>
        <v>ענת גריגוריו</v>
      </c>
      <c r="D64" s="403">
        <v>12</v>
      </c>
      <c r="E64" s="404">
        <f>סיווג!AB76</f>
        <v>1</v>
      </c>
      <c r="F64" s="405">
        <f t="shared" si="1"/>
        <v>12</v>
      </c>
      <c r="G64" s="98">
        <f t="shared" si="2"/>
        <v>6.9538611313932066E-3</v>
      </c>
      <c r="K64" s="28"/>
    </row>
    <row r="65" spans="2:11" ht="15.75" x14ac:dyDescent="0.25">
      <c r="B65" s="25">
        <f>סיווג!A77</f>
        <v>57</v>
      </c>
      <c r="C65" s="402" t="str">
        <f>IF(סיווג!AA77&lt;&gt;1,"",סיווג!B77)</f>
        <v>ענת דניאלי</v>
      </c>
      <c r="D65" s="403">
        <v>14</v>
      </c>
      <c r="E65" s="404">
        <f>סיווג!AB77</f>
        <v>1</v>
      </c>
      <c r="F65" s="405">
        <f t="shared" si="1"/>
        <v>14</v>
      </c>
      <c r="G65" s="98">
        <f t="shared" si="2"/>
        <v>8.1128379866254076E-3</v>
      </c>
      <c r="K65" s="28"/>
    </row>
    <row r="66" spans="2:11" ht="15.75" x14ac:dyDescent="0.25">
      <c r="B66" s="25">
        <f>סיווג!A78</f>
        <v>58</v>
      </c>
      <c r="C66" s="402" t="str">
        <f>IF(סיווג!AA78&lt;&gt;1,"",סיווג!B78)</f>
        <v>ענת כץ וארז מעיין</v>
      </c>
      <c r="D66" s="403">
        <f>IF(C66=סיווג!B78,סיווג!L78,"")</f>
        <v>18</v>
      </c>
      <c r="E66" s="404">
        <f>סיווג!AB78</f>
        <v>1</v>
      </c>
      <c r="F66" s="405">
        <f t="shared" si="1"/>
        <v>18</v>
      </c>
      <c r="G66" s="98">
        <f t="shared" si="2"/>
        <v>1.043079169708981E-2</v>
      </c>
      <c r="K66" s="28"/>
    </row>
    <row r="67" spans="2:11" ht="15.75" x14ac:dyDescent="0.25">
      <c r="B67" s="25">
        <f>סיווג!A79</f>
        <v>59</v>
      </c>
      <c r="C67" s="402" t="str">
        <f>IF(סיווג!AA79&lt;&gt;1,"",סיווג!B79)</f>
        <v>ענת שמגר</v>
      </c>
      <c r="D67" s="403">
        <f>IF(C67=סיווג!B79,סיווג!L79,"")</f>
        <v>13</v>
      </c>
      <c r="E67" s="404">
        <f>סיווג!AB79</f>
        <v>1</v>
      </c>
      <c r="F67" s="405">
        <f t="shared" si="1"/>
        <v>13</v>
      </c>
      <c r="G67" s="98">
        <f t="shared" si="2"/>
        <v>7.5333495590093075E-3</v>
      </c>
      <c r="K67" s="28"/>
    </row>
    <row r="68" spans="2:11" ht="15.75" x14ac:dyDescent="0.25">
      <c r="B68" s="25">
        <f>סיווג!A80</f>
        <v>60</v>
      </c>
      <c r="C68" s="402" t="str">
        <f>IF(סיווג!AA80&lt;&gt;1,"",סיווג!B80)</f>
        <v>ק.ט.מ.ו.ן קבוצת מחול בירושלים</v>
      </c>
      <c r="D68" s="403">
        <v>22</v>
      </c>
      <c r="E68" s="404">
        <f>סיווג!AB80</f>
        <v>1</v>
      </c>
      <c r="F68" s="405">
        <f t="shared" si="1"/>
        <v>22</v>
      </c>
      <c r="G68" s="98">
        <f t="shared" si="2"/>
        <v>1.2748745407554211E-2</v>
      </c>
      <c r="K68" s="28"/>
    </row>
    <row r="69" spans="2:11" ht="15.75" x14ac:dyDescent="0.25">
      <c r="B69" s="25">
        <f>סיווג!A81</f>
        <v>61</v>
      </c>
      <c r="C69" s="402" t="str">
        <f>IF(סיווג!AA81&lt;&gt;1,"",סיווג!B81)</f>
        <v>רונית זיו</v>
      </c>
      <c r="D69" s="403">
        <v>18</v>
      </c>
      <c r="E69" s="404">
        <f>סיווג!AB81</f>
        <v>1</v>
      </c>
      <c r="F69" s="405">
        <f t="shared" si="1"/>
        <v>18</v>
      </c>
      <c r="G69" s="98">
        <f t="shared" si="2"/>
        <v>1.043079169708981E-2</v>
      </c>
      <c r="K69" s="28"/>
    </row>
    <row r="70" spans="2:11" ht="15.75" x14ac:dyDescent="0.25">
      <c r="B70" s="25">
        <f>סיווג!A82</f>
        <v>62</v>
      </c>
      <c r="C70" s="402" t="str">
        <f>IF(סיווג!AA82&lt;&gt;1,"",סיווג!B82)</f>
        <v>טלי זבילביץ</v>
      </c>
      <c r="D70" s="403">
        <v>13</v>
      </c>
      <c r="E70" s="404">
        <f>סיווג!AB82</f>
        <v>1</v>
      </c>
      <c r="F70" s="405">
        <f t="shared" si="1"/>
        <v>13</v>
      </c>
      <c r="G70" s="98">
        <f t="shared" si="2"/>
        <v>7.5333495590093075E-3</v>
      </c>
      <c r="K70" s="28"/>
    </row>
    <row r="71" spans="2:11" ht="15.75" x14ac:dyDescent="0.25">
      <c r="B71" s="25">
        <f>סיווג!A83</f>
        <v>63</v>
      </c>
      <c r="C71" s="402" t="str">
        <f>IF(סיווג!AA83&lt;&gt;1,"",סיווג!B83)</f>
        <v>רייצ'ל ארדוס</v>
      </c>
      <c r="D71" s="403">
        <v>24</v>
      </c>
      <c r="E71" s="404">
        <f>סיווג!AB83</f>
        <v>1</v>
      </c>
      <c r="F71" s="405">
        <f t="shared" si="1"/>
        <v>24</v>
      </c>
      <c r="G71" s="98">
        <f t="shared" si="2"/>
        <v>1.3907722262786413E-2</v>
      </c>
      <c r="K71" s="28"/>
    </row>
    <row r="72" spans="2:11" ht="15.75" x14ac:dyDescent="0.25">
      <c r="B72" s="25">
        <f>סיווג!A84</f>
        <v>64</v>
      </c>
      <c r="C72" s="402" t="str">
        <f>IF(סיווג!AA84&lt;&gt;1,"",סיווג!B84)</f>
        <v>שירה אביתר</v>
      </c>
      <c r="D72" s="403">
        <v>10</v>
      </c>
      <c r="E72" s="404">
        <f>סיווג!AB84</f>
        <v>1</v>
      </c>
      <c r="F72" s="405">
        <f t="shared" si="1"/>
        <v>10</v>
      </c>
      <c r="G72" s="98">
        <f t="shared" si="2"/>
        <v>5.7948842761610057E-3</v>
      </c>
      <c r="K72" s="28"/>
    </row>
    <row r="73" spans="2:11" ht="15.75" x14ac:dyDescent="0.25">
      <c r="B73" s="25">
        <f>סיווג!A85</f>
        <v>65</v>
      </c>
      <c r="C73" s="402" t="str">
        <f>IF(סיווג!AA85&lt;&gt;1,"",סיווג!B85)</f>
        <v>שלומית פונדמינסקי</v>
      </c>
      <c r="D73" s="403">
        <v>45</v>
      </c>
      <c r="E73" s="404">
        <f>סיווג!AB85</f>
        <v>1</v>
      </c>
      <c r="F73" s="405">
        <f t="shared" si="1"/>
        <v>45</v>
      </c>
      <c r="G73" s="98">
        <f t="shared" ref="G73:G104" si="3">IF(ISERR(F73/$F$121),"",F73/$F$121)</f>
        <v>2.6076979242724525E-2</v>
      </c>
      <c r="K73" s="28"/>
    </row>
    <row r="74" spans="2:11" ht="15.75" x14ac:dyDescent="0.25">
      <c r="B74" s="25">
        <f>סיווג!A86</f>
        <v>66</v>
      </c>
      <c r="C74" s="402" t="str">
        <f>IF(סיווג!AA86&lt;&gt;1,"",סיווג!B86)</f>
        <v/>
      </c>
      <c r="D74" s="403"/>
      <c r="E74" s="404" t="str">
        <f>סיווג!AB86</f>
        <v/>
      </c>
      <c r="F74" s="405" t="str">
        <f t="shared" ref="F74:F108" si="4">IF(C74="","",D74*$D$3*E74)</f>
        <v/>
      </c>
      <c r="G74" s="98" t="str">
        <f t="shared" si="3"/>
        <v/>
      </c>
      <c r="K74" s="28"/>
    </row>
    <row r="75" spans="2:11" ht="15.75" x14ac:dyDescent="0.25">
      <c r="B75" s="25">
        <f>סיווג!A87</f>
        <v>67</v>
      </c>
      <c r="C75" s="402" t="str">
        <f>IF(סיווג!AA87&lt;&gt;1,"",סיווג!B87)</f>
        <v>שרון וזנה</v>
      </c>
      <c r="D75" s="403">
        <v>15</v>
      </c>
      <c r="E75" s="404">
        <f>סיווג!AB87</f>
        <v>1</v>
      </c>
      <c r="F75" s="405">
        <f t="shared" si="4"/>
        <v>15</v>
      </c>
      <c r="G75" s="98">
        <f t="shared" si="3"/>
        <v>8.6923264142415076E-3</v>
      </c>
      <c r="K75" s="28"/>
    </row>
    <row r="76" spans="2:11" ht="15.75" x14ac:dyDescent="0.25">
      <c r="B76" s="25">
        <f>סיווג!A88</f>
        <v>68</v>
      </c>
      <c r="C76" s="402" t="str">
        <f>IF(סיווג!AA88&lt;&gt;1,"",סיווג!B88)</f>
        <v>שרונה פלורסהיים</v>
      </c>
      <c r="D76" s="403">
        <v>19</v>
      </c>
      <c r="E76" s="404">
        <f>סיווג!AB88</f>
        <v>1</v>
      </c>
      <c r="F76" s="405">
        <f t="shared" si="4"/>
        <v>19</v>
      </c>
      <c r="G76" s="98">
        <f t="shared" si="3"/>
        <v>1.1010280124705911E-2</v>
      </c>
      <c r="K76" s="28"/>
    </row>
    <row r="77" spans="2:11" ht="15.75" x14ac:dyDescent="0.25">
      <c r="B77" s="25">
        <f>סיווג!A89</f>
        <v>69</v>
      </c>
      <c r="C77" s="402" t="str">
        <f>IF(סיווג!AA89&lt;&gt;1,"",סיווג!B89)</f>
        <v>תמי ליבוביץ</v>
      </c>
      <c r="D77" s="403">
        <f>IF(C77=סיווג!B89,סיווג!L89,"")</f>
        <v>14</v>
      </c>
      <c r="E77" s="404">
        <f>סיווג!AB89</f>
        <v>1</v>
      </c>
      <c r="F77" s="405">
        <f t="shared" si="4"/>
        <v>14</v>
      </c>
      <c r="G77" s="98">
        <f t="shared" si="3"/>
        <v>8.1128379866254076E-3</v>
      </c>
      <c r="K77" s="28"/>
    </row>
    <row r="78" spans="2:11" ht="15.75" x14ac:dyDescent="0.25">
      <c r="B78" s="25">
        <f>סיווג!A90</f>
        <v>70</v>
      </c>
      <c r="C78" s="402" t="str">
        <f>IF(סיווג!AA90&lt;&gt;1,"",סיווג!B90)</f>
        <v>תמר בורר</v>
      </c>
      <c r="D78" s="403">
        <v>13</v>
      </c>
      <c r="E78" s="404">
        <f>סיווג!AB90</f>
        <v>1</v>
      </c>
      <c r="F78" s="405">
        <f t="shared" si="4"/>
        <v>13</v>
      </c>
      <c r="G78" s="98">
        <f t="shared" si="3"/>
        <v>7.5333495590093075E-3</v>
      </c>
      <c r="K78" s="28"/>
    </row>
    <row r="79" spans="2:11" ht="15.75" x14ac:dyDescent="0.25">
      <c r="B79" s="25">
        <f>סיווג!A91</f>
        <v>71</v>
      </c>
      <c r="C79" s="402" t="str">
        <f>IF(סיווג!AA91&lt;&gt;1,"",סיווג!B91)</f>
        <v>תמי ורונן יצחקי</v>
      </c>
      <c r="D79" s="403">
        <v>15</v>
      </c>
      <c r="E79" s="404">
        <f>סיווג!AB91</f>
        <v>1</v>
      </c>
      <c r="F79" s="405">
        <f t="shared" si="4"/>
        <v>15</v>
      </c>
      <c r="G79" s="98">
        <f t="shared" si="3"/>
        <v>8.6923264142415076E-3</v>
      </c>
      <c r="K79" s="28"/>
    </row>
    <row r="80" spans="2:11" ht="15.75" x14ac:dyDescent="0.25">
      <c r="B80" s="25">
        <f>סיווג!A92</f>
        <v>72</v>
      </c>
      <c r="C80" s="402" t="str">
        <f>IF(סיווג!AA92&lt;&gt;1,"",סיווג!B92)</f>
        <v>רננה רז</v>
      </c>
      <c r="D80" s="403">
        <v>8</v>
      </c>
      <c r="E80" s="404">
        <f>סיווג!AB92</f>
        <v>1</v>
      </c>
      <c r="F80" s="405">
        <f t="shared" si="4"/>
        <v>8</v>
      </c>
      <c r="G80" s="98">
        <f t="shared" si="3"/>
        <v>4.6359074209288047E-3</v>
      </c>
      <c r="K80" s="28"/>
    </row>
    <row r="81" spans="2:11" ht="15.75" x14ac:dyDescent="0.25">
      <c r="B81" s="25">
        <f>סיווג!A93</f>
        <v>73</v>
      </c>
      <c r="C81" s="402" t="str">
        <f>IF(סיווג!AA93&lt;&gt;1,"",סיווג!B93)</f>
        <v>רתם תשח</v>
      </c>
      <c r="D81" s="403">
        <v>5</v>
      </c>
      <c r="E81" s="404">
        <f>סיווג!AB93</f>
        <v>1</v>
      </c>
      <c r="F81" s="405">
        <f t="shared" si="4"/>
        <v>5</v>
      </c>
      <c r="G81" s="98">
        <f t="shared" si="3"/>
        <v>2.8974421380805028E-3</v>
      </c>
      <c r="K81" s="28"/>
    </row>
    <row r="82" spans="2:11" ht="15.75" x14ac:dyDescent="0.25">
      <c r="B82" s="25">
        <f>סיווג!A94</f>
        <v>74</v>
      </c>
      <c r="C82" s="402" t="str">
        <f>IF(סיווג!AA94&lt;&gt;1,"",סיווג!B94)</f>
        <v/>
      </c>
      <c r="D82" s="403"/>
      <c r="E82" s="404" t="str">
        <f>סיווג!AB94</f>
        <v/>
      </c>
      <c r="F82" s="405" t="str">
        <f t="shared" si="4"/>
        <v/>
      </c>
      <c r="G82" s="98" t="str">
        <f t="shared" si="3"/>
        <v/>
      </c>
      <c r="K82" s="28"/>
    </row>
    <row r="83" spans="2:11" ht="15.75" x14ac:dyDescent="0.25">
      <c r="B83" s="25">
        <f>סיווג!A95</f>
        <v>75</v>
      </c>
      <c r="C83" s="402" t="str">
        <f>IF(סיווג!AA95&lt;&gt;1,"",סיווג!B95)</f>
        <v/>
      </c>
      <c r="D83" s="403"/>
      <c r="E83" s="404" t="str">
        <f>סיווג!AB95</f>
        <v/>
      </c>
      <c r="F83" s="405" t="str">
        <f t="shared" si="4"/>
        <v/>
      </c>
      <c r="G83" s="98" t="str">
        <f t="shared" si="3"/>
        <v/>
      </c>
      <c r="K83" s="28"/>
    </row>
    <row r="84" spans="2:11" ht="15.75" x14ac:dyDescent="0.25">
      <c r="B84" s="25">
        <f>סיווג!A96</f>
        <v>76</v>
      </c>
      <c r="C84" s="402" t="str">
        <f>IF(סיווג!AA96&lt;&gt;1,"",סיווג!B96)</f>
        <v>שרון שגיא - פלמנקו</v>
      </c>
      <c r="D84" s="403">
        <v>65</v>
      </c>
      <c r="E84" s="404">
        <f>סיווג!AB96</f>
        <v>1</v>
      </c>
      <c r="F84" s="405">
        <f t="shared" si="4"/>
        <v>65</v>
      </c>
      <c r="G84" s="98">
        <f t="shared" si="3"/>
        <v>3.7666747795046536E-2</v>
      </c>
      <c r="K84" s="28"/>
    </row>
    <row r="85" spans="2:11" ht="15.75" x14ac:dyDescent="0.25">
      <c r="B85" s="25">
        <f>סיווג!A97</f>
        <v>77</v>
      </c>
      <c r="C85" s="402" t="str">
        <f>IF(סיווג!AA97&lt;&gt;1,"",סיווג!B97)</f>
        <v/>
      </c>
      <c r="D85" s="403"/>
      <c r="E85" s="404" t="str">
        <f>סיווג!AB97</f>
        <v/>
      </c>
      <c r="F85" s="405" t="str">
        <f t="shared" si="4"/>
        <v/>
      </c>
      <c r="G85" s="98" t="str">
        <f t="shared" si="3"/>
        <v/>
      </c>
      <c r="K85" s="28"/>
    </row>
    <row r="86" spans="2:11" ht="15.75" x14ac:dyDescent="0.25">
      <c r="B86" s="25">
        <f>סיווג!A98</f>
        <v>78</v>
      </c>
      <c r="C86" s="402" t="str">
        <f>IF(סיווג!AA98&lt;&gt;1,"",סיווג!B98)</f>
        <v>אוליביה קורט מסה</v>
      </c>
      <c r="D86" s="403">
        <v>15</v>
      </c>
      <c r="E86" s="404">
        <f>סיווג!AB98</f>
        <v>1</v>
      </c>
      <c r="F86" s="405">
        <f t="shared" si="4"/>
        <v>15</v>
      </c>
      <c r="G86" s="98">
        <f t="shared" si="3"/>
        <v>8.6923264142415076E-3</v>
      </c>
      <c r="K86" s="28"/>
    </row>
    <row r="87" spans="2:11" ht="15.75" x14ac:dyDescent="0.25">
      <c r="B87" s="25">
        <f>סיווג!A99</f>
        <v>79</v>
      </c>
      <c r="C87" s="402" t="str">
        <f>IF(סיווג!AA99&lt;&gt;1,"",סיווג!B99)</f>
        <v/>
      </c>
      <c r="D87" s="403"/>
      <c r="E87" s="404" t="str">
        <f>סיווג!AB99</f>
        <v/>
      </c>
      <c r="F87" s="405" t="str">
        <f t="shared" si="4"/>
        <v/>
      </c>
      <c r="G87" s="98" t="str">
        <f t="shared" si="3"/>
        <v/>
      </c>
      <c r="K87" s="28"/>
    </row>
    <row r="88" spans="2:11" ht="15.75" x14ac:dyDescent="0.25">
      <c r="B88" s="25">
        <f>סיווג!A100</f>
        <v>80</v>
      </c>
      <c r="C88" s="402" t="str">
        <f>IF(סיווג!AA100&lt;&gt;1,"",סיווג!B100)</f>
        <v/>
      </c>
      <c r="D88" s="403"/>
      <c r="E88" s="404" t="str">
        <f>סיווג!AB100</f>
        <v/>
      </c>
      <c r="F88" s="405" t="str">
        <f t="shared" si="4"/>
        <v/>
      </c>
      <c r="G88" s="98" t="str">
        <f t="shared" si="3"/>
        <v/>
      </c>
      <c r="K88" s="28"/>
    </row>
    <row r="89" spans="2:11" ht="15.75" x14ac:dyDescent="0.25">
      <c r="B89" s="25">
        <f>סיווג!A101</f>
        <v>81</v>
      </c>
      <c r="C89" s="402" t="str">
        <f>IF(סיווג!AA101&lt;&gt;1,"",סיווג!B101)</f>
        <v>דגה פדר</v>
      </c>
      <c r="D89" s="403">
        <f>IF(C89=סיווג!B101,סיווג!L101,"")</f>
        <v>5</v>
      </c>
      <c r="E89" s="404">
        <f>סיווג!AB101</f>
        <v>1</v>
      </c>
      <c r="F89" s="405">
        <f t="shared" si="4"/>
        <v>5</v>
      </c>
      <c r="G89" s="98">
        <f t="shared" si="3"/>
        <v>2.8974421380805028E-3</v>
      </c>
      <c r="K89" s="28"/>
    </row>
    <row r="90" spans="2:11" ht="15.75" x14ac:dyDescent="0.25">
      <c r="B90" s="25">
        <f>סיווג!A102</f>
        <v>82</v>
      </c>
      <c r="C90" s="402" t="str">
        <f>IF(סיווג!AA102&lt;&gt;1,"",סיווג!B102)</f>
        <v>דנה חפוטה</v>
      </c>
      <c r="D90" s="403">
        <v>9</v>
      </c>
      <c r="E90" s="404">
        <f>סיווג!AB102</f>
        <v>1</v>
      </c>
      <c r="F90" s="405">
        <f t="shared" si="4"/>
        <v>9</v>
      </c>
      <c r="G90" s="98">
        <f t="shared" si="3"/>
        <v>5.2153958485449048E-3</v>
      </c>
      <c r="K90" s="28"/>
    </row>
    <row r="91" spans="2:11" ht="15.75" x14ac:dyDescent="0.25">
      <c r="B91" s="25">
        <f>סיווג!A103</f>
        <v>83</v>
      </c>
      <c r="C91" s="402" t="str">
        <f>IF(סיווג!AA103&lt;&gt;1,"",סיווג!B103)</f>
        <v/>
      </c>
      <c r="D91" s="403"/>
      <c r="E91" s="404" t="str">
        <f>סיווג!AB103</f>
        <v/>
      </c>
      <c r="F91" s="405" t="str">
        <f t="shared" si="4"/>
        <v/>
      </c>
      <c r="G91" s="98" t="str">
        <f t="shared" si="3"/>
        <v/>
      </c>
      <c r="K91" s="28"/>
    </row>
    <row r="92" spans="2:11" ht="15.75" x14ac:dyDescent="0.25">
      <c r="B92" s="25">
        <f>סיווג!A104</f>
        <v>84</v>
      </c>
      <c r="C92" s="402" t="str">
        <f>IF(סיווג!AA104&lt;&gt;1,"",סיווג!B104)</f>
        <v/>
      </c>
      <c r="D92" s="403">
        <v>7</v>
      </c>
      <c r="E92" s="404" t="str">
        <f>סיווג!AB104</f>
        <v/>
      </c>
      <c r="F92" s="405" t="str">
        <f t="shared" si="4"/>
        <v/>
      </c>
      <c r="G92" s="98" t="str">
        <f t="shared" si="3"/>
        <v/>
      </c>
      <c r="K92" s="28"/>
    </row>
    <row r="93" spans="2:11" ht="15.75" x14ac:dyDescent="0.25">
      <c r="B93" s="25">
        <f>סיווג!A105</f>
        <v>85</v>
      </c>
      <c r="C93" s="402" t="str">
        <f>IF(סיווג!AA105&lt;&gt;1,"",סיווג!B105)</f>
        <v>יענק'לה פילצר</v>
      </c>
      <c r="D93" s="403">
        <v>41</v>
      </c>
      <c r="E93" s="404">
        <f>סיווג!AB105</f>
        <v>1</v>
      </c>
      <c r="F93" s="405">
        <f t="shared" si="4"/>
        <v>41</v>
      </c>
      <c r="G93" s="98">
        <f t="shared" si="3"/>
        <v>2.3759025532260124E-2</v>
      </c>
      <c r="K93" s="28"/>
    </row>
    <row r="94" spans="2:11" ht="15.75" x14ac:dyDescent="0.25">
      <c r="B94" s="25">
        <f>סיווג!A106</f>
        <v>86</v>
      </c>
      <c r="C94" s="402" t="str">
        <f>IF(סיווג!AA106&lt;&gt;1,"",סיווג!B106)</f>
        <v>ענבל פינטו</v>
      </c>
      <c r="D94" s="403">
        <v>22</v>
      </c>
      <c r="E94" s="404">
        <f>סיווג!AB106</f>
        <v>1</v>
      </c>
      <c r="F94" s="405">
        <f t="shared" si="4"/>
        <v>22</v>
      </c>
      <c r="G94" s="98">
        <f t="shared" si="3"/>
        <v>1.2748745407554211E-2</v>
      </c>
      <c r="K94" s="28"/>
    </row>
    <row r="95" spans="2:11" ht="15.75" x14ac:dyDescent="0.25">
      <c r="B95" s="25">
        <f>סיווג!A107</f>
        <v>87</v>
      </c>
      <c r="C95" s="402" t="str">
        <f>IF(סיווג!AA107&lt;&gt;1,"",סיווג!B107)</f>
        <v>רוני חדש</v>
      </c>
      <c r="D95" s="403">
        <v>15</v>
      </c>
      <c r="E95" s="404">
        <f>סיווג!AB107</f>
        <v>1</v>
      </c>
      <c r="F95" s="405">
        <f t="shared" si="4"/>
        <v>15</v>
      </c>
      <c r="G95" s="98">
        <f t="shared" si="3"/>
        <v>8.6923264142415076E-3</v>
      </c>
      <c r="K95" s="28"/>
    </row>
    <row r="96" spans="2:11" ht="15.75" x14ac:dyDescent="0.25">
      <c r="B96" s="25">
        <f>סיווג!A108</f>
        <v>88</v>
      </c>
      <c r="C96" s="402" t="str">
        <f>IF(סיווג!AA108&lt;&gt;1,"",סיווג!B108)</f>
        <v>שחר בנימיני</v>
      </c>
      <c r="D96" s="403">
        <v>23</v>
      </c>
      <c r="E96" s="404">
        <f>סיווג!AB108</f>
        <v>1</v>
      </c>
      <c r="F96" s="405">
        <f t="shared" si="4"/>
        <v>23</v>
      </c>
      <c r="G96" s="98">
        <f t="shared" si="3"/>
        <v>1.3328233835170313E-2</v>
      </c>
      <c r="K96" s="28"/>
    </row>
    <row r="97" spans="2:11" ht="15.75" x14ac:dyDescent="0.25">
      <c r="B97" s="25">
        <f>סיווג!A109</f>
        <v>89</v>
      </c>
      <c r="C97" s="402" t="str">
        <f>IF(סיווג!AA109&lt;&gt;1,"",סיווג!B109)</f>
        <v>רביד אברבאנל</v>
      </c>
      <c r="D97" s="403">
        <v>20</v>
      </c>
      <c r="E97" s="404">
        <f>סיווג!AB109</f>
        <v>1</v>
      </c>
      <c r="F97" s="405">
        <f t="shared" si="4"/>
        <v>20</v>
      </c>
      <c r="G97" s="98">
        <f t="shared" si="3"/>
        <v>1.1589768552322011E-2</v>
      </c>
      <c r="K97" s="28"/>
    </row>
    <row r="98" spans="2:11" ht="15.75" x14ac:dyDescent="0.25">
      <c r="B98" s="25">
        <f>סיווג!A110</f>
        <v>90</v>
      </c>
      <c r="C98" s="402" t="str">
        <f>IF(סיווג!AA110&lt;&gt;1,"",סיווג!B110)</f>
        <v>שרון פרידמן</v>
      </c>
      <c r="D98" s="403">
        <v>22</v>
      </c>
      <c r="E98" s="404">
        <f>סיווג!AB110</f>
        <v>1</v>
      </c>
      <c r="F98" s="405">
        <f t="shared" si="4"/>
        <v>22</v>
      </c>
      <c r="G98" s="98">
        <f t="shared" si="3"/>
        <v>1.2748745407554211E-2</v>
      </c>
      <c r="K98" s="28"/>
    </row>
    <row r="99" spans="2:11" ht="15.75" x14ac:dyDescent="0.25">
      <c r="B99" s="25">
        <f>סיווג!A111</f>
        <v>91</v>
      </c>
      <c r="C99" s="402" t="str">
        <f>IF(סיווג!AA111&lt;&gt;1,"",סיווג!B111)</f>
        <v>מירב כהן</v>
      </c>
      <c r="D99" s="403">
        <v>5</v>
      </c>
      <c r="E99" s="404">
        <f>סיווג!AB111</f>
        <v>1</v>
      </c>
      <c r="F99" s="405">
        <f t="shared" si="4"/>
        <v>5</v>
      </c>
      <c r="G99" s="98">
        <f t="shared" si="3"/>
        <v>2.8974421380805028E-3</v>
      </c>
      <c r="K99" s="28"/>
    </row>
    <row r="100" spans="2:11" ht="15.75" x14ac:dyDescent="0.25">
      <c r="B100" s="25">
        <f>סיווג!A112</f>
        <v>92</v>
      </c>
      <c r="C100" s="402" t="str">
        <f>IF(סיווג!AA112&lt;&gt;1,"",סיווג!B112)</f>
        <v>קים טייטלבאום</v>
      </c>
      <c r="D100" s="403">
        <v>7</v>
      </c>
      <c r="E100" s="404">
        <f>סיווג!AB112</f>
        <v>1</v>
      </c>
      <c r="F100" s="405">
        <f t="shared" si="4"/>
        <v>7</v>
      </c>
      <c r="G100" s="98">
        <f t="shared" si="3"/>
        <v>4.0564189933127038E-3</v>
      </c>
      <c r="K100" s="28"/>
    </row>
    <row r="101" spans="2:11" ht="15.75" x14ac:dyDescent="0.25">
      <c r="B101" s="25">
        <f>סיווג!A113</f>
        <v>93</v>
      </c>
      <c r="C101" s="402" t="str">
        <f>IF(סיווג!AA113&lt;&gt;1,"",סיווג!B113)</f>
        <v/>
      </c>
      <c r="D101" s="403"/>
      <c r="E101" s="404" t="str">
        <f>סיווג!AB113</f>
        <v/>
      </c>
      <c r="F101" s="405" t="str">
        <f t="shared" si="4"/>
        <v/>
      </c>
      <c r="G101" s="98" t="str">
        <f t="shared" si="3"/>
        <v/>
      </c>
      <c r="K101" s="28"/>
    </row>
    <row r="102" spans="2:11" ht="15.75" x14ac:dyDescent="0.25">
      <c r="B102" s="25">
        <f>סיווג!A114</f>
        <v>94</v>
      </c>
      <c r="C102" s="402" t="str">
        <f>IF(סיווג!AA114&lt;&gt;1,"",סיווג!B114)</f>
        <v>מאי זרחי</v>
      </c>
      <c r="D102" s="403">
        <v>10</v>
      </c>
      <c r="E102" s="404">
        <f>סיווג!AB114</f>
        <v>1</v>
      </c>
      <c r="F102" s="405">
        <f t="shared" si="4"/>
        <v>10</v>
      </c>
      <c r="G102" s="98">
        <f t="shared" si="3"/>
        <v>5.7948842761610057E-3</v>
      </c>
      <c r="K102" s="28"/>
    </row>
    <row r="103" spans="2:11" ht="15.75" x14ac:dyDescent="0.25">
      <c r="B103" s="25">
        <f>סיווג!A115</f>
        <v>95</v>
      </c>
      <c r="C103" s="402" t="str">
        <f>IF(סיווג!AA115&lt;&gt;1,"",סיווג!B115)</f>
        <v>דנה מרכוס</v>
      </c>
      <c r="D103" s="403">
        <v>10</v>
      </c>
      <c r="E103" s="404">
        <f>סיווג!AB115</f>
        <v>1</v>
      </c>
      <c r="F103" s="405">
        <f t="shared" si="4"/>
        <v>10</v>
      </c>
      <c r="G103" s="98">
        <f t="shared" si="3"/>
        <v>5.7948842761610057E-3</v>
      </c>
      <c r="K103" s="28"/>
    </row>
    <row r="104" spans="2:11" ht="15.75" x14ac:dyDescent="0.25">
      <c r="B104" s="25">
        <f>סיווג!A116</f>
        <v>96</v>
      </c>
      <c r="C104" s="402" t="str">
        <f>IF(סיווג!AA116&lt;&gt;1,"",סיווג!B116)</f>
        <v/>
      </c>
      <c r="D104" s="403"/>
      <c r="E104" s="404" t="str">
        <f>סיווג!AB116</f>
        <v/>
      </c>
      <c r="F104" s="405" t="str">
        <f t="shared" si="4"/>
        <v/>
      </c>
      <c r="G104" s="98" t="str">
        <f t="shared" si="3"/>
        <v/>
      </c>
      <c r="K104" s="28"/>
    </row>
    <row r="105" spans="2:11" ht="15.75" x14ac:dyDescent="0.25">
      <c r="B105" s="25">
        <f>סיווג!A117</f>
        <v>97</v>
      </c>
      <c r="C105" s="402" t="str">
        <f>IF(סיווג!AA117&lt;&gt;1,"",סיווג!B117)</f>
        <v/>
      </c>
      <c r="D105" s="403"/>
      <c r="E105" s="404" t="str">
        <f>סיווג!AB117</f>
        <v/>
      </c>
      <c r="F105" s="405" t="str">
        <f t="shared" si="4"/>
        <v/>
      </c>
      <c r="G105" s="98" t="str">
        <f t="shared" ref="G105:G120" si="5">IF(ISERR(F105/$F$121),"",F105/$F$121)</f>
        <v/>
      </c>
      <c r="K105" s="28"/>
    </row>
    <row r="106" spans="2:11" ht="15.75" x14ac:dyDescent="0.25">
      <c r="B106" s="25">
        <f>סיווג!A118</f>
        <v>98</v>
      </c>
      <c r="C106" s="402" t="str">
        <f>IF(סיווג!AA118&lt;&gt;1,"",סיווג!B118)</f>
        <v>שקד מוכיח</v>
      </c>
      <c r="D106" s="403">
        <v>27</v>
      </c>
      <c r="E106" s="404">
        <f>סיווג!AB118</f>
        <v>1</v>
      </c>
      <c r="F106" s="405">
        <f t="shared" si="4"/>
        <v>27</v>
      </c>
      <c r="G106" s="98">
        <f t="shared" si="5"/>
        <v>1.5646187545634713E-2</v>
      </c>
      <c r="K106" s="28"/>
    </row>
    <row r="107" spans="2:11" ht="15.75" x14ac:dyDescent="0.25">
      <c r="B107" s="25">
        <f>סיווג!A119</f>
        <v>99</v>
      </c>
      <c r="C107" s="402" t="str">
        <f>IF(סיווג!AA119&lt;&gt;1,"",סיווג!B119)</f>
        <v>שרון הללי אסא</v>
      </c>
      <c r="D107" s="403">
        <v>19</v>
      </c>
      <c r="E107" s="404">
        <f>סיווג!AB119</f>
        <v>1</v>
      </c>
      <c r="F107" s="405">
        <f t="shared" si="4"/>
        <v>19</v>
      </c>
      <c r="G107" s="98">
        <f t="shared" si="5"/>
        <v>1.1010280124705911E-2</v>
      </c>
      <c r="K107" s="28"/>
    </row>
    <row r="108" spans="2:11" ht="15.75" x14ac:dyDescent="0.25">
      <c r="B108" s="25">
        <f>סיווג!A120</f>
        <v>100</v>
      </c>
      <c r="C108" s="402" t="str">
        <f>IF(סיווג!AA120&lt;&gt;1,"",סיווג!B120)</f>
        <v>להקת ג'אם</v>
      </c>
      <c r="D108" s="403">
        <v>5</v>
      </c>
      <c r="E108" s="404">
        <f>סיווג!AB120</f>
        <v>1</v>
      </c>
      <c r="F108" s="405">
        <f t="shared" si="4"/>
        <v>5</v>
      </c>
      <c r="G108" s="98">
        <f t="shared" si="5"/>
        <v>2.8974421380805028E-3</v>
      </c>
      <c r="K108" s="28"/>
    </row>
    <row r="109" spans="2:11" ht="15.75" x14ac:dyDescent="0.25">
      <c r="B109" s="25">
        <f>סיווג!A121</f>
        <v>101</v>
      </c>
      <c r="C109" s="402" t="str">
        <f>IF(סיווג!AA121&lt;&gt;1,"",סיווג!B121)</f>
        <v/>
      </c>
      <c r="D109" s="403"/>
      <c r="E109" s="404" t="str">
        <f>סיווג!AB121</f>
        <v/>
      </c>
      <c r="F109" s="405" t="str">
        <f t="shared" ref="F109:F120" si="6">IF(C109="","",D109*$D$3*E109)</f>
        <v/>
      </c>
      <c r="G109" s="98" t="str">
        <f t="shared" si="5"/>
        <v/>
      </c>
    </row>
    <row r="110" spans="2:11" ht="15.75" x14ac:dyDescent="0.25">
      <c r="B110" s="25">
        <f>סיווג!A122</f>
        <v>102</v>
      </c>
      <c r="C110" s="402" t="str">
        <f>IF(סיווג!AA122&lt;&gt;1,"",סיווג!B122)</f>
        <v/>
      </c>
      <c r="D110" s="403"/>
      <c r="E110" s="404" t="str">
        <f>סיווג!AB122</f>
        <v/>
      </c>
      <c r="F110" s="405" t="str">
        <f t="shared" si="6"/>
        <v/>
      </c>
      <c r="G110" s="98" t="str">
        <f t="shared" si="5"/>
        <v/>
      </c>
    </row>
    <row r="111" spans="2:11" ht="15.75" x14ac:dyDescent="0.25">
      <c r="B111" s="25">
        <f>סיווג!A123</f>
        <v>103</v>
      </c>
      <c r="C111" s="402" t="str">
        <f>IF(סיווג!AA123&lt;&gt;1,"",סיווג!B123)</f>
        <v/>
      </c>
      <c r="D111" s="403"/>
      <c r="E111" s="404" t="str">
        <f>סיווג!AB123</f>
        <v/>
      </c>
      <c r="F111" s="405" t="str">
        <f t="shared" si="6"/>
        <v/>
      </c>
      <c r="G111" s="98" t="str">
        <f t="shared" si="5"/>
        <v/>
      </c>
    </row>
    <row r="112" spans="2:11" ht="15.75" x14ac:dyDescent="0.25">
      <c r="B112" s="25">
        <f>סיווג!A124</f>
        <v>104</v>
      </c>
      <c r="C112" s="402" t="str">
        <f>IF(סיווג!AA124&lt;&gt;1,"",סיווג!B124)</f>
        <v/>
      </c>
      <c r="D112" s="403"/>
      <c r="E112" s="404" t="str">
        <f>סיווג!AB124</f>
        <v/>
      </c>
      <c r="F112" s="405" t="str">
        <f t="shared" si="6"/>
        <v/>
      </c>
      <c r="G112" s="98" t="str">
        <f t="shared" si="5"/>
        <v/>
      </c>
    </row>
    <row r="113" spans="2:7" ht="15.75" x14ac:dyDescent="0.25">
      <c r="B113" s="25">
        <f>סיווג!A125</f>
        <v>105</v>
      </c>
      <c r="C113" s="402" t="str">
        <f>IF(סיווג!AA125&lt;&gt;1,"",סיווג!B125)</f>
        <v>מורן אברג'ל יצחקי</v>
      </c>
      <c r="D113" s="403">
        <v>6</v>
      </c>
      <c r="E113" s="404">
        <f>סיווג!AB125</f>
        <v>1</v>
      </c>
      <c r="F113" s="405">
        <f t="shared" si="6"/>
        <v>6</v>
      </c>
      <c r="G113" s="98">
        <f t="shared" si="5"/>
        <v>3.4769305656966033E-3</v>
      </c>
    </row>
    <row r="114" spans="2:7" ht="15.75" x14ac:dyDescent="0.25">
      <c r="B114" s="25">
        <f>סיווג!A126</f>
        <v>106</v>
      </c>
      <c r="C114" s="402" t="str">
        <f>IF(סיווג!AA126&lt;&gt;1,"",סיווג!B126)</f>
        <v>מיכל בן צבי</v>
      </c>
      <c r="D114" s="403">
        <v>7</v>
      </c>
      <c r="E114" s="404">
        <f>סיווג!AB126</f>
        <v>1</v>
      </c>
      <c r="F114" s="405">
        <f t="shared" si="6"/>
        <v>7</v>
      </c>
      <c r="G114" s="98">
        <f t="shared" si="5"/>
        <v>4.0564189933127038E-3</v>
      </c>
    </row>
    <row r="115" spans="2:7" ht="15.75" x14ac:dyDescent="0.25">
      <c r="B115" s="25">
        <f>סיווג!A127</f>
        <v>107</v>
      </c>
      <c r="C115" s="402" t="str">
        <f>IF(סיווג!AA127&lt;&gt;1,"",סיווג!B127)</f>
        <v>מיקה קופפר</v>
      </c>
      <c r="D115" s="403">
        <v>8</v>
      </c>
      <c r="E115" s="404">
        <f>סיווג!AB127</f>
        <v>1</v>
      </c>
      <c r="F115" s="405">
        <f t="shared" si="6"/>
        <v>8</v>
      </c>
      <c r="G115" s="98">
        <f t="shared" si="5"/>
        <v>4.6359074209288047E-3</v>
      </c>
    </row>
    <row r="116" spans="2:7" ht="15.75" x14ac:dyDescent="0.25">
      <c r="B116" s="25">
        <f>סיווג!A128</f>
        <v>108</v>
      </c>
      <c r="C116" s="402" t="str">
        <f>IF(סיווג!AA128&lt;&gt;1,"",סיווג!B128)</f>
        <v/>
      </c>
      <c r="D116" s="403"/>
      <c r="E116" s="404" t="str">
        <f>סיווג!AB128</f>
        <v/>
      </c>
      <c r="F116" s="405" t="str">
        <f t="shared" si="6"/>
        <v/>
      </c>
      <c r="G116" s="98" t="str">
        <f t="shared" si="5"/>
        <v/>
      </c>
    </row>
    <row r="117" spans="2:7" ht="15.75" x14ac:dyDescent="0.25">
      <c r="B117" s="25">
        <f>סיווג!A129</f>
        <v>109</v>
      </c>
      <c r="C117" s="402" t="str">
        <f>IF(סיווג!AA129&lt;&gt;1,"",סיווג!B129)</f>
        <v>נועה שילה</v>
      </c>
      <c r="D117" s="403">
        <v>11</v>
      </c>
      <c r="E117" s="404">
        <f>סיווג!AB129</f>
        <v>1</v>
      </c>
      <c r="F117" s="405">
        <f t="shared" si="6"/>
        <v>11</v>
      </c>
      <c r="G117" s="98">
        <f t="shared" si="5"/>
        <v>6.3743727037771057E-3</v>
      </c>
    </row>
    <row r="118" spans="2:7" ht="15.75" x14ac:dyDescent="0.25">
      <c r="B118" s="25">
        <f>סיווג!A130</f>
        <v>110</v>
      </c>
      <c r="C118" s="402" t="str">
        <f>IF(סיווג!AA130&lt;&gt;1,"",סיווג!B130)</f>
        <v/>
      </c>
      <c r="D118" s="403"/>
      <c r="E118" s="404" t="str">
        <f>סיווג!AB130</f>
        <v/>
      </c>
      <c r="F118" s="405" t="str">
        <f t="shared" si="6"/>
        <v/>
      </c>
      <c r="G118" s="98" t="str">
        <f t="shared" si="5"/>
        <v/>
      </c>
    </row>
    <row r="119" spans="2:7" ht="15.75" x14ac:dyDescent="0.25">
      <c r="B119" s="25">
        <f>סיווג!A131</f>
        <v>111</v>
      </c>
      <c r="C119" s="402" t="str">
        <f>IF(סיווג!AA131&lt;&gt;1,"",סיווג!B131)</f>
        <v>עדי בוטרוס אמנויות הבמה (ע"ר)</v>
      </c>
      <c r="D119" s="403">
        <v>21</v>
      </c>
      <c r="E119" s="404">
        <f>סיווג!AB131</f>
        <v>1</v>
      </c>
      <c r="F119" s="405">
        <f t="shared" si="6"/>
        <v>21</v>
      </c>
      <c r="G119" s="98">
        <f t="shared" si="5"/>
        <v>1.2169256979938111E-2</v>
      </c>
    </row>
    <row r="120" spans="2:7" ht="15.75" x14ac:dyDescent="0.25">
      <c r="B120" s="25">
        <f>סיווג!A132</f>
        <v>112</v>
      </c>
      <c r="C120" s="402" t="str">
        <f>IF(סיווג!AA132&lt;&gt;1,"",סיווג!B132)</f>
        <v/>
      </c>
      <c r="D120" s="403"/>
      <c r="E120" s="404" t="str">
        <f>סיווג!AB132</f>
        <v/>
      </c>
      <c r="F120" s="405" t="str">
        <f t="shared" si="6"/>
        <v/>
      </c>
      <c r="G120" s="98" t="str">
        <f t="shared" si="5"/>
        <v/>
      </c>
    </row>
    <row r="121" spans="2:7" ht="16.5" thickBot="1" x14ac:dyDescent="0.3">
      <c r="B121" s="760" t="s">
        <v>41</v>
      </c>
      <c r="C121" s="761"/>
      <c r="D121" s="761"/>
      <c r="E121" s="762"/>
      <c r="F121" s="94">
        <f>SUM(F9:F120)</f>
        <v>1725.6599999999999</v>
      </c>
      <c r="G121" s="95">
        <f>SUM(G9:G120)</f>
        <v>1.0000000000000004</v>
      </c>
    </row>
    <row r="122" spans="2:7" ht="13.5" thickTop="1" x14ac:dyDescent="0.2"/>
  </sheetData>
  <sheetProtection algorithmName="SHA-512" hashValue="tNfb6OsiV9SXh1RlPiwc5c/IZwVGCtXGw3JwKFXIgRVa4HXtbRuHoQOiVF3IQR9upb9De1CPTS/TTVFE9K0fIg==" saltValue="SbnVLH4DXDVhu4IPCwAS4A==" spinCount="100000" sheet="1" scenarios="1" formatColumns="0" formatRows="0" autoFilter="0"/>
  <mergeCells count="5">
    <mergeCell ref="B121:E121"/>
    <mergeCell ref="C1:D1"/>
    <mergeCell ref="C5:D5"/>
    <mergeCell ref="C6:D6"/>
    <mergeCell ref="B7:G7"/>
  </mergeCells>
  <conditionalFormatting sqref="B9:C121">
    <cfRule type="containsBlanks" dxfId="192" priority="9">
      <formula>LEN(TRIM(B9))=0</formula>
    </cfRule>
  </conditionalFormatting>
  <conditionalFormatting sqref="D9:D120">
    <cfRule type="expression" dxfId="191" priority="1">
      <formula>AND($B9="",D9&lt;&gt;"")</formula>
    </cfRule>
    <cfRule type="expression" dxfId="190" priority="2">
      <formula>$C9&lt;&gt;""</formula>
    </cfRule>
  </conditionalFormatting>
  <conditionalFormatting sqref="E5:E6">
    <cfRule type="containsBlanks" dxfId="189" priority="10">
      <formula>LEN(TRIM(E5))=0</formula>
    </cfRule>
  </conditionalFormatting>
  <conditionalFormatting sqref="E9:G121">
    <cfRule type="containsBlanks" dxfId="188" priority="17">
      <formula>LEN(TRIM(E9))=0</formula>
    </cfRule>
  </conditionalFormatting>
  <dataValidations count="1">
    <dataValidation type="whole" allowBlank="1" showInputMessage="1" showErrorMessage="1" sqref="D9:D121" xr:uid="{00000000-0002-0000-0600-000000000000}">
      <formula1>0</formula1>
      <formula2>1000</formula2>
    </dataValidation>
  </dataValidations>
  <printOptions horizontalCentered="1"/>
  <pageMargins left="0.27559055118110237" right="0.19685039370078741" top="0.62992125984251968" bottom="0.47244094488188981" header="0.31496062992125984" footer="0.23622047244094491"/>
  <pageSetup paperSize="9" scale="74" fitToHeight="0" orientation="portrait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Worksheet______3">
    <tabColor theme="5" tint="0.39997558519241921"/>
    <pageSetUpPr fitToPage="1"/>
  </sheetPr>
  <dimension ref="A1:N122"/>
  <sheetViews>
    <sheetView rightToLeft="1" view="pageBreakPreview" zoomScaleNormal="100" zoomScaleSheetLayoutView="100" workbookViewId="0"/>
  </sheetViews>
  <sheetFormatPr defaultColWidth="9.140625" defaultRowHeight="12.75" x14ac:dyDescent="0.2"/>
  <cols>
    <col min="1" max="1" width="10" style="1" bestFit="1" customWidth="1"/>
    <col min="2" max="2" width="31.42578125" style="1" bestFit="1" customWidth="1"/>
    <col min="3" max="3" width="18.7109375" style="1" bestFit="1" customWidth="1"/>
    <col min="4" max="4" width="19.28515625" style="1" customWidth="1"/>
    <col min="5" max="5" width="22" style="1" bestFit="1" customWidth="1"/>
    <col min="6" max="6" width="16.85546875" style="1" bestFit="1" customWidth="1"/>
    <col min="7" max="7" width="24.42578125" style="1" bestFit="1" customWidth="1"/>
    <col min="8" max="8" width="14.140625" style="1" customWidth="1"/>
    <col min="9" max="9" width="13" style="1" customWidth="1"/>
    <col min="10" max="10" width="10.28515625" style="1" hidden="1" customWidth="1"/>
    <col min="11" max="13" width="4.85546875" style="1" hidden="1" customWidth="1"/>
    <col min="14" max="26" width="0" style="1" hidden="1" customWidth="1"/>
    <col min="27" max="16384" width="9.140625" style="1"/>
  </cols>
  <sheetData>
    <row r="1" spans="1:14" ht="18" customHeight="1" x14ac:dyDescent="0.25">
      <c r="B1" s="767" t="str">
        <f>פרמטרים!B14</f>
        <v>מפתח סימול וניקוד מספר רקדנים ומבצעים</v>
      </c>
      <c r="C1" s="768"/>
      <c r="E1" s="769" t="str">
        <f>פרמטרים!C1</f>
        <v>שנת התקציב</v>
      </c>
      <c r="F1" s="770"/>
      <c r="G1" s="773">
        <f>פרמטרים!E1</f>
        <v>2025</v>
      </c>
      <c r="H1" s="774"/>
      <c r="J1" s="1">
        <v>1</v>
      </c>
      <c r="K1" s="1">
        <v>0</v>
      </c>
      <c r="L1" s="1" t="s">
        <v>76</v>
      </c>
    </row>
    <row r="2" spans="1:14" ht="19.5" thickBot="1" x14ac:dyDescent="0.25">
      <c r="B2" s="39" t="str">
        <f>פרמטרים!B15</f>
        <v xml:space="preserve">סוג </v>
      </c>
      <c r="C2" s="40" t="str">
        <f>פרמטרים!C15</f>
        <v>ניקוד</v>
      </c>
      <c r="E2" s="771" t="str">
        <f>פרמטרים!C2</f>
        <v>תקציב</v>
      </c>
      <c r="F2" s="772"/>
      <c r="G2" s="775">
        <f>פרמטרים!E2</f>
        <v>8082764</v>
      </c>
      <c r="H2" s="776"/>
    </row>
    <row r="3" spans="1:14" x14ac:dyDescent="0.2">
      <c r="B3" s="48" t="str">
        <f>פרמטרים!B16</f>
        <v>רקדנים</v>
      </c>
      <c r="C3" s="58">
        <f>פרמטרים!C16</f>
        <v>1</v>
      </c>
      <c r="D3" s="32"/>
    </row>
    <row r="4" spans="1:14" x14ac:dyDescent="0.2">
      <c r="B4" s="48" t="str">
        <f>פרמטרים!B17</f>
        <v>מבצעים</v>
      </c>
      <c r="C4" s="58">
        <f>פרמטרים!C17</f>
        <v>1</v>
      </c>
      <c r="D4" s="32"/>
    </row>
    <row r="5" spans="1:14" x14ac:dyDescent="0.2">
      <c r="B5" s="41"/>
      <c r="C5" s="41"/>
      <c r="D5" s="41"/>
    </row>
    <row r="6" spans="1:14" x14ac:dyDescent="0.2">
      <c r="B6" s="41"/>
      <c r="C6" s="41"/>
      <c r="D6" s="32"/>
    </row>
    <row r="7" spans="1:14" ht="19.5" thickBot="1" x14ac:dyDescent="0.35">
      <c r="A7" s="714" t="str">
        <f ca="1">"שיעור יחסי במשתנה "&amp;MID(CELL("filename",I15),FIND("]",CELL("filename",I15),1)+1,99)</f>
        <v>שיעור יחסי במשתנה רקדנים ומבצעים</v>
      </c>
      <c r="B7" s="715"/>
      <c r="C7" s="715"/>
      <c r="D7" s="715"/>
      <c r="E7" s="715"/>
      <c r="F7" s="715"/>
      <c r="G7" s="715"/>
      <c r="H7" s="715"/>
      <c r="I7" s="715"/>
    </row>
    <row r="8" spans="1:14" ht="126.75" thickBot="1" x14ac:dyDescent="0.25">
      <c r="A8" s="93" t="s">
        <v>206</v>
      </c>
      <c r="B8" s="52" t="s">
        <v>225</v>
      </c>
      <c r="C8" s="52" t="s">
        <v>442</v>
      </c>
      <c r="D8" s="36" t="s">
        <v>229</v>
      </c>
      <c r="E8" s="36" t="s">
        <v>230</v>
      </c>
      <c r="F8" s="36" t="s">
        <v>231</v>
      </c>
      <c r="G8" s="36" t="s">
        <v>226</v>
      </c>
      <c r="H8" s="36" t="s">
        <v>232</v>
      </c>
      <c r="I8" s="36" t="s">
        <v>228</v>
      </c>
    </row>
    <row r="9" spans="1:14" ht="15.75" x14ac:dyDescent="0.25">
      <c r="A9" s="9">
        <f>הרצות!B9</f>
        <v>1</v>
      </c>
      <c r="B9" s="402" t="str">
        <f>הרצות!C9</f>
        <v>סילביה דוראן</v>
      </c>
      <c r="C9" s="403">
        <v>1</v>
      </c>
      <c r="D9" s="72">
        <v>2</v>
      </c>
      <c r="E9" s="72">
        <v>0</v>
      </c>
      <c r="F9" s="406">
        <f t="shared" ref="F9:F40" si="0">IF(B9="","",D9+E9)</f>
        <v>2</v>
      </c>
      <c r="G9" s="407">
        <f>סיווג!AB21</f>
        <v>0.33</v>
      </c>
      <c r="H9" s="405">
        <f>IF(B9="","",IF(C9="",$L$1,IF(C9=$K$1,0,IF(B9="","",(D9*$C$3+E9*$C$4)*G9))))</f>
        <v>0.66</v>
      </c>
      <c r="I9" s="408">
        <f t="shared" ref="I9:I40" si="1">IF(ISERR(H9/$H$121),"",H9/$H$121)</f>
        <v>9.6822462811372244E-4</v>
      </c>
      <c r="M9" s="28"/>
      <c r="N9" s="28"/>
    </row>
    <row r="10" spans="1:14" ht="15.75" x14ac:dyDescent="0.25">
      <c r="A10" s="9">
        <f>הרצות!B10</f>
        <v>2</v>
      </c>
      <c r="B10" s="402" t="str">
        <f>הרצות!C10</f>
        <v>רנה שינפלד</v>
      </c>
      <c r="C10" s="403">
        <v>1</v>
      </c>
      <c r="D10" s="403">
        <v>6</v>
      </c>
      <c r="E10" s="403">
        <v>0</v>
      </c>
      <c r="F10" s="406">
        <f t="shared" si="0"/>
        <v>6</v>
      </c>
      <c r="G10" s="407">
        <f>סיווג!AB22</f>
        <v>1</v>
      </c>
      <c r="H10" s="405">
        <f t="shared" ref="H10:H73" si="2">IF(B10="","",IF(C10="",$L$1,IF(C10=$K$1,0,IF(B10="","",(D10*$C$3+E10*$C$4)*G10))))</f>
        <v>6</v>
      </c>
      <c r="I10" s="408">
        <f t="shared" si="1"/>
        <v>8.802042073761113E-3</v>
      </c>
      <c r="M10" s="28"/>
      <c r="N10" s="28"/>
    </row>
    <row r="11" spans="1:14" ht="15.75" x14ac:dyDescent="0.25">
      <c r="A11" s="9">
        <f>הרצות!B11</f>
        <v>3</v>
      </c>
      <c r="B11" s="402" t="str">
        <f>הרצות!C11</f>
        <v>אבי קייזר וסרג'יו אנטוניניו</v>
      </c>
      <c r="C11" s="403">
        <v>1</v>
      </c>
      <c r="D11" s="403">
        <v>2</v>
      </c>
      <c r="E11" s="403">
        <v>0</v>
      </c>
      <c r="F11" s="406">
        <f t="shared" si="0"/>
        <v>2</v>
      </c>
      <c r="G11" s="407">
        <f>סיווג!AB23</f>
        <v>1</v>
      </c>
      <c r="H11" s="405">
        <f t="shared" si="2"/>
        <v>2</v>
      </c>
      <c r="I11" s="408">
        <f t="shared" si="1"/>
        <v>2.9340140245870377E-3</v>
      </c>
      <c r="M11" s="28"/>
      <c r="N11" s="28"/>
    </row>
    <row r="12" spans="1:14" ht="15.75" x14ac:dyDescent="0.25">
      <c r="A12" s="9">
        <f>הרצות!B12</f>
        <v>4</v>
      </c>
      <c r="B12" s="402" t="str">
        <f>הרצות!C12</f>
        <v/>
      </c>
      <c r="C12" s="403"/>
      <c r="D12" s="403"/>
      <c r="E12" s="403"/>
      <c r="F12" s="406" t="str">
        <f t="shared" si="0"/>
        <v/>
      </c>
      <c r="G12" s="407" t="str">
        <f>סיווג!AB24</f>
        <v/>
      </c>
      <c r="H12" s="405" t="str">
        <f t="shared" si="2"/>
        <v/>
      </c>
      <c r="I12" s="408" t="str">
        <f t="shared" si="1"/>
        <v/>
      </c>
      <c r="M12" s="28"/>
      <c r="N12" s="28"/>
    </row>
    <row r="13" spans="1:14" ht="15.75" x14ac:dyDescent="0.25">
      <c r="A13" s="9">
        <f>הרצות!B13</f>
        <v>5</v>
      </c>
      <c r="B13" s="402" t="str">
        <f>הרצות!C13</f>
        <v>אדוה ירמיהו</v>
      </c>
      <c r="C13" s="403">
        <v>1</v>
      </c>
      <c r="D13" s="403">
        <v>6</v>
      </c>
      <c r="E13" s="403">
        <v>11</v>
      </c>
      <c r="F13" s="406">
        <f t="shared" si="0"/>
        <v>17</v>
      </c>
      <c r="G13" s="407">
        <f>סיווג!AB25</f>
        <v>1</v>
      </c>
      <c r="H13" s="405">
        <f t="shared" si="2"/>
        <v>17</v>
      </c>
      <c r="I13" s="408">
        <f t="shared" si="1"/>
        <v>2.4939119208989821E-2</v>
      </c>
      <c r="M13" s="28"/>
      <c r="N13" s="28"/>
    </row>
    <row r="14" spans="1:14" ht="15.75" x14ac:dyDescent="0.25">
      <c r="A14" s="9">
        <f>הרצות!B14</f>
        <v>6</v>
      </c>
      <c r="B14" s="402" t="str">
        <f>הרצות!C14</f>
        <v>אהרונה ישראל</v>
      </c>
      <c r="C14" s="403">
        <v>1</v>
      </c>
      <c r="D14" s="403">
        <v>2</v>
      </c>
      <c r="E14" s="403">
        <v>0</v>
      </c>
      <c r="F14" s="406">
        <f t="shared" si="0"/>
        <v>2</v>
      </c>
      <c r="G14" s="407">
        <f>סיווג!AB26</f>
        <v>1</v>
      </c>
      <c r="H14" s="405">
        <f t="shared" si="2"/>
        <v>2</v>
      </c>
      <c r="I14" s="408">
        <f t="shared" si="1"/>
        <v>2.9340140245870377E-3</v>
      </c>
      <c r="M14" s="28"/>
      <c r="N14" s="28"/>
    </row>
    <row r="15" spans="1:14" ht="15.75" x14ac:dyDescent="0.25">
      <c r="A15" s="9">
        <f>הרצות!B15</f>
        <v>7</v>
      </c>
      <c r="B15" s="402" t="str">
        <f>הרצות!C15</f>
        <v>אופיר יודילביץ</v>
      </c>
      <c r="C15" s="403">
        <v>1</v>
      </c>
      <c r="D15" s="403">
        <v>5</v>
      </c>
      <c r="E15" s="403">
        <v>0</v>
      </c>
      <c r="F15" s="406">
        <f t="shared" si="0"/>
        <v>5</v>
      </c>
      <c r="G15" s="407">
        <f>סיווג!AB27</f>
        <v>1</v>
      </c>
      <c r="H15" s="405">
        <f t="shared" si="2"/>
        <v>5</v>
      </c>
      <c r="I15" s="408">
        <f t="shared" si="1"/>
        <v>7.3350350614675942E-3</v>
      </c>
      <c r="M15" s="28"/>
      <c r="N15" s="28"/>
    </row>
    <row r="16" spans="1:14" ht="15.75" x14ac:dyDescent="0.25">
      <c r="A16" s="9">
        <f>הרצות!B16</f>
        <v>8</v>
      </c>
      <c r="B16" s="402" t="str">
        <f>הרצות!C16</f>
        <v>אור מרין ואורן נחום</v>
      </c>
      <c r="C16" s="403">
        <v>1</v>
      </c>
      <c r="D16" s="403">
        <v>3</v>
      </c>
      <c r="E16" s="403">
        <v>0</v>
      </c>
      <c r="F16" s="406">
        <f t="shared" si="0"/>
        <v>3</v>
      </c>
      <c r="G16" s="407">
        <f>סיווג!AB28</f>
        <v>1</v>
      </c>
      <c r="H16" s="405">
        <f t="shared" si="2"/>
        <v>3</v>
      </c>
      <c r="I16" s="408">
        <f t="shared" si="1"/>
        <v>4.4010210368805565E-3</v>
      </c>
      <c r="M16" s="28"/>
      <c r="N16" s="28"/>
    </row>
    <row r="17" spans="1:14" ht="15.75" x14ac:dyDescent="0.25">
      <c r="A17" s="9">
        <f>הרצות!B17</f>
        <v>9</v>
      </c>
      <c r="B17" s="402" t="str">
        <f>הרצות!C17</f>
        <v>אורי שפיר</v>
      </c>
      <c r="C17" s="403">
        <v>1</v>
      </c>
      <c r="D17" s="403">
        <v>8</v>
      </c>
      <c r="E17" s="403">
        <v>1</v>
      </c>
      <c r="F17" s="406">
        <f t="shared" si="0"/>
        <v>9</v>
      </c>
      <c r="G17" s="407">
        <f>סיווג!AB29</f>
        <v>1</v>
      </c>
      <c r="H17" s="405">
        <f t="shared" si="2"/>
        <v>9</v>
      </c>
      <c r="I17" s="408">
        <f t="shared" si="1"/>
        <v>1.3203063110641669E-2</v>
      </c>
      <c r="M17" s="28"/>
      <c r="N17" s="28"/>
    </row>
    <row r="18" spans="1:14" ht="15.75" x14ac:dyDescent="0.25">
      <c r="A18" s="9">
        <f>הרצות!B18</f>
        <v>10</v>
      </c>
      <c r="B18" s="402" t="str">
        <f>הרצות!C18</f>
        <v>אורלי פורטל</v>
      </c>
      <c r="C18" s="403">
        <v>1</v>
      </c>
      <c r="D18" s="403">
        <v>18</v>
      </c>
      <c r="E18" s="403">
        <v>0</v>
      </c>
      <c r="F18" s="406">
        <f t="shared" si="0"/>
        <v>18</v>
      </c>
      <c r="G18" s="407">
        <f>סיווג!AB30</f>
        <v>1</v>
      </c>
      <c r="H18" s="405">
        <f t="shared" si="2"/>
        <v>18</v>
      </c>
      <c r="I18" s="408">
        <f t="shared" si="1"/>
        <v>2.6406126221283337E-2</v>
      </c>
      <c r="M18" s="28"/>
      <c r="N18" s="28"/>
    </row>
    <row r="19" spans="1:14" ht="15.75" x14ac:dyDescent="0.25">
      <c r="A19" s="9">
        <f>הרצות!B19</f>
        <v>11</v>
      </c>
      <c r="B19" s="402" t="str">
        <f>הרצות!C19</f>
        <v/>
      </c>
      <c r="C19" s="403"/>
      <c r="D19" s="403"/>
      <c r="E19" s="403"/>
      <c r="F19" s="406" t="str">
        <f t="shared" si="0"/>
        <v/>
      </c>
      <c r="G19" s="407" t="str">
        <f>סיווג!AB31</f>
        <v/>
      </c>
      <c r="H19" s="405" t="str">
        <f t="shared" si="2"/>
        <v/>
      </c>
      <c r="I19" s="408" t="str">
        <f t="shared" si="1"/>
        <v/>
      </c>
      <c r="M19" s="28"/>
      <c r="N19" s="28"/>
    </row>
    <row r="20" spans="1:14" ht="15.75" x14ac:dyDescent="0.25">
      <c r="A20" s="9">
        <f>הרצות!B20</f>
        <v>12</v>
      </c>
      <c r="B20" s="402" t="str">
        <f>הרצות!C20</f>
        <v>אורין יוחנן</v>
      </c>
      <c r="C20" s="403">
        <v>1</v>
      </c>
      <c r="D20" s="403">
        <v>2</v>
      </c>
      <c r="E20" s="403">
        <v>0</v>
      </c>
      <c r="F20" s="406">
        <f t="shared" si="0"/>
        <v>2</v>
      </c>
      <c r="G20" s="407">
        <f>סיווג!AB32</f>
        <v>1</v>
      </c>
      <c r="H20" s="405">
        <f t="shared" si="2"/>
        <v>2</v>
      </c>
      <c r="I20" s="408">
        <f t="shared" si="1"/>
        <v>2.9340140245870377E-3</v>
      </c>
      <c r="M20" s="28"/>
      <c r="N20" s="28"/>
    </row>
    <row r="21" spans="1:14" ht="15.75" x14ac:dyDescent="0.25">
      <c r="A21" s="9">
        <f>הרצות!B21</f>
        <v>13</v>
      </c>
      <c r="B21" s="402" t="str">
        <f>הרצות!C21</f>
        <v>איריס ארז</v>
      </c>
      <c r="C21" s="403">
        <v>1</v>
      </c>
      <c r="D21" s="403">
        <v>42</v>
      </c>
      <c r="E21" s="403">
        <v>0</v>
      </c>
      <c r="F21" s="406">
        <f t="shared" si="0"/>
        <v>42</v>
      </c>
      <c r="G21" s="407">
        <f>סיווג!AB33</f>
        <v>1</v>
      </c>
      <c r="H21" s="405">
        <f t="shared" si="2"/>
        <v>42</v>
      </c>
      <c r="I21" s="408">
        <f t="shared" si="1"/>
        <v>6.1614294516327793E-2</v>
      </c>
      <c r="M21" s="28"/>
      <c r="N21" s="28"/>
    </row>
    <row r="22" spans="1:14" ht="15.75" x14ac:dyDescent="0.25">
      <c r="A22" s="9">
        <f>הרצות!B22</f>
        <v>14</v>
      </c>
      <c r="B22" s="402" t="str">
        <f>הרצות!C22</f>
        <v/>
      </c>
      <c r="C22" s="403"/>
      <c r="D22" s="403"/>
      <c r="E22" s="403"/>
      <c r="F22" s="406" t="str">
        <f t="shared" si="0"/>
        <v/>
      </c>
      <c r="G22" s="407" t="str">
        <f>סיווג!AB34</f>
        <v/>
      </c>
      <c r="H22" s="405" t="str">
        <f t="shared" si="2"/>
        <v/>
      </c>
      <c r="I22" s="408" t="str">
        <f t="shared" si="1"/>
        <v/>
      </c>
      <c r="M22" s="28"/>
      <c r="N22" s="28"/>
    </row>
    <row r="23" spans="1:14" ht="15.75" x14ac:dyDescent="0.25">
      <c r="A23" s="9">
        <f>הרצות!B23</f>
        <v>15</v>
      </c>
      <c r="B23" s="402" t="str">
        <f>הרצות!C23</f>
        <v>ענבל אושמן</v>
      </c>
      <c r="C23" s="403">
        <v>1</v>
      </c>
      <c r="D23" s="403">
        <v>6</v>
      </c>
      <c r="E23" s="403">
        <v>4</v>
      </c>
      <c r="F23" s="406">
        <f t="shared" si="0"/>
        <v>10</v>
      </c>
      <c r="G23" s="407">
        <f>סיווג!AB35</f>
        <v>1</v>
      </c>
      <c r="H23" s="405">
        <f t="shared" si="2"/>
        <v>10</v>
      </c>
      <c r="I23" s="408">
        <f t="shared" si="1"/>
        <v>1.4670070122935188E-2</v>
      </c>
      <c r="M23" s="28"/>
      <c r="N23" s="28"/>
    </row>
    <row r="24" spans="1:14" ht="15.75" x14ac:dyDescent="0.25">
      <c r="A24" s="9">
        <f>הרצות!B24</f>
        <v>16</v>
      </c>
      <c r="B24" s="402" t="str">
        <f>הרצות!C24</f>
        <v>אנדריאה מרטיני</v>
      </c>
      <c r="C24" s="403">
        <v>1</v>
      </c>
      <c r="D24" s="403">
        <v>5</v>
      </c>
      <c r="E24" s="403">
        <v>0</v>
      </c>
      <c r="F24" s="406">
        <f t="shared" si="0"/>
        <v>5</v>
      </c>
      <c r="G24" s="407">
        <f>סיווג!AB36</f>
        <v>1</v>
      </c>
      <c r="H24" s="405">
        <f t="shared" si="2"/>
        <v>5</v>
      </c>
      <c r="I24" s="408">
        <f t="shared" si="1"/>
        <v>7.3350350614675942E-3</v>
      </c>
      <c r="M24" s="28"/>
      <c r="N24" s="28"/>
    </row>
    <row r="25" spans="1:14" ht="15.75" x14ac:dyDescent="0.25">
      <c r="A25" s="9">
        <f>הרצות!B25</f>
        <v>17</v>
      </c>
      <c r="B25" s="402" t="str">
        <f>הרצות!C25</f>
        <v>אפרת רובין</v>
      </c>
      <c r="C25" s="403">
        <v>1</v>
      </c>
      <c r="D25" s="403">
        <v>4</v>
      </c>
      <c r="E25" s="403">
        <v>3</v>
      </c>
      <c r="F25" s="406">
        <f t="shared" si="0"/>
        <v>7</v>
      </c>
      <c r="G25" s="407">
        <f>סיווג!AB37</f>
        <v>1</v>
      </c>
      <c r="H25" s="405">
        <f t="shared" si="2"/>
        <v>7</v>
      </c>
      <c r="I25" s="408">
        <f t="shared" si="1"/>
        <v>1.0269049086054631E-2</v>
      </c>
      <c r="M25" s="28"/>
      <c r="N25" s="28"/>
    </row>
    <row r="26" spans="1:14" ht="15.75" x14ac:dyDescent="0.25">
      <c r="A26" s="9">
        <f>הרצות!B26</f>
        <v>18</v>
      </c>
      <c r="B26" s="402" t="str">
        <f>הרצות!C26</f>
        <v>שרון צוקרמן</v>
      </c>
      <c r="C26" s="403">
        <v>1</v>
      </c>
      <c r="D26" s="403">
        <v>4</v>
      </c>
      <c r="E26" s="403">
        <v>2</v>
      </c>
      <c r="F26" s="406">
        <f t="shared" si="0"/>
        <v>6</v>
      </c>
      <c r="G26" s="407">
        <f>סיווג!AB38</f>
        <v>1</v>
      </c>
      <c r="H26" s="405">
        <f t="shared" si="2"/>
        <v>6</v>
      </c>
      <c r="I26" s="408">
        <f t="shared" si="1"/>
        <v>8.802042073761113E-3</v>
      </c>
      <c r="M26" s="28"/>
      <c r="N26" s="28"/>
    </row>
    <row r="27" spans="1:14" ht="15.75" x14ac:dyDescent="0.25">
      <c r="A27" s="9">
        <f>הרצות!B27</f>
        <v>19</v>
      </c>
      <c r="B27" s="402" t="str">
        <f>הרצות!C27</f>
        <v>בשמת נוסן</v>
      </c>
      <c r="C27" s="403">
        <v>1</v>
      </c>
      <c r="D27" s="403">
        <v>4</v>
      </c>
      <c r="E27" s="403">
        <v>0</v>
      </c>
      <c r="F27" s="406">
        <f t="shared" si="0"/>
        <v>4</v>
      </c>
      <c r="G27" s="407">
        <f>סיווג!AB39</f>
        <v>1</v>
      </c>
      <c r="H27" s="405">
        <f t="shared" si="2"/>
        <v>4</v>
      </c>
      <c r="I27" s="408">
        <f t="shared" si="1"/>
        <v>5.8680280491740754E-3</v>
      </c>
      <c r="M27" s="28"/>
      <c r="N27" s="28"/>
    </row>
    <row r="28" spans="1:14" ht="15.75" x14ac:dyDescent="0.25">
      <c r="A28" s="9">
        <f>הרצות!B28</f>
        <v>20</v>
      </c>
      <c r="B28" s="402" t="str">
        <f>הרצות!C28</f>
        <v>גיל קרר</v>
      </c>
      <c r="C28" s="403">
        <v>1</v>
      </c>
      <c r="D28" s="403">
        <v>6</v>
      </c>
      <c r="E28" s="403">
        <v>0</v>
      </c>
      <c r="F28" s="406">
        <f t="shared" si="0"/>
        <v>6</v>
      </c>
      <c r="G28" s="407">
        <f>סיווג!AB40</f>
        <v>1</v>
      </c>
      <c r="H28" s="405">
        <f t="shared" si="2"/>
        <v>6</v>
      </c>
      <c r="I28" s="408">
        <f t="shared" si="1"/>
        <v>8.802042073761113E-3</v>
      </c>
      <c r="M28" s="28"/>
      <c r="N28" s="28"/>
    </row>
    <row r="29" spans="1:14" ht="15.75" x14ac:dyDescent="0.25">
      <c r="A29" s="9">
        <f>הרצות!B29</f>
        <v>21</v>
      </c>
      <c r="B29" s="402" t="str">
        <f>הרצות!C29</f>
        <v>דינה תלם</v>
      </c>
      <c r="C29" s="403">
        <v>1</v>
      </c>
      <c r="D29" s="403">
        <v>8</v>
      </c>
      <c r="E29" s="403">
        <v>0</v>
      </c>
      <c r="F29" s="406">
        <f t="shared" si="0"/>
        <v>8</v>
      </c>
      <c r="G29" s="407">
        <f>סיווג!AB41</f>
        <v>1</v>
      </c>
      <c r="H29" s="405">
        <f t="shared" si="2"/>
        <v>8</v>
      </c>
      <c r="I29" s="408">
        <f t="shared" si="1"/>
        <v>1.1736056098348151E-2</v>
      </c>
      <c r="M29" s="28"/>
      <c r="N29" s="28"/>
    </row>
    <row r="30" spans="1:14" ht="15.75" x14ac:dyDescent="0.25">
      <c r="A30" s="9">
        <f>הרצות!B30</f>
        <v>22</v>
      </c>
      <c r="B30" s="402" t="str">
        <f>הרצות!C30</f>
        <v>דנה יהלומי</v>
      </c>
      <c r="C30" s="403">
        <v>1</v>
      </c>
      <c r="D30" s="403">
        <v>10</v>
      </c>
      <c r="E30" s="403">
        <v>0</v>
      </c>
      <c r="F30" s="406">
        <f t="shared" si="0"/>
        <v>10</v>
      </c>
      <c r="G30" s="407">
        <f>סיווג!AB42</f>
        <v>1</v>
      </c>
      <c r="H30" s="405">
        <f t="shared" si="2"/>
        <v>10</v>
      </c>
      <c r="I30" s="408">
        <f t="shared" si="1"/>
        <v>1.4670070122935188E-2</v>
      </c>
      <c r="M30" s="28"/>
      <c r="N30" s="28"/>
    </row>
    <row r="31" spans="1:14" ht="15.75" x14ac:dyDescent="0.25">
      <c r="A31" s="9">
        <f>הרצות!B31</f>
        <v>23</v>
      </c>
      <c r="B31" s="402" t="str">
        <f>הרצות!C31</f>
        <v>דנה רוטנברג</v>
      </c>
      <c r="C31" s="403">
        <v>1</v>
      </c>
      <c r="D31" s="403">
        <v>7</v>
      </c>
      <c r="E31" s="403">
        <v>0</v>
      </c>
      <c r="F31" s="406">
        <f t="shared" si="0"/>
        <v>7</v>
      </c>
      <c r="G31" s="407">
        <f>סיווג!AB43</f>
        <v>1</v>
      </c>
      <c r="H31" s="405">
        <f t="shared" si="2"/>
        <v>7</v>
      </c>
      <c r="I31" s="408">
        <f t="shared" si="1"/>
        <v>1.0269049086054631E-2</v>
      </c>
      <c r="M31" s="28"/>
      <c r="N31" s="28"/>
    </row>
    <row r="32" spans="1:14" ht="15.75" x14ac:dyDescent="0.25">
      <c r="A32" s="9">
        <f>הרצות!B32</f>
        <v>24</v>
      </c>
      <c r="B32" s="402" t="str">
        <f>הרצות!C32</f>
        <v>דפי אלטבב</v>
      </c>
      <c r="C32" s="403">
        <v>1</v>
      </c>
      <c r="D32" s="403">
        <v>11</v>
      </c>
      <c r="E32" s="403">
        <v>0</v>
      </c>
      <c r="F32" s="406">
        <f t="shared" si="0"/>
        <v>11</v>
      </c>
      <c r="G32" s="407">
        <f>סיווג!AB44</f>
        <v>1</v>
      </c>
      <c r="H32" s="405">
        <f t="shared" si="2"/>
        <v>11</v>
      </c>
      <c r="I32" s="408">
        <f t="shared" si="1"/>
        <v>1.6137077135228706E-2</v>
      </c>
      <c r="M32" s="28"/>
      <c r="N32" s="28"/>
    </row>
    <row r="33" spans="1:14" ht="15.75" x14ac:dyDescent="0.25">
      <c r="A33" s="9">
        <f>הרצות!B33</f>
        <v>25</v>
      </c>
      <c r="B33" s="402" t="str">
        <f>הרצות!C33</f>
        <v>הלל קוגן</v>
      </c>
      <c r="C33" s="403">
        <v>1</v>
      </c>
      <c r="D33" s="403">
        <v>4</v>
      </c>
      <c r="E33" s="403">
        <v>0</v>
      </c>
      <c r="F33" s="406">
        <f t="shared" si="0"/>
        <v>4</v>
      </c>
      <c r="G33" s="407">
        <f>סיווג!AB45</f>
        <v>1</v>
      </c>
      <c r="H33" s="405">
        <f t="shared" si="2"/>
        <v>4</v>
      </c>
      <c r="I33" s="408">
        <f t="shared" si="1"/>
        <v>5.8680280491740754E-3</v>
      </c>
      <c r="M33" s="28"/>
      <c r="N33" s="28"/>
    </row>
    <row r="34" spans="1:14" ht="15.75" x14ac:dyDescent="0.25">
      <c r="A34" s="9">
        <f>הרצות!B34</f>
        <v>26</v>
      </c>
      <c r="B34" s="402" t="str">
        <f>הרצות!C34</f>
        <v>אנאבל דביר</v>
      </c>
      <c r="C34" s="403">
        <v>1</v>
      </c>
      <c r="D34" s="403">
        <v>7</v>
      </c>
      <c r="E34" s="403">
        <v>3</v>
      </c>
      <c r="F34" s="406">
        <f t="shared" si="0"/>
        <v>10</v>
      </c>
      <c r="G34" s="407">
        <f>סיווג!AB46</f>
        <v>1</v>
      </c>
      <c r="H34" s="405">
        <f t="shared" si="2"/>
        <v>10</v>
      </c>
      <c r="I34" s="408">
        <f t="shared" si="1"/>
        <v>1.4670070122935188E-2</v>
      </c>
      <c r="M34" s="28"/>
      <c r="N34" s="28"/>
    </row>
    <row r="35" spans="1:14" ht="15.75" x14ac:dyDescent="0.25">
      <c r="A35" s="9">
        <f>הרצות!B35</f>
        <v>27</v>
      </c>
      <c r="B35" s="402" t="str">
        <f>הרצות!C35</f>
        <v>יוסי ברג ועודד גרף</v>
      </c>
      <c r="C35" s="403">
        <v>1</v>
      </c>
      <c r="D35" s="403">
        <v>8</v>
      </c>
      <c r="E35" s="403">
        <v>0</v>
      </c>
      <c r="F35" s="406">
        <f t="shared" si="0"/>
        <v>8</v>
      </c>
      <c r="G35" s="407">
        <f>סיווג!AB47</f>
        <v>1</v>
      </c>
      <c r="H35" s="405">
        <f t="shared" si="2"/>
        <v>8</v>
      </c>
      <c r="I35" s="408">
        <f t="shared" si="1"/>
        <v>1.1736056098348151E-2</v>
      </c>
      <c r="M35" s="28"/>
      <c r="N35" s="28"/>
    </row>
    <row r="36" spans="1:14" ht="15.75" x14ac:dyDescent="0.25">
      <c r="A36" s="9">
        <f>הרצות!B36</f>
        <v>28</v>
      </c>
      <c r="B36" s="402" t="str">
        <f>הרצות!C36</f>
        <v>נדין בומר</v>
      </c>
      <c r="C36" s="403">
        <v>1</v>
      </c>
      <c r="D36" s="403">
        <v>11</v>
      </c>
      <c r="E36" s="403">
        <v>0</v>
      </c>
      <c r="F36" s="406">
        <f t="shared" si="0"/>
        <v>11</v>
      </c>
      <c r="G36" s="407">
        <f>סיווג!AB48</f>
        <v>1</v>
      </c>
      <c r="H36" s="405">
        <f t="shared" si="2"/>
        <v>11</v>
      </c>
      <c r="I36" s="408">
        <f t="shared" si="1"/>
        <v>1.6137077135228706E-2</v>
      </c>
      <c r="M36" s="28"/>
      <c r="N36" s="28"/>
    </row>
    <row r="37" spans="1:14" ht="15.75" x14ac:dyDescent="0.25">
      <c r="A37" s="9">
        <f>הרצות!B37</f>
        <v>29</v>
      </c>
      <c r="B37" s="402" t="str">
        <f>הרצות!C37</f>
        <v xml:space="preserve">להקת בלט פאנוב </v>
      </c>
      <c r="C37" s="403">
        <v>1</v>
      </c>
      <c r="D37" s="403">
        <v>7</v>
      </c>
      <c r="E37" s="403">
        <v>3</v>
      </c>
      <c r="F37" s="406">
        <f t="shared" si="0"/>
        <v>10</v>
      </c>
      <c r="G37" s="407">
        <f>סיווג!AB49</f>
        <v>1</v>
      </c>
      <c r="H37" s="405">
        <f t="shared" si="2"/>
        <v>10</v>
      </c>
      <c r="I37" s="408">
        <f t="shared" si="1"/>
        <v>1.4670070122935188E-2</v>
      </c>
      <c r="M37" s="28"/>
      <c r="N37" s="28"/>
    </row>
    <row r="38" spans="1:14" ht="15.75" x14ac:dyDescent="0.25">
      <c r="A38" s="9">
        <f>הרצות!B38</f>
        <v>30</v>
      </c>
      <c r="B38" s="402" t="str">
        <f>הרצות!C38</f>
        <v/>
      </c>
      <c r="C38" s="403"/>
      <c r="D38" s="403"/>
      <c r="E38" s="403"/>
      <c r="F38" s="406" t="str">
        <f t="shared" si="0"/>
        <v/>
      </c>
      <c r="G38" s="407" t="str">
        <f>סיווג!AB50</f>
        <v/>
      </c>
      <c r="H38" s="405" t="str">
        <f t="shared" si="2"/>
        <v/>
      </c>
      <c r="I38" s="408" t="str">
        <f t="shared" si="1"/>
        <v/>
      </c>
      <c r="M38" s="28"/>
      <c r="N38" s="28"/>
    </row>
    <row r="39" spans="1:14" ht="15.75" x14ac:dyDescent="0.25">
      <c r="A39" s="9">
        <f>הרצות!B39</f>
        <v>31</v>
      </c>
      <c r="B39" s="402" t="str">
        <f>הרצות!C39</f>
        <v/>
      </c>
      <c r="C39" s="403"/>
      <c r="D39" s="403"/>
      <c r="E39" s="403"/>
      <c r="F39" s="406" t="str">
        <f t="shared" si="0"/>
        <v/>
      </c>
      <c r="G39" s="407" t="str">
        <f>סיווג!AB51</f>
        <v/>
      </c>
      <c r="H39" s="405" t="str">
        <f t="shared" si="2"/>
        <v/>
      </c>
      <c r="I39" s="408" t="str">
        <f t="shared" si="1"/>
        <v/>
      </c>
      <c r="M39" s="28"/>
      <c r="N39" s="28"/>
    </row>
    <row r="40" spans="1:14" ht="15.75" x14ac:dyDescent="0.25">
      <c r="A40" s="9">
        <f>הרצות!B40</f>
        <v>32</v>
      </c>
      <c r="B40" s="402" t="str">
        <f>הרצות!C40</f>
        <v>מיכל סממה</v>
      </c>
      <c r="C40" s="403">
        <v>1</v>
      </c>
      <c r="D40" s="403">
        <v>4</v>
      </c>
      <c r="E40" s="403">
        <v>0</v>
      </c>
      <c r="F40" s="406">
        <f t="shared" si="0"/>
        <v>4</v>
      </c>
      <c r="G40" s="407">
        <f>סיווג!AB52</f>
        <v>1</v>
      </c>
      <c r="H40" s="405">
        <f t="shared" si="2"/>
        <v>4</v>
      </c>
      <c r="I40" s="408">
        <f t="shared" si="1"/>
        <v>5.8680280491740754E-3</v>
      </c>
      <c r="M40" s="28"/>
      <c r="N40" s="28"/>
    </row>
    <row r="41" spans="1:14" ht="15.75" x14ac:dyDescent="0.25">
      <c r="A41" s="9">
        <f>הרצות!B41</f>
        <v>33</v>
      </c>
      <c r="B41" s="402" t="str">
        <f>הרצות!C41</f>
        <v>מאיה ברינר</v>
      </c>
      <c r="C41" s="403">
        <v>1</v>
      </c>
      <c r="D41" s="403">
        <v>36</v>
      </c>
      <c r="E41" s="403">
        <v>0</v>
      </c>
      <c r="F41" s="406">
        <f t="shared" ref="F41:F72" si="3">IF(B41="","",D41+E41)</f>
        <v>36</v>
      </c>
      <c r="G41" s="407">
        <f>סיווג!AB53</f>
        <v>1</v>
      </c>
      <c r="H41" s="405">
        <f t="shared" si="2"/>
        <v>36</v>
      </c>
      <c r="I41" s="408">
        <f t="shared" ref="I41:I72" si="4">IF(ISERR(H41/$H$121),"",H41/$H$121)</f>
        <v>5.2812252442566675E-2</v>
      </c>
      <c r="M41" s="28"/>
      <c r="N41" s="28"/>
    </row>
    <row r="42" spans="1:14" ht="15.75" x14ac:dyDescent="0.25">
      <c r="A42" s="9">
        <f>הרצות!B42</f>
        <v>34</v>
      </c>
      <c r="B42" s="402" t="str">
        <f>הרצות!C42</f>
        <v>מאיה מכלל גלפנד</v>
      </c>
      <c r="C42" s="403">
        <v>1</v>
      </c>
      <c r="D42" s="403">
        <v>3</v>
      </c>
      <c r="E42" s="403">
        <v>0</v>
      </c>
      <c r="F42" s="406">
        <f t="shared" si="3"/>
        <v>3</v>
      </c>
      <c r="G42" s="407">
        <f>סיווג!AB54</f>
        <v>1</v>
      </c>
      <c r="H42" s="405">
        <f t="shared" si="2"/>
        <v>3</v>
      </c>
      <c r="I42" s="408">
        <f t="shared" si="4"/>
        <v>4.4010210368805565E-3</v>
      </c>
      <c r="M42" s="28"/>
      <c r="N42" s="28"/>
    </row>
    <row r="43" spans="1:14" ht="15.75" x14ac:dyDescent="0.25">
      <c r="A43" s="9">
        <f>הרצות!B43</f>
        <v>35</v>
      </c>
      <c r="B43" s="402" t="str">
        <f>הרצות!C43</f>
        <v>מיה שטרן ותומר שרעבי</v>
      </c>
      <c r="C43" s="403">
        <v>1</v>
      </c>
      <c r="D43" s="403">
        <v>3</v>
      </c>
      <c r="E43" s="403">
        <v>0</v>
      </c>
      <c r="F43" s="406">
        <f t="shared" si="3"/>
        <v>3</v>
      </c>
      <c r="G43" s="407">
        <f>סיווג!AB55</f>
        <v>1</v>
      </c>
      <c r="H43" s="405">
        <f t="shared" si="2"/>
        <v>3</v>
      </c>
      <c r="I43" s="408">
        <f t="shared" si="4"/>
        <v>4.4010210368805565E-3</v>
      </c>
      <c r="M43" s="28"/>
      <c r="N43" s="28"/>
    </row>
    <row r="44" spans="1:14" ht="15.75" x14ac:dyDescent="0.25">
      <c r="A44" s="9">
        <f>הרצות!B44</f>
        <v>36</v>
      </c>
      <c r="B44" s="402" t="str">
        <f>הרצות!C44</f>
        <v>מיכאל גטמן</v>
      </c>
      <c r="C44" s="403">
        <v>1</v>
      </c>
      <c r="D44" s="403">
        <v>8</v>
      </c>
      <c r="E44" s="403">
        <v>0</v>
      </c>
      <c r="F44" s="406">
        <f t="shared" si="3"/>
        <v>8</v>
      </c>
      <c r="G44" s="407">
        <f>סיווג!AB56</f>
        <v>1</v>
      </c>
      <c r="H44" s="405">
        <f t="shared" si="2"/>
        <v>8</v>
      </c>
      <c r="I44" s="408">
        <f t="shared" si="4"/>
        <v>1.1736056098348151E-2</v>
      </c>
      <c r="M44" s="28"/>
      <c r="N44" s="28"/>
    </row>
    <row r="45" spans="1:14" ht="15.75" x14ac:dyDescent="0.25">
      <c r="A45" s="9">
        <f>הרצות!B45</f>
        <v>37</v>
      </c>
      <c r="B45" s="402" t="str">
        <f>הרצות!C45</f>
        <v>מיכל הרמן</v>
      </c>
      <c r="C45" s="403">
        <v>1</v>
      </c>
      <c r="D45" s="403">
        <v>2</v>
      </c>
      <c r="E45" s="403">
        <v>0</v>
      </c>
      <c r="F45" s="406">
        <f t="shared" si="3"/>
        <v>2</v>
      </c>
      <c r="G45" s="407">
        <f>סיווג!AB57</f>
        <v>1</v>
      </c>
      <c r="H45" s="405">
        <f t="shared" si="2"/>
        <v>2</v>
      </c>
      <c r="I45" s="408">
        <f t="shared" si="4"/>
        <v>2.9340140245870377E-3</v>
      </c>
      <c r="M45" s="28"/>
      <c r="N45" s="28"/>
    </row>
    <row r="46" spans="1:14" ht="15.75" x14ac:dyDescent="0.25">
      <c r="A46" s="9">
        <f>הרצות!B46</f>
        <v>38</v>
      </c>
      <c r="B46" s="402" t="str">
        <f>הרצות!C46</f>
        <v>מירב דגן</v>
      </c>
      <c r="C46" s="403">
        <v>1</v>
      </c>
      <c r="D46" s="403">
        <v>3</v>
      </c>
      <c r="E46" s="403">
        <v>5</v>
      </c>
      <c r="F46" s="406">
        <f t="shared" si="3"/>
        <v>8</v>
      </c>
      <c r="G46" s="407">
        <f>סיווג!AB58</f>
        <v>1</v>
      </c>
      <c r="H46" s="405">
        <f t="shared" si="2"/>
        <v>8</v>
      </c>
      <c r="I46" s="408">
        <f t="shared" si="4"/>
        <v>1.1736056098348151E-2</v>
      </c>
      <c r="M46" s="28"/>
      <c r="N46" s="28"/>
    </row>
    <row r="47" spans="1:14" ht="15.75" x14ac:dyDescent="0.25">
      <c r="A47" s="9">
        <f>הרצות!B47</f>
        <v>39</v>
      </c>
      <c r="B47" s="402" t="str">
        <f>הרצות!C47</f>
        <v>תמר לם ודיוויד קרן</v>
      </c>
      <c r="C47" s="403">
        <v>1</v>
      </c>
      <c r="D47" s="403">
        <v>3</v>
      </c>
      <c r="E47" s="403">
        <v>0</v>
      </c>
      <c r="F47" s="406">
        <f t="shared" si="3"/>
        <v>3</v>
      </c>
      <c r="G47" s="407">
        <f>סיווג!AB59</f>
        <v>1</v>
      </c>
      <c r="H47" s="405">
        <f t="shared" si="2"/>
        <v>3</v>
      </c>
      <c r="I47" s="408">
        <f t="shared" si="4"/>
        <v>4.4010210368805565E-3</v>
      </c>
      <c r="M47" s="28"/>
      <c r="N47" s="28"/>
    </row>
    <row r="48" spans="1:14" ht="15.75" x14ac:dyDescent="0.25">
      <c r="A48" s="9">
        <f>הרצות!B48</f>
        <v>40</v>
      </c>
      <c r="B48" s="402" t="str">
        <f>הרצות!C48</f>
        <v>סיגל ברגמן</v>
      </c>
      <c r="C48" s="403">
        <v>1</v>
      </c>
      <c r="D48" s="403">
        <v>8</v>
      </c>
      <c r="E48" s="403">
        <v>0</v>
      </c>
      <c r="F48" s="406">
        <f t="shared" si="3"/>
        <v>8</v>
      </c>
      <c r="G48" s="407">
        <f>סיווג!AB60</f>
        <v>1</v>
      </c>
      <c r="H48" s="405">
        <f t="shared" si="2"/>
        <v>8</v>
      </c>
      <c r="I48" s="408">
        <f t="shared" si="4"/>
        <v>1.1736056098348151E-2</v>
      </c>
      <c r="M48" s="28"/>
      <c r="N48" s="28"/>
    </row>
    <row r="49" spans="1:14" ht="15.75" x14ac:dyDescent="0.25">
      <c r="A49" s="9">
        <f>הרצות!B49</f>
        <v>41</v>
      </c>
      <c r="B49" s="402" t="str">
        <f>הרצות!C49</f>
        <v>מעין ליבמן שרון</v>
      </c>
      <c r="C49" s="403">
        <v>1</v>
      </c>
      <c r="D49" s="403">
        <v>7</v>
      </c>
      <c r="E49" s="403">
        <v>1</v>
      </c>
      <c r="F49" s="406">
        <f t="shared" si="3"/>
        <v>8</v>
      </c>
      <c r="G49" s="407">
        <f>סיווג!AB61</f>
        <v>1</v>
      </c>
      <c r="H49" s="405">
        <f t="shared" si="2"/>
        <v>8</v>
      </c>
      <c r="I49" s="408">
        <f t="shared" si="4"/>
        <v>1.1736056098348151E-2</v>
      </c>
      <c r="M49" s="28"/>
      <c r="N49" s="28"/>
    </row>
    <row r="50" spans="1:14" ht="15.75" x14ac:dyDescent="0.25">
      <c r="A50" s="9">
        <f>הרצות!B50</f>
        <v>42</v>
      </c>
      <c r="B50" s="402" t="str">
        <f>הרצות!C50</f>
        <v>אודליה קופרברג</v>
      </c>
      <c r="C50" s="403">
        <v>1</v>
      </c>
      <c r="D50" s="403">
        <v>8</v>
      </c>
      <c r="E50" s="403">
        <v>0</v>
      </c>
      <c r="F50" s="406">
        <f t="shared" si="3"/>
        <v>8</v>
      </c>
      <c r="G50" s="407">
        <f>סיווג!AB62</f>
        <v>1</v>
      </c>
      <c r="H50" s="405">
        <f t="shared" si="2"/>
        <v>8</v>
      </c>
      <c r="I50" s="408">
        <f t="shared" si="4"/>
        <v>1.1736056098348151E-2</v>
      </c>
      <c r="M50" s="28"/>
      <c r="N50" s="28"/>
    </row>
    <row r="51" spans="1:14" ht="15.75" x14ac:dyDescent="0.25">
      <c r="A51" s="9">
        <f>הרצות!B51</f>
        <v>43</v>
      </c>
      <c r="B51" s="402" t="str">
        <f>הרצות!C51</f>
        <v>נועה צוק</v>
      </c>
      <c r="C51" s="403">
        <v>1</v>
      </c>
      <c r="D51" s="403">
        <v>4</v>
      </c>
      <c r="E51" s="403">
        <v>1</v>
      </c>
      <c r="F51" s="406">
        <f t="shared" si="3"/>
        <v>5</v>
      </c>
      <c r="G51" s="407">
        <f>סיווג!AB63</f>
        <v>1</v>
      </c>
      <c r="H51" s="405">
        <f t="shared" si="2"/>
        <v>5</v>
      </c>
      <c r="I51" s="408">
        <f t="shared" si="4"/>
        <v>7.3350350614675942E-3</v>
      </c>
      <c r="M51" s="28"/>
      <c r="N51" s="28"/>
    </row>
    <row r="52" spans="1:14" ht="15.75" x14ac:dyDescent="0.25">
      <c r="A52" s="9">
        <f>הרצות!B52</f>
        <v>44</v>
      </c>
      <c r="B52" s="402" t="str">
        <f>הרצות!C52</f>
        <v>נטע פולברמכר</v>
      </c>
      <c r="C52" s="403">
        <v>1</v>
      </c>
      <c r="D52" s="403">
        <v>6</v>
      </c>
      <c r="E52" s="403">
        <v>1</v>
      </c>
      <c r="F52" s="406">
        <f t="shared" si="3"/>
        <v>7</v>
      </c>
      <c r="G52" s="407">
        <f>סיווג!AB64</f>
        <v>1</v>
      </c>
      <c r="H52" s="405">
        <f t="shared" si="2"/>
        <v>7</v>
      </c>
      <c r="I52" s="408">
        <f t="shared" si="4"/>
        <v>1.0269049086054631E-2</v>
      </c>
      <c r="M52" s="28"/>
      <c r="N52" s="28"/>
    </row>
    <row r="53" spans="1:14" ht="15.75" x14ac:dyDescent="0.25">
      <c r="A53" s="9">
        <f>הרצות!B53</f>
        <v>45</v>
      </c>
      <c r="B53" s="402" t="str">
        <f>הרצות!C53</f>
        <v>ניב שינפלד ואורן לאור</v>
      </c>
      <c r="C53" s="403">
        <v>1</v>
      </c>
      <c r="D53" s="403">
        <v>18</v>
      </c>
      <c r="E53" s="403">
        <v>0</v>
      </c>
      <c r="F53" s="406">
        <f t="shared" si="3"/>
        <v>18</v>
      </c>
      <c r="G53" s="407">
        <f>סיווג!AB65</f>
        <v>1</v>
      </c>
      <c r="H53" s="405">
        <f t="shared" si="2"/>
        <v>18</v>
      </c>
      <c r="I53" s="408">
        <f t="shared" si="4"/>
        <v>2.6406126221283337E-2</v>
      </c>
      <c r="M53" s="28"/>
      <c r="N53" s="28"/>
    </row>
    <row r="54" spans="1:14" ht="15.75" x14ac:dyDescent="0.25">
      <c r="A54" s="9">
        <f>הרצות!B54</f>
        <v>46</v>
      </c>
      <c r="B54" s="402" t="str">
        <f>הרצות!C54</f>
        <v>נימה יעקובי</v>
      </c>
      <c r="C54" s="403">
        <v>1</v>
      </c>
      <c r="D54" s="403">
        <v>7</v>
      </c>
      <c r="E54" s="403">
        <v>0</v>
      </c>
      <c r="F54" s="406">
        <f t="shared" si="3"/>
        <v>7</v>
      </c>
      <c r="G54" s="407">
        <f>סיווג!AB66</f>
        <v>1</v>
      </c>
      <c r="H54" s="405">
        <f t="shared" si="2"/>
        <v>7</v>
      </c>
      <c r="I54" s="408">
        <f t="shared" si="4"/>
        <v>1.0269049086054631E-2</v>
      </c>
      <c r="M54" s="28"/>
      <c r="N54" s="28"/>
    </row>
    <row r="55" spans="1:14" ht="15.75" x14ac:dyDescent="0.25">
      <c r="A55" s="9">
        <f>הרצות!B55</f>
        <v>47</v>
      </c>
      <c r="B55" s="402" t="str">
        <f>הרצות!C55</f>
        <v>נמרוד פריד</v>
      </c>
      <c r="C55" s="403">
        <v>1</v>
      </c>
      <c r="D55" s="403">
        <v>5</v>
      </c>
      <c r="E55" s="403">
        <v>0</v>
      </c>
      <c r="F55" s="406">
        <f t="shared" si="3"/>
        <v>5</v>
      </c>
      <c r="G55" s="407">
        <f>סיווג!AB67</f>
        <v>1</v>
      </c>
      <c r="H55" s="405">
        <f t="shared" si="2"/>
        <v>5</v>
      </c>
      <c r="I55" s="408">
        <f t="shared" si="4"/>
        <v>7.3350350614675942E-3</v>
      </c>
      <c r="M55" s="28"/>
      <c r="N55" s="28"/>
    </row>
    <row r="56" spans="1:14" ht="15.75" x14ac:dyDescent="0.25">
      <c r="A56" s="9">
        <f>הרצות!B56</f>
        <v>48</v>
      </c>
      <c r="B56" s="402" t="str">
        <f>הרצות!C56</f>
        <v>נעה דר</v>
      </c>
      <c r="C56" s="403">
        <v>1</v>
      </c>
      <c r="D56" s="403">
        <v>4</v>
      </c>
      <c r="E56" s="403">
        <v>1</v>
      </c>
      <c r="F56" s="406">
        <f t="shared" si="3"/>
        <v>5</v>
      </c>
      <c r="G56" s="407">
        <f>סיווג!AB68</f>
        <v>1</v>
      </c>
      <c r="H56" s="405">
        <f t="shared" si="2"/>
        <v>5</v>
      </c>
      <c r="I56" s="408">
        <f t="shared" si="4"/>
        <v>7.3350350614675942E-3</v>
      </c>
      <c r="M56" s="28"/>
      <c r="N56" s="28"/>
    </row>
    <row r="57" spans="1:14" ht="15.75" x14ac:dyDescent="0.25">
      <c r="A57" s="9">
        <f>הרצות!B57</f>
        <v>49</v>
      </c>
      <c r="B57" s="402" t="str">
        <f>הרצות!C57</f>
        <v>נעה שדור</v>
      </c>
      <c r="C57" s="403">
        <v>1</v>
      </c>
      <c r="D57" s="403">
        <v>3</v>
      </c>
      <c r="E57" s="403">
        <v>3</v>
      </c>
      <c r="F57" s="406">
        <f t="shared" si="3"/>
        <v>6</v>
      </c>
      <c r="G57" s="407">
        <f>סיווג!AB69</f>
        <v>1</v>
      </c>
      <c r="H57" s="405">
        <f t="shared" si="2"/>
        <v>6</v>
      </c>
      <c r="I57" s="408">
        <f t="shared" si="4"/>
        <v>8.802042073761113E-3</v>
      </c>
      <c r="M57" s="28"/>
      <c r="N57" s="28"/>
    </row>
    <row r="58" spans="1:14" ht="15.75" x14ac:dyDescent="0.25">
      <c r="A58" s="9">
        <f>הרצות!B58</f>
        <v>50</v>
      </c>
      <c r="B58" s="402" t="str">
        <f>הרצות!C58</f>
        <v>סאלי אן פרילנד</v>
      </c>
      <c r="C58" s="403">
        <v>1</v>
      </c>
      <c r="D58" s="403">
        <v>4</v>
      </c>
      <c r="E58" s="403">
        <v>0</v>
      </c>
      <c r="F58" s="406">
        <f t="shared" si="3"/>
        <v>4</v>
      </c>
      <c r="G58" s="407">
        <f>סיווג!AB70</f>
        <v>1</v>
      </c>
      <c r="H58" s="405">
        <f t="shared" si="2"/>
        <v>4</v>
      </c>
      <c r="I58" s="408">
        <f t="shared" si="4"/>
        <v>5.8680280491740754E-3</v>
      </c>
      <c r="M58" s="28"/>
      <c r="N58" s="28"/>
    </row>
    <row r="59" spans="1:14" ht="15.75" x14ac:dyDescent="0.25">
      <c r="A59" s="9">
        <f>הרצות!B59</f>
        <v>51</v>
      </c>
      <c r="B59" s="402" t="str">
        <f>הרצות!C59</f>
        <v>סהר עזימי</v>
      </c>
      <c r="C59" s="403">
        <v>1</v>
      </c>
      <c r="D59" s="403">
        <v>1</v>
      </c>
      <c r="E59" s="403">
        <v>1</v>
      </c>
      <c r="F59" s="406">
        <f t="shared" si="3"/>
        <v>2</v>
      </c>
      <c r="G59" s="407">
        <f>סיווג!AB71</f>
        <v>1</v>
      </c>
      <c r="H59" s="405">
        <f t="shared" si="2"/>
        <v>2</v>
      </c>
      <c r="I59" s="408">
        <f t="shared" si="4"/>
        <v>2.9340140245870377E-3</v>
      </c>
      <c r="M59" s="28"/>
      <c r="N59" s="28"/>
    </row>
    <row r="60" spans="1:14" ht="15.75" x14ac:dyDescent="0.25">
      <c r="A60" s="9">
        <f>הרצות!B60</f>
        <v>52</v>
      </c>
      <c r="B60" s="402" t="str">
        <f>הרצות!C60</f>
        <v>עדו פדר</v>
      </c>
      <c r="C60" s="403">
        <v>1</v>
      </c>
      <c r="D60" s="403">
        <v>5</v>
      </c>
      <c r="E60" s="403">
        <v>0</v>
      </c>
      <c r="F60" s="406">
        <f t="shared" si="3"/>
        <v>5</v>
      </c>
      <c r="G60" s="407">
        <f>סיווג!AB72</f>
        <v>1</v>
      </c>
      <c r="H60" s="405">
        <f t="shared" si="2"/>
        <v>5</v>
      </c>
      <c r="I60" s="408">
        <f t="shared" si="4"/>
        <v>7.3350350614675942E-3</v>
      </c>
      <c r="M60" s="28"/>
      <c r="N60" s="28"/>
    </row>
    <row r="61" spans="1:14" ht="15.75" x14ac:dyDescent="0.25">
      <c r="A61" s="9">
        <f>הרצות!B61</f>
        <v>53</v>
      </c>
      <c r="B61" s="402" t="str">
        <f>הרצות!C61</f>
        <v>עודד רונן</v>
      </c>
      <c r="C61" s="403">
        <v>1</v>
      </c>
      <c r="D61" s="403">
        <v>3</v>
      </c>
      <c r="E61" s="403">
        <v>0</v>
      </c>
      <c r="F61" s="406">
        <f t="shared" si="3"/>
        <v>3</v>
      </c>
      <c r="G61" s="407">
        <f>סיווג!AB73</f>
        <v>1</v>
      </c>
      <c r="H61" s="405">
        <f t="shared" si="2"/>
        <v>3</v>
      </c>
      <c r="I61" s="408">
        <f t="shared" si="4"/>
        <v>4.4010210368805565E-3</v>
      </c>
      <c r="M61" s="28"/>
      <c r="N61" s="28"/>
    </row>
    <row r="62" spans="1:14" ht="15.75" x14ac:dyDescent="0.25">
      <c r="A62" s="9">
        <f>הרצות!B62</f>
        <v>54</v>
      </c>
      <c r="B62" s="402" t="str">
        <f>הרצות!C62</f>
        <v>עידן כהן</v>
      </c>
      <c r="C62" s="403">
        <v>1</v>
      </c>
      <c r="D62" s="403">
        <v>1</v>
      </c>
      <c r="E62" s="403">
        <v>0</v>
      </c>
      <c r="F62" s="406">
        <f t="shared" si="3"/>
        <v>1</v>
      </c>
      <c r="G62" s="407">
        <f>סיווג!AB74</f>
        <v>1</v>
      </c>
      <c r="H62" s="405">
        <f t="shared" si="2"/>
        <v>1</v>
      </c>
      <c r="I62" s="408">
        <f t="shared" si="4"/>
        <v>1.4670070122935188E-3</v>
      </c>
      <c r="M62" s="28"/>
      <c r="N62" s="28"/>
    </row>
    <row r="63" spans="1:14" ht="15.75" x14ac:dyDescent="0.25">
      <c r="A63" s="9">
        <f>הרצות!B63</f>
        <v>55</v>
      </c>
      <c r="B63" s="402" t="str">
        <f>הרצות!C63</f>
        <v>עידן שרעבי</v>
      </c>
      <c r="C63" s="403">
        <v>1</v>
      </c>
      <c r="D63" s="403">
        <v>4</v>
      </c>
      <c r="E63" s="403">
        <v>0</v>
      </c>
      <c r="F63" s="406">
        <f t="shared" si="3"/>
        <v>4</v>
      </c>
      <c r="G63" s="407">
        <f>סיווג!AB75</f>
        <v>1</v>
      </c>
      <c r="H63" s="405">
        <f t="shared" si="2"/>
        <v>4</v>
      </c>
      <c r="I63" s="408">
        <f t="shared" si="4"/>
        <v>5.8680280491740754E-3</v>
      </c>
      <c r="M63" s="28"/>
      <c r="N63" s="28"/>
    </row>
    <row r="64" spans="1:14" ht="15.75" x14ac:dyDescent="0.25">
      <c r="A64" s="9">
        <f>הרצות!B64</f>
        <v>56</v>
      </c>
      <c r="B64" s="402" t="str">
        <f>הרצות!C64</f>
        <v>ענת גריגוריו</v>
      </c>
      <c r="C64" s="403">
        <v>1</v>
      </c>
      <c r="D64" s="403">
        <v>2</v>
      </c>
      <c r="E64" s="403">
        <v>0</v>
      </c>
      <c r="F64" s="406">
        <f t="shared" si="3"/>
        <v>2</v>
      </c>
      <c r="G64" s="407">
        <f>סיווג!AB76</f>
        <v>1</v>
      </c>
      <c r="H64" s="405">
        <f t="shared" si="2"/>
        <v>2</v>
      </c>
      <c r="I64" s="408">
        <f t="shared" si="4"/>
        <v>2.9340140245870377E-3</v>
      </c>
      <c r="M64" s="28"/>
      <c r="N64" s="28"/>
    </row>
    <row r="65" spans="1:14" ht="15.75" x14ac:dyDescent="0.25">
      <c r="A65" s="9">
        <f>הרצות!B65</f>
        <v>57</v>
      </c>
      <c r="B65" s="402" t="str">
        <f>הרצות!C65</f>
        <v>ענת דניאלי</v>
      </c>
      <c r="C65" s="403">
        <v>1</v>
      </c>
      <c r="D65" s="403">
        <v>9</v>
      </c>
      <c r="E65" s="403">
        <v>0</v>
      </c>
      <c r="F65" s="406">
        <f t="shared" si="3"/>
        <v>9</v>
      </c>
      <c r="G65" s="407">
        <f>סיווג!AB77</f>
        <v>1</v>
      </c>
      <c r="H65" s="405">
        <f t="shared" si="2"/>
        <v>9</v>
      </c>
      <c r="I65" s="408">
        <f t="shared" si="4"/>
        <v>1.3203063110641669E-2</v>
      </c>
      <c r="M65" s="28"/>
      <c r="N65" s="28"/>
    </row>
    <row r="66" spans="1:14" ht="15.75" x14ac:dyDescent="0.25">
      <c r="A66" s="9">
        <f>הרצות!B66</f>
        <v>58</v>
      </c>
      <c r="B66" s="402" t="str">
        <f>הרצות!C66</f>
        <v>ענת כץ וארז מעיין</v>
      </c>
      <c r="C66" s="403">
        <v>1</v>
      </c>
      <c r="D66" s="403">
        <v>8</v>
      </c>
      <c r="E66" s="403">
        <v>0</v>
      </c>
      <c r="F66" s="406">
        <f t="shared" si="3"/>
        <v>8</v>
      </c>
      <c r="G66" s="407">
        <f>סיווג!AB78</f>
        <v>1</v>
      </c>
      <c r="H66" s="405">
        <f t="shared" si="2"/>
        <v>8</v>
      </c>
      <c r="I66" s="408">
        <f t="shared" si="4"/>
        <v>1.1736056098348151E-2</v>
      </c>
      <c r="M66" s="28"/>
      <c r="N66" s="28"/>
    </row>
    <row r="67" spans="1:14" ht="15.75" x14ac:dyDescent="0.25">
      <c r="A67" s="9">
        <f>הרצות!B67</f>
        <v>59</v>
      </c>
      <c r="B67" s="402" t="str">
        <f>הרצות!C67</f>
        <v>ענת שמגר</v>
      </c>
      <c r="C67" s="403">
        <v>1</v>
      </c>
      <c r="D67" s="403">
        <v>4</v>
      </c>
      <c r="E67" s="403">
        <v>4</v>
      </c>
      <c r="F67" s="406">
        <f t="shared" si="3"/>
        <v>8</v>
      </c>
      <c r="G67" s="407">
        <f>סיווג!AB79</f>
        <v>1</v>
      </c>
      <c r="H67" s="405">
        <f t="shared" si="2"/>
        <v>8</v>
      </c>
      <c r="I67" s="408">
        <f t="shared" si="4"/>
        <v>1.1736056098348151E-2</v>
      </c>
      <c r="M67" s="28"/>
      <c r="N67" s="28"/>
    </row>
    <row r="68" spans="1:14" ht="15.75" x14ac:dyDescent="0.25">
      <c r="A68" s="9">
        <f>הרצות!B68</f>
        <v>60</v>
      </c>
      <c r="B68" s="402" t="str">
        <f>הרצות!C68</f>
        <v>ק.ט.מ.ו.ן קבוצת מחול בירושלים</v>
      </c>
      <c r="C68" s="403">
        <v>1</v>
      </c>
      <c r="D68" s="403">
        <v>9</v>
      </c>
      <c r="E68" s="403">
        <v>2</v>
      </c>
      <c r="F68" s="406">
        <f t="shared" si="3"/>
        <v>11</v>
      </c>
      <c r="G68" s="407">
        <f>סיווג!AB80</f>
        <v>1</v>
      </c>
      <c r="H68" s="405">
        <f t="shared" si="2"/>
        <v>11</v>
      </c>
      <c r="I68" s="408">
        <f t="shared" si="4"/>
        <v>1.6137077135228706E-2</v>
      </c>
      <c r="M68" s="28"/>
      <c r="N68" s="28"/>
    </row>
    <row r="69" spans="1:14" ht="15.75" x14ac:dyDescent="0.25">
      <c r="A69" s="9">
        <f>הרצות!B69</f>
        <v>61</v>
      </c>
      <c r="B69" s="402" t="str">
        <f>הרצות!C69</f>
        <v>רונית זיו</v>
      </c>
      <c r="C69" s="403">
        <v>1</v>
      </c>
      <c r="D69" s="403">
        <v>3</v>
      </c>
      <c r="E69" s="403">
        <v>0</v>
      </c>
      <c r="F69" s="406">
        <f t="shared" si="3"/>
        <v>3</v>
      </c>
      <c r="G69" s="407">
        <f>סיווג!AB81</f>
        <v>1</v>
      </c>
      <c r="H69" s="405">
        <f t="shared" si="2"/>
        <v>3</v>
      </c>
      <c r="I69" s="408">
        <f t="shared" si="4"/>
        <v>4.4010210368805565E-3</v>
      </c>
      <c r="M69" s="28"/>
      <c r="N69" s="28"/>
    </row>
    <row r="70" spans="1:14" ht="15.75" x14ac:dyDescent="0.25">
      <c r="A70" s="9">
        <f>הרצות!B70</f>
        <v>62</v>
      </c>
      <c r="B70" s="402" t="str">
        <f>הרצות!C70</f>
        <v>טלי זבילביץ</v>
      </c>
      <c r="C70" s="403">
        <v>1</v>
      </c>
      <c r="D70" s="403">
        <v>7</v>
      </c>
      <c r="E70" s="403">
        <v>1</v>
      </c>
      <c r="F70" s="406">
        <f t="shared" si="3"/>
        <v>8</v>
      </c>
      <c r="G70" s="407">
        <f>סיווג!AB82</f>
        <v>1</v>
      </c>
      <c r="H70" s="405">
        <f t="shared" si="2"/>
        <v>8</v>
      </c>
      <c r="I70" s="408">
        <f t="shared" si="4"/>
        <v>1.1736056098348151E-2</v>
      </c>
      <c r="M70" s="28"/>
      <c r="N70" s="28"/>
    </row>
    <row r="71" spans="1:14" ht="15.75" x14ac:dyDescent="0.25">
      <c r="A71" s="9">
        <f>הרצות!B71</f>
        <v>63</v>
      </c>
      <c r="B71" s="402" t="str">
        <f>הרצות!C71</f>
        <v>רייצ'ל ארדוס</v>
      </c>
      <c r="C71" s="403">
        <v>1</v>
      </c>
      <c r="D71" s="403">
        <v>13</v>
      </c>
      <c r="E71" s="403">
        <v>0</v>
      </c>
      <c r="F71" s="406">
        <f t="shared" si="3"/>
        <v>13</v>
      </c>
      <c r="G71" s="407">
        <f>סיווג!AB83</f>
        <v>1</v>
      </c>
      <c r="H71" s="405">
        <f t="shared" si="2"/>
        <v>13</v>
      </c>
      <c r="I71" s="408">
        <f t="shared" si="4"/>
        <v>1.9071091159815746E-2</v>
      </c>
      <c r="M71" s="28"/>
      <c r="N71" s="28"/>
    </row>
    <row r="72" spans="1:14" ht="15.75" x14ac:dyDescent="0.25">
      <c r="A72" s="9">
        <f>הרצות!B72</f>
        <v>64</v>
      </c>
      <c r="B72" s="402" t="str">
        <f>הרצות!C72</f>
        <v>שירה אביתר</v>
      </c>
      <c r="C72" s="403">
        <v>1</v>
      </c>
      <c r="D72" s="403">
        <v>5</v>
      </c>
      <c r="E72" s="403">
        <v>0</v>
      </c>
      <c r="F72" s="406">
        <f t="shared" si="3"/>
        <v>5</v>
      </c>
      <c r="G72" s="407">
        <f>סיווג!AB84</f>
        <v>1</v>
      </c>
      <c r="H72" s="405">
        <f t="shared" si="2"/>
        <v>5</v>
      </c>
      <c r="I72" s="408">
        <f t="shared" si="4"/>
        <v>7.3350350614675942E-3</v>
      </c>
      <c r="M72" s="28"/>
      <c r="N72" s="28"/>
    </row>
    <row r="73" spans="1:14" ht="15.75" x14ac:dyDescent="0.25">
      <c r="A73" s="9">
        <f>הרצות!B73</f>
        <v>65</v>
      </c>
      <c r="B73" s="402" t="str">
        <f>הרצות!C73</f>
        <v>שלומית פונדמינסקי</v>
      </c>
      <c r="C73" s="403">
        <v>1</v>
      </c>
      <c r="D73" s="403">
        <v>12</v>
      </c>
      <c r="E73" s="403">
        <v>2</v>
      </c>
      <c r="F73" s="406">
        <f t="shared" ref="F73:F104" si="5">IF(B73="","",D73+E73)</f>
        <v>14</v>
      </c>
      <c r="G73" s="407">
        <f>סיווג!AB85</f>
        <v>1</v>
      </c>
      <c r="H73" s="405">
        <f t="shared" si="2"/>
        <v>14</v>
      </c>
      <c r="I73" s="408">
        <f t="shared" ref="I73:I104" si="6">IF(ISERR(H73/$H$121),"",H73/$H$121)</f>
        <v>2.0538098172109262E-2</v>
      </c>
      <c r="M73" s="28"/>
      <c r="N73" s="28"/>
    </row>
    <row r="74" spans="1:14" ht="15.75" x14ac:dyDescent="0.25">
      <c r="A74" s="9">
        <f>הרצות!B74</f>
        <v>66</v>
      </c>
      <c r="B74" s="402" t="str">
        <f>הרצות!C74</f>
        <v/>
      </c>
      <c r="C74" s="403"/>
      <c r="D74" s="403"/>
      <c r="E74" s="403"/>
      <c r="F74" s="406" t="str">
        <f t="shared" si="5"/>
        <v/>
      </c>
      <c r="G74" s="407" t="str">
        <f>סיווג!AB86</f>
        <v/>
      </c>
      <c r="H74" s="405" t="str">
        <f t="shared" ref="H74:H108" si="7">IF(B74="","",IF(C74="",$L$1,IF(C74=$K$1,0,IF(B74="","",(D74*$C$3+E74*$C$4)*G74))))</f>
        <v/>
      </c>
      <c r="I74" s="408" t="str">
        <f t="shared" si="6"/>
        <v/>
      </c>
      <c r="M74" s="28"/>
      <c r="N74" s="28"/>
    </row>
    <row r="75" spans="1:14" ht="15.75" x14ac:dyDescent="0.25">
      <c r="A75" s="9">
        <f>הרצות!B75</f>
        <v>67</v>
      </c>
      <c r="B75" s="402" t="str">
        <f>הרצות!C75</f>
        <v>שרון וזנה</v>
      </c>
      <c r="C75" s="403">
        <v>1</v>
      </c>
      <c r="D75" s="403">
        <v>7</v>
      </c>
      <c r="E75" s="403">
        <v>0</v>
      </c>
      <c r="F75" s="406">
        <f t="shared" si="5"/>
        <v>7</v>
      </c>
      <c r="G75" s="407">
        <f>סיווג!AB87</f>
        <v>1</v>
      </c>
      <c r="H75" s="405">
        <f t="shared" si="7"/>
        <v>7</v>
      </c>
      <c r="I75" s="408">
        <f t="shared" si="6"/>
        <v>1.0269049086054631E-2</v>
      </c>
      <c r="M75" s="28"/>
      <c r="N75" s="28"/>
    </row>
    <row r="76" spans="1:14" ht="18" customHeight="1" x14ac:dyDescent="0.25">
      <c r="A76" s="9">
        <f>הרצות!B76</f>
        <v>68</v>
      </c>
      <c r="B76" s="402" t="str">
        <f>הרצות!C76</f>
        <v>שרונה פלורסהיים</v>
      </c>
      <c r="C76" s="403">
        <v>1</v>
      </c>
      <c r="D76" s="403">
        <v>15</v>
      </c>
      <c r="E76" s="403">
        <v>1</v>
      </c>
      <c r="F76" s="406">
        <f t="shared" si="5"/>
        <v>16</v>
      </c>
      <c r="G76" s="407">
        <f>סיווג!AB88</f>
        <v>1</v>
      </c>
      <c r="H76" s="405">
        <f t="shared" si="7"/>
        <v>16</v>
      </c>
      <c r="I76" s="408">
        <f t="shared" si="6"/>
        <v>2.3472112196696301E-2</v>
      </c>
      <c r="M76" s="28"/>
      <c r="N76" s="28"/>
    </row>
    <row r="77" spans="1:14" ht="15.75" x14ac:dyDescent="0.25">
      <c r="A77" s="9">
        <f>הרצות!B77</f>
        <v>69</v>
      </c>
      <c r="B77" s="402" t="str">
        <f>הרצות!C77</f>
        <v>תמי ליבוביץ</v>
      </c>
      <c r="C77" s="403">
        <v>1</v>
      </c>
      <c r="D77" s="403">
        <v>4</v>
      </c>
      <c r="E77" s="403">
        <v>0</v>
      </c>
      <c r="F77" s="406">
        <f t="shared" si="5"/>
        <v>4</v>
      </c>
      <c r="G77" s="407">
        <f>סיווג!AB89</f>
        <v>1</v>
      </c>
      <c r="H77" s="405">
        <f t="shared" si="7"/>
        <v>4</v>
      </c>
      <c r="I77" s="408">
        <f t="shared" si="6"/>
        <v>5.8680280491740754E-3</v>
      </c>
      <c r="M77" s="28"/>
      <c r="N77" s="28"/>
    </row>
    <row r="78" spans="1:14" ht="15.75" x14ac:dyDescent="0.25">
      <c r="A78" s="9">
        <f>הרצות!B78</f>
        <v>70</v>
      </c>
      <c r="B78" s="402" t="str">
        <f>הרצות!C78</f>
        <v>תמר בורר</v>
      </c>
      <c r="C78" s="403">
        <v>1</v>
      </c>
      <c r="D78" s="403">
        <v>5</v>
      </c>
      <c r="E78" s="403">
        <v>4</v>
      </c>
      <c r="F78" s="406">
        <f t="shared" si="5"/>
        <v>9</v>
      </c>
      <c r="G78" s="407">
        <f>סיווג!AB90</f>
        <v>1</v>
      </c>
      <c r="H78" s="405">
        <f t="shared" si="7"/>
        <v>9</v>
      </c>
      <c r="I78" s="408">
        <f t="shared" si="6"/>
        <v>1.3203063110641669E-2</v>
      </c>
      <c r="M78" s="28"/>
      <c r="N78" s="28"/>
    </row>
    <row r="79" spans="1:14" ht="15.75" x14ac:dyDescent="0.25">
      <c r="A79" s="9">
        <f>הרצות!B79</f>
        <v>71</v>
      </c>
      <c r="B79" s="402" t="str">
        <f>הרצות!C79</f>
        <v>תמי ורונן יצחקי</v>
      </c>
      <c r="C79" s="403">
        <v>1</v>
      </c>
      <c r="D79" s="403">
        <v>2</v>
      </c>
      <c r="E79" s="403">
        <v>1</v>
      </c>
      <c r="F79" s="406">
        <f t="shared" si="5"/>
        <v>3</v>
      </c>
      <c r="G79" s="407">
        <f>סיווג!AB91</f>
        <v>1</v>
      </c>
      <c r="H79" s="405">
        <f t="shared" si="7"/>
        <v>3</v>
      </c>
      <c r="I79" s="408">
        <f t="shared" si="6"/>
        <v>4.4010210368805565E-3</v>
      </c>
      <c r="M79" s="28"/>
      <c r="N79" s="28"/>
    </row>
    <row r="80" spans="1:14" ht="15.75" x14ac:dyDescent="0.25">
      <c r="A80" s="9">
        <f>הרצות!B80</f>
        <v>72</v>
      </c>
      <c r="B80" s="402" t="str">
        <f>הרצות!C80</f>
        <v>רננה רז</v>
      </c>
      <c r="C80" s="403">
        <v>1</v>
      </c>
      <c r="D80" s="403">
        <v>4</v>
      </c>
      <c r="E80" s="403">
        <v>0</v>
      </c>
      <c r="F80" s="406">
        <f t="shared" si="5"/>
        <v>4</v>
      </c>
      <c r="G80" s="407">
        <f>סיווג!AB92</f>
        <v>1</v>
      </c>
      <c r="H80" s="405">
        <f t="shared" si="7"/>
        <v>4</v>
      </c>
      <c r="I80" s="408">
        <f t="shared" si="6"/>
        <v>5.8680280491740754E-3</v>
      </c>
      <c r="M80" s="28"/>
      <c r="N80" s="28"/>
    </row>
    <row r="81" spans="1:14" ht="15.75" x14ac:dyDescent="0.25">
      <c r="A81" s="9">
        <f>הרצות!B81</f>
        <v>73</v>
      </c>
      <c r="B81" s="402" t="str">
        <f>הרצות!C81</f>
        <v>רתם תשח</v>
      </c>
      <c r="C81" s="403">
        <v>1</v>
      </c>
      <c r="D81" s="403">
        <v>1</v>
      </c>
      <c r="E81" s="403">
        <v>0</v>
      </c>
      <c r="F81" s="406">
        <f t="shared" si="5"/>
        <v>1</v>
      </c>
      <c r="G81" s="407">
        <f>סיווג!AB93</f>
        <v>1</v>
      </c>
      <c r="H81" s="405">
        <f t="shared" si="7"/>
        <v>1</v>
      </c>
      <c r="I81" s="408">
        <f t="shared" si="6"/>
        <v>1.4670070122935188E-3</v>
      </c>
      <c r="M81" s="28"/>
      <c r="N81" s="28"/>
    </row>
    <row r="82" spans="1:14" ht="15.75" x14ac:dyDescent="0.25">
      <c r="A82" s="9">
        <f>הרצות!B82</f>
        <v>74</v>
      </c>
      <c r="B82" s="402" t="str">
        <f>הרצות!C82</f>
        <v/>
      </c>
      <c r="C82" s="403"/>
      <c r="D82" s="403"/>
      <c r="E82" s="403"/>
      <c r="F82" s="406" t="str">
        <f t="shared" si="5"/>
        <v/>
      </c>
      <c r="G82" s="407" t="str">
        <f>סיווג!AB94</f>
        <v/>
      </c>
      <c r="H82" s="405" t="str">
        <f t="shared" si="7"/>
        <v/>
      </c>
      <c r="I82" s="408" t="str">
        <f t="shared" si="6"/>
        <v/>
      </c>
      <c r="M82" s="28"/>
      <c r="N82" s="28"/>
    </row>
    <row r="83" spans="1:14" ht="15.75" x14ac:dyDescent="0.25">
      <c r="A83" s="9">
        <f>הרצות!B83</f>
        <v>75</v>
      </c>
      <c r="B83" s="402" t="str">
        <f>הרצות!C83</f>
        <v/>
      </c>
      <c r="C83" s="403"/>
      <c r="D83" s="403"/>
      <c r="E83" s="403"/>
      <c r="F83" s="406" t="str">
        <f t="shared" si="5"/>
        <v/>
      </c>
      <c r="G83" s="407" t="str">
        <f>סיווג!AB95</f>
        <v/>
      </c>
      <c r="H83" s="405" t="str">
        <f t="shared" si="7"/>
        <v/>
      </c>
      <c r="I83" s="408" t="str">
        <f t="shared" si="6"/>
        <v/>
      </c>
      <c r="M83" s="28"/>
      <c r="N83" s="28"/>
    </row>
    <row r="84" spans="1:14" ht="15.75" x14ac:dyDescent="0.25">
      <c r="A84" s="9">
        <f>הרצות!B84</f>
        <v>76</v>
      </c>
      <c r="B84" s="402" t="str">
        <f>הרצות!C84</f>
        <v>שרון שגיא - פלמנקו</v>
      </c>
      <c r="C84" s="403">
        <v>1</v>
      </c>
      <c r="D84" s="403">
        <v>6</v>
      </c>
      <c r="E84" s="403">
        <v>9</v>
      </c>
      <c r="F84" s="406">
        <f t="shared" si="5"/>
        <v>15</v>
      </c>
      <c r="G84" s="407">
        <f>סיווג!AB96</f>
        <v>1</v>
      </c>
      <c r="H84" s="405">
        <f t="shared" si="7"/>
        <v>15</v>
      </c>
      <c r="I84" s="408">
        <f t="shared" si="6"/>
        <v>2.2005105184402782E-2</v>
      </c>
      <c r="M84" s="28"/>
      <c r="N84" s="28"/>
    </row>
    <row r="85" spans="1:14" ht="15.75" x14ac:dyDescent="0.25">
      <c r="A85" s="9">
        <f>הרצות!B85</f>
        <v>77</v>
      </c>
      <c r="B85" s="402" t="str">
        <f>הרצות!C85</f>
        <v/>
      </c>
      <c r="C85" s="403"/>
      <c r="D85" s="403"/>
      <c r="E85" s="403"/>
      <c r="F85" s="406" t="str">
        <f t="shared" si="5"/>
        <v/>
      </c>
      <c r="G85" s="407" t="str">
        <f>סיווג!AB97</f>
        <v/>
      </c>
      <c r="H85" s="405" t="str">
        <f t="shared" si="7"/>
        <v/>
      </c>
      <c r="I85" s="408" t="str">
        <f t="shared" si="6"/>
        <v/>
      </c>
      <c r="M85" s="28"/>
      <c r="N85" s="28"/>
    </row>
    <row r="86" spans="1:14" ht="15.75" x14ac:dyDescent="0.25">
      <c r="A86" s="9">
        <f>הרצות!B86</f>
        <v>78</v>
      </c>
      <c r="B86" s="402" t="str">
        <f>הרצות!C86</f>
        <v>אוליביה קורט מסה</v>
      </c>
      <c r="C86" s="403">
        <v>1</v>
      </c>
      <c r="D86" s="403">
        <v>6</v>
      </c>
      <c r="E86" s="403">
        <v>0</v>
      </c>
      <c r="F86" s="406">
        <f t="shared" si="5"/>
        <v>6</v>
      </c>
      <c r="G86" s="407">
        <f>סיווג!AB98</f>
        <v>1</v>
      </c>
      <c r="H86" s="405">
        <f t="shared" si="7"/>
        <v>6</v>
      </c>
      <c r="I86" s="408">
        <f t="shared" si="6"/>
        <v>8.802042073761113E-3</v>
      </c>
      <c r="M86" s="28"/>
      <c r="N86" s="28"/>
    </row>
    <row r="87" spans="1:14" ht="15.75" x14ac:dyDescent="0.25">
      <c r="A87" s="9">
        <f>הרצות!B87</f>
        <v>79</v>
      </c>
      <c r="B87" s="402" t="str">
        <f>הרצות!C87</f>
        <v/>
      </c>
      <c r="C87" s="403"/>
      <c r="D87" s="403"/>
      <c r="E87" s="403"/>
      <c r="F87" s="406" t="str">
        <f t="shared" si="5"/>
        <v/>
      </c>
      <c r="G87" s="407" t="str">
        <f>סיווג!AB99</f>
        <v/>
      </c>
      <c r="H87" s="405" t="str">
        <f t="shared" si="7"/>
        <v/>
      </c>
      <c r="I87" s="408" t="str">
        <f t="shared" si="6"/>
        <v/>
      </c>
      <c r="M87" s="28"/>
      <c r="N87" s="28"/>
    </row>
    <row r="88" spans="1:14" ht="15.75" x14ac:dyDescent="0.25">
      <c r="A88" s="9">
        <f>הרצות!B88</f>
        <v>80</v>
      </c>
      <c r="B88" s="402" t="str">
        <f>הרצות!C88</f>
        <v/>
      </c>
      <c r="C88" s="403"/>
      <c r="D88" s="403"/>
      <c r="E88" s="403"/>
      <c r="F88" s="406" t="str">
        <f t="shared" si="5"/>
        <v/>
      </c>
      <c r="G88" s="407" t="str">
        <f>סיווג!AB100</f>
        <v/>
      </c>
      <c r="H88" s="405" t="str">
        <f t="shared" si="7"/>
        <v/>
      </c>
      <c r="I88" s="408" t="str">
        <f t="shared" si="6"/>
        <v/>
      </c>
      <c r="M88" s="28"/>
      <c r="N88" s="28"/>
    </row>
    <row r="89" spans="1:14" ht="15.75" x14ac:dyDescent="0.25">
      <c r="A89" s="9">
        <f>הרצות!B89</f>
        <v>81</v>
      </c>
      <c r="B89" s="402" t="str">
        <f>הרצות!C89</f>
        <v>דגה פדר</v>
      </c>
      <c r="C89" s="403">
        <v>1</v>
      </c>
      <c r="D89" s="403">
        <v>1</v>
      </c>
      <c r="E89" s="403">
        <v>0</v>
      </c>
      <c r="F89" s="406">
        <f t="shared" si="5"/>
        <v>1</v>
      </c>
      <c r="G89" s="407">
        <f>סיווג!AB101</f>
        <v>1</v>
      </c>
      <c r="H89" s="405">
        <f t="shared" si="7"/>
        <v>1</v>
      </c>
      <c r="I89" s="408">
        <f t="shared" si="6"/>
        <v>1.4670070122935188E-3</v>
      </c>
      <c r="M89" s="28"/>
      <c r="N89" s="28"/>
    </row>
    <row r="90" spans="1:14" ht="15.75" x14ac:dyDescent="0.25">
      <c r="A90" s="9">
        <f>הרצות!B90</f>
        <v>82</v>
      </c>
      <c r="B90" s="402" t="str">
        <f>הרצות!C90</f>
        <v>דנה חפוטה</v>
      </c>
      <c r="C90" s="403">
        <v>1</v>
      </c>
      <c r="D90" s="403">
        <v>3</v>
      </c>
      <c r="E90" s="403">
        <v>4</v>
      </c>
      <c r="F90" s="406">
        <f t="shared" si="5"/>
        <v>7</v>
      </c>
      <c r="G90" s="407">
        <f>סיווג!AB102</f>
        <v>1</v>
      </c>
      <c r="H90" s="405">
        <f t="shared" si="7"/>
        <v>7</v>
      </c>
      <c r="I90" s="408">
        <f t="shared" si="6"/>
        <v>1.0269049086054631E-2</v>
      </c>
      <c r="M90" s="28"/>
      <c r="N90" s="28"/>
    </row>
    <row r="91" spans="1:14" ht="15.75" x14ac:dyDescent="0.25">
      <c r="A91" s="9">
        <f>הרצות!B91</f>
        <v>83</v>
      </c>
      <c r="B91" s="402" t="str">
        <f>הרצות!C91</f>
        <v/>
      </c>
      <c r="C91" s="403"/>
      <c r="D91" s="403"/>
      <c r="E91" s="403"/>
      <c r="F91" s="406" t="str">
        <f t="shared" si="5"/>
        <v/>
      </c>
      <c r="G91" s="407" t="str">
        <f>סיווג!AB103</f>
        <v/>
      </c>
      <c r="H91" s="405" t="str">
        <f t="shared" si="7"/>
        <v/>
      </c>
      <c r="I91" s="408" t="str">
        <f t="shared" si="6"/>
        <v/>
      </c>
      <c r="M91" s="28"/>
      <c r="N91" s="28"/>
    </row>
    <row r="92" spans="1:14" ht="15.75" x14ac:dyDescent="0.25">
      <c r="A92" s="9">
        <f>הרצות!B92</f>
        <v>84</v>
      </c>
      <c r="B92" s="402" t="str">
        <f>הרצות!C92</f>
        <v/>
      </c>
      <c r="C92" s="403"/>
      <c r="D92" s="403"/>
      <c r="E92" s="403"/>
      <c r="F92" s="406" t="str">
        <f t="shared" si="5"/>
        <v/>
      </c>
      <c r="G92" s="407" t="str">
        <f>סיווג!AB104</f>
        <v/>
      </c>
      <c r="H92" s="405" t="str">
        <f t="shared" si="7"/>
        <v/>
      </c>
      <c r="I92" s="408" t="str">
        <f t="shared" si="6"/>
        <v/>
      </c>
      <c r="M92" s="28"/>
      <c r="N92" s="28"/>
    </row>
    <row r="93" spans="1:14" ht="15.75" x14ac:dyDescent="0.25">
      <c r="A93" s="9">
        <f>הרצות!B93</f>
        <v>85</v>
      </c>
      <c r="B93" s="402" t="str">
        <f>הרצות!C93</f>
        <v>יענק'לה פילצר</v>
      </c>
      <c r="C93" s="403">
        <v>1</v>
      </c>
      <c r="D93" s="403">
        <v>28</v>
      </c>
      <c r="E93" s="403">
        <v>1</v>
      </c>
      <c r="F93" s="406">
        <f t="shared" si="5"/>
        <v>29</v>
      </c>
      <c r="G93" s="407">
        <f>סיווג!AB105</f>
        <v>1</v>
      </c>
      <c r="H93" s="405">
        <f t="shared" si="7"/>
        <v>29</v>
      </c>
      <c r="I93" s="408">
        <f t="shared" si="6"/>
        <v>4.2543203356512044E-2</v>
      </c>
      <c r="M93" s="28"/>
      <c r="N93" s="28"/>
    </row>
    <row r="94" spans="1:14" ht="15.75" x14ac:dyDescent="0.25">
      <c r="A94" s="9">
        <f>הרצות!B94</f>
        <v>86</v>
      </c>
      <c r="B94" s="402" t="str">
        <f>הרצות!C94</f>
        <v>ענבל פינטו</v>
      </c>
      <c r="C94" s="403">
        <v>1</v>
      </c>
      <c r="D94" s="403">
        <v>4</v>
      </c>
      <c r="E94" s="403">
        <v>0</v>
      </c>
      <c r="F94" s="406">
        <f t="shared" si="5"/>
        <v>4</v>
      </c>
      <c r="G94" s="407">
        <f>סיווג!AB106</f>
        <v>1</v>
      </c>
      <c r="H94" s="405">
        <f t="shared" si="7"/>
        <v>4</v>
      </c>
      <c r="I94" s="408">
        <f t="shared" si="6"/>
        <v>5.8680280491740754E-3</v>
      </c>
      <c r="M94" s="28"/>
      <c r="N94" s="28"/>
    </row>
    <row r="95" spans="1:14" ht="15.75" x14ac:dyDescent="0.25">
      <c r="A95" s="9">
        <f>הרצות!B95</f>
        <v>87</v>
      </c>
      <c r="B95" s="402" t="str">
        <f>הרצות!C95</f>
        <v>רוני חדש</v>
      </c>
      <c r="C95" s="403">
        <v>1</v>
      </c>
      <c r="D95" s="403">
        <v>8</v>
      </c>
      <c r="E95" s="403">
        <v>0</v>
      </c>
      <c r="F95" s="406">
        <f t="shared" si="5"/>
        <v>8</v>
      </c>
      <c r="G95" s="407">
        <f>סיווג!AB107</f>
        <v>1</v>
      </c>
      <c r="H95" s="405">
        <f t="shared" si="7"/>
        <v>8</v>
      </c>
      <c r="I95" s="408">
        <f t="shared" si="6"/>
        <v>1.1736056098348151E-2</v>
      </c>
      <c r="M95" s="28"/>
      <c r="N95" s="28"/>
    </row>
    <row r="96" spans="1:14" ht="15.75" x14ac:dyDescent="0.25">
      <c r="A96" s="9">
        <f>הרצות!B96</f>
        <v>88</v>
      </c>
      <c r="B96" s="402" t="str">
        <f>הרצות!C96</f>
        <v>שחר בנימיני</v>
      </c>
      <c r="C96" s="403">
        <v>1</v>
      </c>
      <c r="D96" s="403">
        <v>14</v>
      </c>
      <c r="E96" s="403">
        <v>0</v>
      </c>
      <c r="F96" s="406">
        <f t="shared" si="5"/>
        <v>14</v>
      </c>
      <c r="G96" s="407">
        <f>סיווג!AB108</f>
        <v>1</v>
      </c>
      <c r="H96" s="405">
        <f t="shared" si="7"/>
        <v>14</v>
      </c>
      <c r="I96" s="408">
        <f t="shared" si="6"/>
        <v>2.0538098172109262E-2</v>
      </c>
      <c r="M96" s="28"/>
      <c r="N96" s="28"/>
    </row>
    <row r="97" spans="1:14" ht="15.75" x14ac:dyDescent="0.25">
      <c r="A97" s="9">
        <f>הרצות!B97</f>
        <v>89</v>
      </c>
      <c r="B97" s="402" t="str">
        <f>הרצות!C97</f>
        <v>רביד אברבאנל</v>
      </c>
      <c r="C97" s="403">
        <v>1</v>
      </c>
      <c r="D97" s="403">
        <v>4</v>
      </c>
      <c r="E97" s="403">
        <v>0</v>
      </c>
      <c r="F97" s="406">
        <f t="shared" si="5"/>
        <v>4</v>
      </c>
      <c r="G97" s="407">
        <f>סיווג!AB109</f>
        <v>1</v>
      </c>
      <c r="H97" s="405">
        <f t="shared" si="7"/>
        <v>4</v>
      </c>
      <c r="I97" s="408">
        <f t="shared" si="6"/>
        <v>5.8680280491740754E-3</v>
      </c>
      <c r="M97" s="28"/>
      <c r="N97" s="28"/>
    </row>
    <row r="98" spans="1:14" ht="15.75" x14ac:dyDescent="0.25">
      <c r="A98" s="9">
        <f>הרצות!B98</f>
        <v>90</v>
      </c>
      <c r="B98" s="402" t="str">
        <f>הרצות!C98</f>
        <v>שרון פרידמן</v>
      </c>
      <c r="C98" s="403">
        <v>1</v>
      </c>
      <c r="D98" s="403">
        <v>4</v>
      </c>
      <c r="E98" s="403">
        <v>0</v>
      </c>
      <c r="F98" s="406">
        <f t="shared" si="5"/>
        <v>4</v>
      </c>
      <c r="G98" s="407">
        <f>סיווג!AB110</f>
        <v>1</v>
      </c>
      <c r="H98" s="405">
        <f t="shared" si="7"/>
        <v>4</v>
      </c>
      <c r="I98" s="408">
        <f t="shared" si="6"/>
        <v>5.8680280491740754E-3</v>
      </c>
      <c r="M98" s="28"/>
      <c r="N98" s="28"/>
    </row>
    <row r="99" spans="1:14" ht="15.75" x14ac:dyDescent="0.25">
      <c r="A99" s="9">
        <f>הרצות!B99</f>
        <v>91</v>
      </c>
      <c r="B99" s="402" t="str">
        <f>הרצות!C99</f>
        <v>מירב כהן</v>
      </c>
      <c r="C99" s="403">
        <v>1</v>
      </c>
      <c r="D99" s="403">
        <v>3</v>
      </c>
      <c r="E99" s="403">
        <v>0</v>
      </c>
      <c r="F99" s="406">
        <f t="shared" si="5"/>
        <v>3</v>
      </c>
      <c r="G99" s="407">
        <f>סיווג!AB111</f>
        <v>1</v>
      </c>
      <c r="H99" s="405">
        <f t="shared" si="7"/>
        <v>3</v>
      </c>
      <c r="I99" s="408">
        <f t="shared" si="6"/>
        <v>4.4010210368805565E-3</v>
      </c>
      <c r="M99" s="28"/>
      <c r="N99" s="28"/>
    </row>
    <row r="100" spans="1:14" ht="15.75" x14ac:dyDescent="0.25">
      <c r="A100" s="9">
        <f>הרצות!B100</f>
        <v>92</v>
      </c>
      <c r="B100" s="402" t="str">
        <f>הרצות!C100</f>
        <v>קים טייטלבאום</v>
      </c>
      <c r="C100" s="403">
        <v>1</v>
      </c>
      <c r="D100" s="403">
        <v>4</v>
      </c>
      <c r="E100" s="403">
        <v>0</v>
      </c>
      <c r="F100" s="406">
        <f t="shared" si="5"/>
        <v>4</v>
      </c>
      <c r="G100" s="407">
        <f>סיווג!AB112</f>
        <v>1</v>
      </c>
      <c r="H100" s="405">
        <f t="shared" si="7"/>
        <v>4</v>
      </c>
      <c r="I100" s="408">
        <f t="shared" si="6"/>
        <v>5.8680280491740754E-3</v>
      </c>
      <c r="M100" s="28"/>
      <c r="N100" s="28"/>
    </row>
    <row r="101" spans="1:14" ht="15.75" x14ac:dyDescent="0.25">
      <c r="A101" s="9">
        <f>הרצות!B101</f>
        <v>93</v>
      </c>
      <c r="B101" s="402" t="str">
        <f>הרצות!C101</f>
        <v/>
      </c>
      <c r="C101" s="403"/>
      <c r="D101" s="403"/>
      <c r="E101" s="403"/>
      <c r="F101" s="406" t="str">
        <f t="shared" si="5"/>
        <v/>
      </c>
      <c r="G101" s="407" t="str">
        <f>סיווג!AB113</f>
        <v/>
      </c>
      <c r="H101" s="405" t="str">
        <f t="shared" si="7"/>
        <v/>
      </c>
      <c r="I101" s="408" t="str">
        <f t="shared" si="6"/>
        <v/>
      </c>
      <c r="M101" s="28"/>
      <c r="N101" s="28"/>
    </row>
    <row r="102" spans="1:14" ht="15.75" x14ac:dyDescent="0.25">
      <c r="A102" s="9">
        <f>הרצות!B102</f>
        <v>94</v>
      </c>
      <c r="B102" s="402" t="str">
        <f>הרצות!C102</f>
        <v>מאי זרחי</v>
      </c>
      <c r="C102" s="403">
        <v>1</v>
      </c>
      <c r="D102" s="403">
        <v>4</v>
      </c>
      <c r="E102" s="403">
        <v>0</v>
      </c>
      <c r="F102" s="406">
        <f t="shared" si="5"/>
        <v>4</v>
      </c>
      <c r="G102" s="407">
        <f>סיווג!AB114</f>
        <v>1</v>
      </c>
      <c r="H102" s="405">
        <f t="shared" si="7"/>
        <v>4</v>
      </c>
      <c r="I102" s="408">
        <f t="shared" si="6"/>
        <v>5.8680280491740754E-3</v>
      </c>
      <c r="M102" s="28"/>
      <c r="N102" s="28"/>
    </row>
    <row r="103" spans="1:14" ht="15.75" x14ac:dyDescent="0.25">
      <c r="A103" s="9">
        <f>הרצות!B103</f>
        <v>95</v>
      </c>
      <c r="B103" s="402" t="str">
        <f>הרצות!C103</f>
        <v>דנה מרכוס</v>
      </c>
      <c r="C103" s="403">
        <v>1</v>
      </c>
      <c r="D103" s="403">
        <v>4</v>
      </c>
      <c r="E103" s="403">
        <v>0</v>
      </c>
      <c r="F103" s="406">
        <f t="shared" si="5"/>
        <v>4</v>
      </c>
      <c r="G103" s="407">
        <f>סיווג!AB115</f>
        <v>1</v>
      </c>
      <c r="H103" s="405">
        <f t="shared" si="7"/>
        <v>4</v>
      </c>
      <c r="I103" s="408">
        <f t="shared" si="6"/>
        <v>5.8680280491740754E-3</v>
      </c>
      <c r="M103" s="28"/>
      <c r="N103" s="28"/>
    </row>
    <row r="104" spans="1:14" ht="15.75" x14ac:dyDescent="0.25">
      <c r="A104" s="9">
        <f>הרצות!B104</f>
        <v>96</v>
      </c>
      <c r="B104" s="402" t="str">
        <f>הרצות!C104</f>
        <v/>
      </c>
      <c r="C104" s="403"/>
      <c r="D104" s="403"/>
      <c r="E104" s="403"/>
      <c r="F104" s="406" t="str">
        <f t="shared" si="5"/>
        <v/>
      </c>
      <c r="G104" s="407" t="str">
        <f>סיווג!AB116</f>
        <v/>
      </c>
      <c r="H104" s="405" t="str">
        <f t="shared" si="7"/>
        <v/>
      </c>
      <c r="I104" s="408" t="str">
        <f t="shared" si="6"/>
        <v/>
      </c>
      <c r="M104" s="28"/>
      <c r="N104" s="28"/>
    </row>
    <row r="105" spans="1:14" ht="15.75" x14ac:dyDescent="0.25">
      <c r="A105" s="9">
        <f>הרצות!B105</f>
        <v>97</v>
      </c>
      <c r="B105" s="402" t="str">
        <f>הרצות!C105</f>
        <v/>
      </c>
      <c r="C105" s="403"/>
      <c r="D105" s="403"/>
      <c r="E105" s="403"/>
      <c r="F105" s="406" t="str">
        <f>IF(B105="","",D105+E105)</f>
        <v/>
      </c>
      <c r="G105" s="407" t="str">
        <f>סיווג!AB117</f>
        <v/>
      </c>
      <c r="H105" s="405" t="str">
        <f t="shared" si="7"/>
        <v/>
      </c>
      <c r="I105" s="408" t="str">
        <f t="shared" ref="I105:I106" si="8">IF(ISERR(H105/$H$121),"",H105/$H$121)</f>
        <v/>
      </c>
      <c r="M105" s="28"/>
      <c r="N105" s="28"/>
    </row>
    <row r="106" spans="1:14" ht="15.75" x14ac:dyDescent="0.25">
      <c r="A106" s="9">
        <f>הרצות!B106</f>
        <v>98</v>
      </c>
      <c r="B106" s="402" t="str">
        <f>הרצות!C106</f>
        <v>שקד מוכיח</v>
      </c>
      <c r="C106" s="403">
        <v>1</v>
      </c>
      <c r="D106" s="403">
        <v>10</v>
      </c>
      <c r="E106" s="403">
        <v>5</v>
      </c>
      <c r="F106" s="406">
        <f>IF(B106="","",D106+E106)</f>
        <v>15</v>
      </c>
      <c r="G106" s="407">
        <f>סיווג!AB118</f>
        <v>1</v>
      </c>
      <c r="H106" s="405">
        <f t="shared" si="7"/>
        <v>15</v>
      </c>
      <c r="I106" s="408">
        <f t="shared" si="8"/>
        <v>2.2005105184402782E-2</v>
      </c>
    </row>
    <row r="107" spans="1:14" ht="15.75" x14ac:dyDescent="0.25">
      <c r="A107" s="9">
        <f>הרצות!B107</f>
        <v>99</v>
      </c>
      <c r="B107" s="402" t="str">
        <f>הרצות!C107</f>
        <v>שרון הללי אסא</v>
      </c>
      <c r="C107" s="403">
        <v>1</v>
      </c>
      <c r="D107" s="403">
        <v>6</v>
      </c>
      <c r="E107" s="403">
        <v>2</v>
      </c>
      <c r="F107" s="406">
        <f>IF(B107="","",D107+E107)</f>
        <v>8</v>
      </c>
      <c r="G107" s="407">
        <f>סיווג!AB119</f>
        <v>1</v>
      </c>
      <c r="H107" s="405">
        <f t="shared" si="7"/>
        <v>8</v>
      </c>
      <c r="I107" s="408">
        <f t="shared" ref="I107:I120" si="9">IF(ISERR(H107/$H$121),"",H107/$H$121)</f>
        <v>1.1736056098348151E-2</v>
      </c>
    </row>
    <row r="108" spans="1:14" ht="15.75" x14ac:dyDescent="0.25">
      <c r="A108" s="9">
        <f>הרצות!B108</f>
        <v>100</v>
      </c>
      <c r="B108" s="402" t="str">
        <f>הרצות!C108</f>
        <v>להקת ג'אם</v>
      </c>
      <c r="C108" s="403">
        <v>1</v>
      </c>
      <c r="D108" s="403">
        <v>8</v>
      </c>
      <c r="E108" s="403">
        <v>0</v>
      </c>
      <c r="F108" s="406">
        <f>IF(B108="","",D108+E108)</f>
        <v>8</v>
      </c>
      <c r="G108" s="407">
        <f>סיווג!AB120</f>
        <v>1</v>
      </c>
      <c r="H108" s="405">
        <f t="shared" si="7"/>
        <v>8</v>
      </c>
      <c r="I108" s="408">
        <f t="shared" si="9"/>
        <v>1.1736056098348151E-2</v>
      </c>
    </row>
    <row r="109" spans="1:14" ht="15.75" x14ac:dyDescent="0.25">
      <c r="A109" s="9">
        <f>הרצות!B109</f>
        <v>101</v>
      </c>
      <c r="B109" s="402" t="str">
        <f>הרצות!C109</f>
        <v/>
      </c>
      <c r="C109" s="403"/>
      <c r="D109" s="403"/>
      <c r="E109" s="403"/>
      <c r="F109" s="406" t="str">
        <f t="shared" ref="F109:F120" si="10">IF(B109="","",D109+E109)</f>
        <v/>
      </c>
      <c r="G109" s="407" t="str">
        <f>סיווג!AB121</f>
        <v/>
      </c>
      <c r="H109" s="405" t="str">
        <f t="shared" ref="H109:H120" si="11">IF(B109="","",IF(C109="",$L$1,IF(C109=$K$1,0,IF(B109="","",(D109*$C$3+E109*$C$4)*G109))))</f>
        <v/>
      </c>
      <c r="I109" s="408" t="str">
        <f t="shared" si="9"/>
        <v/>
      </c>
    </row>
    <row r="110" spans="1:14" ht="15.75" x14ac:dyDescent="0.25">
      <c r="A110" s="9">
        <f>הרצות!B110</f>
        <v>102</v>
      </c>
      <c r="B110" s="402" t="str">
        <f>הרצות!C110</f>
        <v/>
      </c>
      <c r="C110" s="403"/>
      <c r="D110" s="403"/>
      <c r="E110" s="403"/>
      <c r="F110" s="406" t="str">
        <f t="shared" si="10"/>
        <v/>
      </c>
      <c r="G110" s="407" t="str">
        <f>סיווג!AB122</f>
        <v/>
      </c>
      <c r="H110" s="405" t="str">
        <f t="shared" si="11"/>
        <v/>
      </c>
      <c r="I110" s="408" t="str">
        <f t="shared" si="9"/>
        <v/>
      </c>
    </row>
    <row r="111" spans="1:14" ht="15.75" x14ac:dyDescent="0.25">
      <c r="A111" s="9">
        <f>הרצות!B111</f>
        <v>103</v>
      </c>
      <c r="B111" s="402" t="str">
        <f>הרצות!C111</f>
        <v/>
      </c>
      <c r="C111" s="403"/>
      <c r="D111" s="403"/>
      <c r="E111" s="403"/>
      <c r="F111" s="406" t="str">
        <f t="shared" si="10"/>
        <v/>
      </c>
      <c r="G111" s="407" t="str">
        <f>סיווג!AB123</f>
        <v/>
      </c>
      <c r="H111" s="405" t="str">
        <f t="shared" si="11"/>
        <v/>
      </c>
      <c r="I111" s="408" t="str">
        <f t="shared" si="9"/>
        <v/>
      </c>
    </row>
    <row r="112" spans="1:14" ht="15.75" x14ac:dyDescent="0.25">
      <c r="A112" s="9">
        <f>הרצות!B112</f>
        <v>104</v>
      </c>
      <c r="B112" s="402" t="str">
        <f>הרצות!C112</f>
        <v/>
      </c>
      <c r="C112" s="403"/>
      <c r="D112" s="403"/>
      <c r="E112" s="403"/>
      <c r="F112" s="406" t="str">
        <f t="shared" si="10"/>
        <v/>
      </c>
      <c r="G112" s="407" t="str">
        <f>סיווג!AB124</f>
        <v/>
      </c>
      <c r="H112" s="405" t="str">
        <f t="shared" si="11"/>
        <v/>
      </c>
      <c r="I112" s="408" t="str">
        <f t="shared" si="9"/>
        <v/>
      </c>
    </row>
    <row r="113" spans="1:9" ht="15.75" x14ac:dyDescent="0.25">
      <c r="A113" s="9">
        <f>הרצות!B113</f>
        <v>105</v>
      </c>
      <c r="B113" s="402" t="str">
        <f>הרצות!C113</f>
        <v>מורן אברג'ל יצחקי</v>
      </c>
      <c r="C113" s="403">
        <v>1</v>
      </c>
      <c r="D113" s="403">
        <v>6</v>
      </c>
      <c r="E113" s="403">
        <v>0</v>
      </c>
      <c r="F113" s="406">
        <f t="shared" si="10"/>
        <v>6</v>
      </c>
      <c r="G113" s="407">
        <f>סיווג!AB125</f>
        <v>1</v>
      </c>
      <c r="H113" s="405">
        <f t="shared" si="11"/>
        <v>6</v>
      </c>
      <c r="I113" s="408">
        <f t="shared" si="9"/>
        <v>8.802042073761113E-3</v>
      </c>
    </row>
    <row r="114" spans="1:9" ht="15.75" x14ac:dyDescent="0.25">
      <c r="A114" s="9">
        <f>הרצות!B114</f>
        <v>106</v>
      </c>
      <c r="B114" s="402" t="str">
        <f>הרצות!C114</f>
        <v>מיכל בן צבי</v>
      </c>
      <c r="C114" s="403">
        <v>1</v>
      </c>
      <c r="D114" s="403">
        <v>2</v>
      </c>
      <c r="E114" s="403">
        <v>7</v>
      </c>
      <c r="F114" s="406">
        <f t="shared" si="10"/>
        <v>9</v>
      </c>
      <c r="G114" s="407">
        <f>סיווג!AB126</f>
        <v>1</v>
      </c>
      <c r="H114" s="405">
        <f t="shared" si="11"/>
        <v>9</v>
      </c>
      <c r="I114" s="408">
        <f t="shared" si="9"/>
        <v>1.3203063110641669E-2</v>
      </c>
    </row>
    <row r="115" spans="1:9" ht="15.75" x14ac:dyDescent="0.25">
      <c r="A115" s="9">
        <f>הרצות!B115</f>
        <v>107</v>
      </c>
      <c r="B115" s="402" t="str">
        <f>הרצות!C115</f>
        <v>מיקה קופפר</v>
      </c>
      <c r="C115" s="403">
        <v>1</v>
      </c>
      <c r="D115" s="403">
        <v>1</v>
      </c>
      <c r="E115" s="403">
        <v>1</v>
      </c>
      <c r="F115" s="406">
        <f t="shared" si="10"/>
        <v>2</v>
      </c>
      <c r="G115" s="407">
        <f>סיווג!AB127</f>
        <v>1</v>
      </c>
      <c r="H115" s="405">
        <f t="shared" si="11"/>
        <v>2</v>
      </c>
      <c r="I115" s="408">
        <f t="shared" si="9"/>
        <v>2.9340140245870377E-3</v>
      </c>
    </row>
    <row r="116" spans="1:9" ht="15.75" x14ac:dyDescent="0.25">
      <c r="A116" s="9">
        <f>הרצות!B116</f>
        <v>108</v>
      </c>
      <c r="B116" s="402" t="str">
        <f>הרצות!C116</f>
        <v/>
      </c>
      <c r="C116" s="403"/>
      <c r="D116" s="403"/>
      <c r="E116" s="403"/>
      <c r="F116" s="406" t="str">
        <f t="shared" si="10"/>
        <v/>
      </c>
      <c r="G116" s="407" t="str">
        <f>סיווג!AB128</f>
        <v/>
      </c>
      <c r="H116" s="405" t="str">
        <f t="shared" si="11"/>
        <v/>
      </c>
      <c r="I116" s="408" t="str">
        <f t="shared" si="9"/>
        <v/>
      </c>
    </row>
    <row r="117" spans="1:9" ht="15.75" x14ac:dyDescent="0.25">
      <c r="A117" s="9">
        <f>הרצות!B117</f>
        <v>109</v>
      </c>
      <c r="B117" s="402" t="str">
        <f>הרצות!C117</f>
        <v>נועה שילה</v>
      </c>
      <c r="C117" s="403">
        <v>1</v>
      </c>
      <c r="D117" s="403">
        <v>7</v>
      </c>
      <c r="E117" s="403">
        <v>0</v>
      </c>
      <c r="F117" s="406">
        <f t="shared" si="10"/>
        <v>7</v>
      </c>
      <c r="G117" s="407">
        <f>סיווג!AB129</f>
        <v>1</v>
      </c>
      <c r="H117" s="405">
        <f t="shared" si="11"/>
        <v>7</v>
      </c>
      <c r="I117" s="408">
        <f t="shared" si="9"/>
        <v>1.0269049086054631E-2</v>
      </c>
    </row>
    <row r="118" spans="1:9" ht="15.75" x14ac:dyDescent="0.25">
      <c r="A118" s="9">
        <f>הרצות!B118</f>
        <v>110</v>
      </c>
      <c r="B118" s="402" t="str">
        <f>הרצות!C118</f>
        <v/>
      </c>
      <c r="C118" s="403"/>
      <c r="D118" s="403"/>
      <c r="E118" s="403"/>
      <c r="F118" s="406" t="str">
        <f t="shared" si="10"/>
        <v/>
      </c>
      <c r="G118" s="407" t="str">
        <f>סיווג!AB130</f>
        <v/>
      </c>
      <c r="H118" s="405" t="str">
        <f t="shared" si="11"/>
        <v/>
      </c>
      <c r="I118" s="408" t="str">
        <f t="shared" si="9"/>
        <v/>
      </c>
    </row>
    <row r="119" spans="1:9" ht="15.75" x14ac:dyDescent="0.25">
      <c r="A119" s="9">
        <f>הרצות!B119</f>
        <v>111</v>
      </c>
      <c r="B119" s="402" t="str">
        <f>הרצות!C119</f>
        <v>עדי בוטרוס אמנויות הבמה (ע"ר)</v>
      </c>
      <c r="C119" s="403">
        <v>1</v>
      </c>
      <c r="D119" s="403">
        <v>8</v>
      </c>
      <c r="E119" s="403">
        <v>0</v>
      </c>
      <c r="F119" s="406">
        <f t="shared" si="10"/>
        <v>8</v>
      </c>
      <c r="G119" s="407">
        <f>סיווג!AB131</f>
        <v>1</v>
      </c>
      <c r="H119" s="405">
        <f t="shared" si="11"/>
        <v>8</v>
      </c>
      <c r="I119" s="408">
        <f t="shared" si="9"/>
        <v>1.1736056098348151E-2</v>
      </c>
    </row>
    <row r="120" spans="1:9" ht="16.5" thickBot="1" x14ac:dyDescent="0.3">
      <c r="A120" s="9">
        <f>הרצות!B120</f>
        <v>112</v>
      </c>
      <c r="B120" s="402" t="str">
        <f>הרצות!C120</f>
        <v/>
      </c>
      <c r="C120" s="403"/>
      <c r="D120" s="403"/>
      <c r="E120" s="403"/>
      <c r="F120" s="406" t="str">
        <f t="shared" si="10"/>
        <v/>
      </c>
      <c r="G120" s="407" t="str">
        <f>סיווג!AB132</f>
        <v/>
      </c>
      <c r="H120" s="405" t="str">
        <f t="shared" si="11"/>
        <v/>
      </c>
      <c r="I120" s="408" t="str">
        <f t="shared" si="9"/>
        <v/>
      </c>
    </row>
    <row r="121" spans="1:9" ht="17.25" thickTop="1" thickBot="1" x14ac:dyDescent="0.3">
      <c r="A121" s="760" t="s">
        <v>41</v>
      </c>
      <c r="B121" s="761"/>
      <c r="C121" s="761"/>
      <c r="D121" s="761"/>
      <c r="E121" s="762"/>
      <c r="F121" s="592">
        <f>SUM(F9:F120)</f>
        <v>683</v>
      </c>
      <c r="G121" s="593">
        <f>SUM(G9:G120)</f>
        <v>88.33</v>
      </c>
      <c r="H121" s="538">
        <f>SUM(H9:H120)</f>
        <v>681.66</v>
      </c>
      <c r="I121" s="35">
        <f>SUM(I9:I120)</f>
        <v>1.0000000000000004</v>
      </c>
    </row>
    <row r="122" spans="1:9" ht="13.5" thickTop="1" x14ac:dyDescent="0.2"/>
  </sheetData>
  <sheetProtection algorithmName="SHA-512" hashValue="4Mj/P9DJv00+jggaiXHPvhq2NvXwCOHswyykDl+b59nFuDmVYCyZPjMIrSI5u/UaIozckAoZO3LEwY5FteAsrw==" saltValue="3ATLXtZtWx+tMmroFSUoTA==" spinCount="100000" sheet="1" scenarios="1" formatColumns="0" formatRows="0" autoFilter="0"/>
  <mergeCells count="7">
    <mergeCell ref="A7:I7"/>
    <mergeCell ref="A121:E121"/>
    <mergeCell ref="B1:C1"/>
    <mergeCell ref="E1:F1"/>
    <mergeCell ref="E2:F2"/>
    <mergeCell ref="G1:H1"/>
    <mergeCell ref="G2:H2"/>
  </mergeCells>
  <conditionalFormatting sqref="A9:B120">
    <cfRule type="containsBlanks" dxfId="187" priority="23">
      <formula>LEN(TRIM(A9))=0</formula>
    </cfRule>
  </conditionalFormatting>
  <conditionalFormatting sqref="C9:C120">
    <cfRule type="expression" priority="1">
      <formula>IF($C9="","בדוק נתוני הזנה","")</formula>
    </cfRule>
  </conditionalFormatting>
  <conditionalFormatting sqref="C9:E120">
    <cfRule type="expression" dxfId="186" priority="3">
      <formula>AND($B9="",C9&lt;&gt;"")</formula>
    </cfRule>
    <cfRule type="expression" dxfId="185" priority="4">
      <formula>$B9&lt;&gt;""</formula>
    </cfRule>
  </conditionalFormatting>
  <conditionalFormatting sqref="F9:I120">
    <cfRule type="containsBlanks" dxfId="184" priority="32">
      <formula>LEN(TRIM(F9))=0</formula>
    </cfRule>
  </conditionalFormatting>
  <conditionalFormatting sqref="G1:G2">
    <cfRule type="containsBlanks" dxfId="183" priority="24">
      <formula>LEN(TRIM(G1))=0</formula>
    </cfRule>
  </conditionalFormatting>
  <dataValidations count="2">
    <dataValidation type="whole" allowBlank="1" showInputMessage="1" showErrorMessage="1" sqref="D9:E120" xr:uid="{00000000-0002-0000-0700-000000000000}">
      <formula1>0</formula1>
      <formula2>1000</formula2>
    </dataValidation>
    <dataValidation type="list" allowBlank="1" showInputMessage="1" showErrorMessage="1" sqref="C9:C120" xr:uid="{00000000-0002-0000-0700-000001000000}">
      <formula1>$J$1:$K$1</formula1>
    </dataValidation>
  </dataValidations>
  <printOptions horizontalCentered="1"/>
  <pageMargins left="0.27559055118110237" right="0.19685039370078741" top="0.62992125984251968" bottom="0.47244094488188981" header="0.31496062992125984" footer="0.23622047244094491"/>
  <pageSetup paperSize="9" scale="38" orientation="portrait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3">
    <tabColor theme="5" tint="0.39997558519241921"/>
    <pageSetUpPr fitToPage="1"/>
  </sheetPr>
  <dimension ref="A1:AO125"/>
  <sheetViews>
    <sheetView rightToLeft="1" view="pageBreakPreview" topLeftCell="A10" zoomScaleNormal="100" zoomScaleSheetLayoutView="100" workbookViewId="0">
      <selection activeCell="A10" sqref="A10:J10"/>
    </sheetView>
  </sheetViews>
  <sheetFormatPr defaultColWidth="8.85546875" defaultRowHeight="12.75" outlineLevelRow="1" x14ac:dyDescent="0.2"/>
  <cols>
    <col min="1" max="1" width="8.42578125" style="61" customWidth="1"/>
    <col min="2" max="2" width="29.7109375" style="61" bestFit="1" customWidth="1"/>
    <col min="3" max="3" width="15.42578125" style="61" bestFit="1" customWidth="1"/>
    <col min="4" max="4" width="15" style="61" customWidth="1"/>
    <col min="5" max="5" width="10.42578125" style="61" customWidth="1"/>
    <col min="6" max="6" width="9.140625" style="61" customWidth="1"/>
    <col min="7" max="7" width="7.85546875" style="61" customWidth="1"/>
    <col min="8" max="8" width="8.42578125" style="61" customWidth="1"/>
    <col min="9" max="9" width="8.85546875" style="61" customWidth="1"/>
    <col min="10" max="10" width="7" style="61" customWidth="1"/>
    <col min="11" max="12" width="17" style="61" bestFit="1" customWidth="1"/>
    <col min="13" max="13" width="17.7109375" style="61" customWidth="1"/>
    <col min="14" max="19" width="2.42578125" style="61" hidden="1" customWidth="1"/>
    <col min="20" max="20" width="4.85546875" style="61" hidden="1" customWidth="1"/>
    <col min="21" max="21" width="2.42578125" style="61" hidden="1" customWidth="1"/>
    <col min="22" max="22" width="45.42578125" style="61" hidden="1" customWidth="1"/>
    <col min="23" max="24" width="9.140625" style="61" hidden="1" customWidth="1"/>
    <col min="25" max="26" width="10.28515625" style="61" hidden="1" customWidth="1"/>
    <col min="27" max="29" width="9.140625" style="61" hidden="1" customWidth="1"/>
    <col min="30" max="30" width="18.28515625" style="61" hidden="1" customWidth="1"/>
    <col min="31" max="41" width="9.140625" style="61" hidden="1" customWidth="1"/>
    <col min="42" max="44" width="9.140625" style="61" customWidth="1"/>
    <col min="45" max="52" width="8.85546875" style="61" customWidth="1"/>
    <col min="53" max="250" width="9.140625" style="61"/>
    <col min="251" max="251" width="8.42578125" style="61" customWidth="1"/>
    <col min="252" max="252" width="21.140625" style="61" customWidth="1"/>
    <col min="253" max="256" width="7" style="61" customWidth="1"/>
    <col min="257" max="257" width="7.85546875" style="61" customWidth="1"/>
    <col min="258" max="260" width="7" style="61" customWidth="1"/>
    <col min="261" max="261" width="13.28515625" style="61" customWidth="1"/>
    <col min="262" max="262" width="14" style="61" customWidth="1"/>
    <col min="263" max="263" width="17.42578125" style="61" customWidth="1"/>
    <col min="264" max="273" width="0" style="61" hidden="1" customWidth="1"/>
    <col min="274" max="274" width="2.42578125" style="61" customWidth="1"/>
    <col min="275" max="275" width="42.140625" style="61" bestFit="1" customWidth="1"/>
    <col min="276" max="277" width="9.140625" style="61"/>
    <col min="278" max="278" width="0" style="61" hidden="1" customWidth="1"/>
    <col min="279" max="506" width="9.140625" style="61"/>
    <col min="507" max="507" width="8.42578125" style="61" customWidth="1"/>
    <col min="508" max="508" width="21.140625" style="61" customWidth="1"/>
    <col min="509" max="512" width="7" style="61" customWidth="1"/>
    <col min="513" max="513" width="7.85546875" style="61" customWidth="1"/>
    <col min="514" max="516" width="7" style="61" customWidth="1"/>
    <col min="517" max="517" width="13.28515625" style="61" customWidth="1"/>
    <col min="518" max="518" width="14" style="61" customWidth="1"/>
    <col min="519" max="519" width="17.42578125" style="61" customWidth="1"/>
    <col min="520" max="529" width="0" style="61" hidden="1" customWidth="1"/>
    <col min="530" max="530" width="2.42578125" style="61" customWidth="1"/>
    <col min="531" max="531" width="42.140625" style="61" bestFit="1" customWidth="1"/>
    <col min="532" max="533" width="9.140625" style="61"/>
    <col min="534" max="534" width="0" style="61" hidden="1" customWidth="1"/>
    <col min="535" max="762" width="9.140625" style="61"/>
    <col min="763" max="763" width="8.42578125" style="61" customWidth="1"/>
    <col min="764" max="764" width="21.140625" style="61" customWidth="1"/>
    <col min="765" max="768" width="7" style="61" customWidth="1"/>
    <col min="769" max="769" width="7.85546875" style="61" customWidth="1"/>
    <col min="770" max="772" width="7" style="61" customWidth="1"/>
    <col min="773" max="773" width="13.28515625" style="61" customWidth="1"/>
    <col min="774" max="774" width="14" style="61" customWidth="1"/>
    <col min="775" max="775" width="17.42578125" style="61" customWidth="1"/>
    <col min="776" max="785" width="0" style="61" hidden="1" customWidth="1"/>
    <col min="786" max="786" width="2.42578125" style="61" customWidth="1"/>
    <col min="787" max="787" width="42.140625" style="61" bestFit="1" customWidth="1"/>
    <col min="788" max="789" width="9.140625" style="61"/>
    <col min="790" max="790" width="0" style="61" hidden="1" customWidth="1"/>
    <col min="791" max="1018" width="9.140625" style="61"/>
    <col min="1019" max="1019" width="8.42578125" style="61" customWidth="1"/>
    <col min="1020" max="1020" width="21.140625" style="61" customWidth="1"/>
    <col min="1021" max="1024" width="7" style="61" customWidth="1"/>
    <col min="1025" max="1025" width="7.85546875" style="61" customWidth="1"/>
    <col min="1026" max="1028" width="7" style="61" customWidth="1"/>
    <col min="1029" max="1029" width="13.28515625" style="61" customWidth="1"/>
    <col min="1030" max="1030" width="14" style="61" customWidth="1"/>
    <col min="1031" max="1031" width="17.42578125" style="61" customWidth="1"/>
    <col min="1032" max="1041" width="0" style="61" hidden="1" customWidth="1"/>
    <col min="1042" max="1042" width="2.42578125" style="61" customWidth="1"/>
    <col min="1043" max="1043" width="42.140625" style="61" bestFit="1" customWidth="1"/>
    <col min="1044" max="1045" width="9.140625" style="61"/>
    <col min="1046" max="1046" width="0" style="61" hidden="1" customWidth="1"/>
    <col min="1047" max="1274" width="9.140625" style="61"/>
    <col min="1275" max="1275" width="8.42578125" style="61" customWidth="1"/>
    <col min="1276" max="1276" width="21.140625" style="61" customWidth="1"/>
    <col min="1277" max="1280" width="7" style="61" customWidth="1"/>
    <col min="1281" max="1281" width="7.85546875" style="61" customWidth="1"/>
    <col min="1282" max="1284" width="7" style="61" customWidth="1"/>
    <col min="1285" max="1285" width="13.28515625" style="61" customWidth="1"/>
    <col min="1286" max="1286" width="14" style="61" customWidth="1"/>
    <col min="1287" max="1287" width="17.42578125" style="61" customWidth="1"/>
    <col min="1288" max="1297" width="0" style="61" hidden="1" customWidth="1"/>
    <col min="1298" max="1298" width="2.42578125" style="61" customWidth="1"/>
    <col min="1299" max="1299" width="42.140625" style="61" bestFit="1" customWidth="1"/>
    <col min="1300" max="1301" width="9.140625" style="61"/>
    <col min="1302" max="1302" width="0" style="61" hidden="1" customWidth="1"/>
    <col min="1303" max="1530" width="9.140625" style="61"/>
    <col min="1531" max="1531" width="8.42578125" style="61" customWidth="1"/>
    <col min="1532" max="1532" width="21.140625" style="61" customWidth="1"/>
    <col min="1533" max="1536" width="7" style="61" customWidth="1"/>
    <col min="1537" max="1537" width="7.85546875" style="61" customWidth="1"/>
    <col min="1538" max="1540" width="7" style="61" customWidth="1"/>
    <col min="1541" max="1541" width="13.28515625" style="61" customWidth="1"/>
    <col min="1542" max="1542" width="14" style="61" customWidth="1"/>
    <col min="1543" max="1543" width="17.42578125" style="61" customWidth="1"/>
    <col min="1544" max="1553" width="0" style="61" hidden="1" customWidth="1"/>
    <col min="1554" max="1554" width="2.42578125" style="61" customWidth="1"/>
    <col min="1555" max="1555" width="42.140625" style="61" bestFit="1" customWidth="1"/>
    <col min="1556" max="1557" width="9.140625" style="61"/>
    <col min="1558" max="1558" width="0" style="61" hidden="1" customWidth="1"/>
    <col min="1559" max="1786" width="9.140625" style="61"/>
    <col min="1787" max="1787" width="8.42578125" style="61" customWidth="1"/>
    <col min="1788" max="1788" width="21.140625" style="61" customWidth="1"/>
    <col min="1789" max="1792" width="7" style="61" customWidth="1"/>
    <col min="1793" max="1793" width="7.85546875" style="61" customWidth="1"/>
    <col min="1794" max="1796" width="7" style="61" customWidth="1"/>
    <col min="1797" max="1797" width="13.28515625" style="61" customWidth="1"/>
    <col min="1798" max="1798" width="14" style="61" customWidth="1"/>
    <col min="1799" max="1799" width="17.42578125" style="61" customWidth="1"/>
    <col min="1800" max="1809" width="0" style="61" hidden="1" customWidth="1"/>
    <col min="1810" max="1810" width="2.42578125" style="61" customWidth="1"/>
    <col min="1811" max="1811" width="42.140625" style="61" bestFit="1" customWidth="1"/>
    <col min="1812" max="1813" width="9.140625" style="61"/>
    <col min="1814" max="1814" width="0" style="61" hidden="1" customWidth="1"/>
    <col min="1815" max="2042" width="9.140625" style="61"/>
    <col min="2043" max="2043" width="8.42578125" style="61" customWidth="1"/>
    <col min="2044" max="2044" width="21.140625" style="61" customWidth="1"/>
    <col min="2045" max="2048" width="7" style="61" customWidth="1"/>
    <col min="2049" max="2049" width="7.85546875" style="61" customWidth="1"/>
    <col min="2050" max="2052" width="7" style="61" customWidth="1"/>
    <col min="2053" max="2053" width="13.28515625" style="61" customWidth="1"/>
    <col min="2054" max="2054" width="14" style="61" customWidth="1"/>
    <col min="2055" max="2055" width="17.42578125" style="61" customWidth="1"/>
    <col min="2056" max="2065" width="0" style="61" hidden="1" customWidth="1"/>
    <col min="2066" max="2066" width="2.42578125" style="61" customWidth="1"/>
    <col min="2067" max="2067" width="42.140625" style="61" bestFit="1" customWidth="1"/>
    <col min="2068" max="2069" width="9.140625" style="61"/>
    <col min="2070" max="2070" width="0" style="61" hidden="1" customWidth="1"/>
    <col min="2071" max="2298" width="9.140625" style="61"/>
    <col min="2299" max="2299" width="8.42578125" style="61" customWidth="1"/>
    <col min="2300" max="2300" width="21.140625" style="61" customWidth="1"/>
    <col min="2301" max="2304" width="7" style="61" customWidth="1"/>
    <col min="2305" max="2305" width="7.85546875" style="61" customWidth="1"/>
    <col min="2306" max="2308" width="7" style="61" customWidth="1"/>
    <col min="2309" max="2309" width="13.28515625" style="61" customWidth="1"/>
    <col min="2310" max="2310" width="14" style="61" customWidth="1"/>
    <col min="2311" max="2311" width="17.42578125" style="61" customWidth="1"/>
    <col min="2312" max="2321" width="0" style="61" hidden="1" customWidth="1"/>
    <col min="2322" max="2322" width="2.42578125" style="61" customWidth="1"/>
    <col min="2323" max="2323" width="42.140625" style="61" bestFit="1" customWidth="1"/>
    <col min="2324" max="2325" width="9.140625" style="61"/>
    <col min="2326" max="2326" width="0" style="61" hidden="1" customWidth="1"/>
    <col min="2327" max="2554" width="9.140625" style="61"/>
    <col min="2555" max="2555" width="8.42578125" style="61" customWidth="1"/>
    <col min="2556" max="2556" width="21.140625" style="61" customWidth="1"/>
    <col min="2557" max="2560" width="7" style="61" customWidth="1"/>
    <col min="2561" max="2561" width="7.85546875" style="61" customWidth="1"/>
    <col min="2562" max="2564" width="7" style="61" customWidth="1"/>
    <col min="2565" max="2565" width="13.28515625" style="61" customWidth="1"/>
    <col min="2566" max="2566" width="14" style="61" customWidth="1"/>
    <col min="2567" max="2567" width="17.42578125" style="61" customWidth="1"/>
    <col min="2568" max="2577" width="0" style="61" hidden="1" customWidth="1"/>
    <col min="2578" max="2578" width="2.42578125" style="61" customWidth="1"/>
    <col min="2579" max="2579" width="42.140625" style="61" bestFit="1" customWidth="1"/>
    <col min="2580" max="2581" width="9.140625" style="61"/>
    <col min="2582" max="2582" width="0" style="61" hidden="1" customWidth="1"/>
    <col min="2583" max="2810" width="9.140625" style="61"/>
    <col min="2811" max="2811" width="8.42578125" style="61" customWidth="1"/>
    <col min="2812" max="2812" width="21.140625" style="61" customWidth="1"/>
    <col min="2813" max="2816" width="7" style="61" customWidth="1"/>
    <col min="2817" max="2817" width="7.85546875" style="61" customWidth="1"/>
    <col min="2818" max="2820" width="7" style="61" customWidth="1"/>
    <col min="2821" max="2821" width="13.28515625" style="61" customWidth="1"/>
    <col min="2822" max="2822" width="14" style="61" customWidth="1"/>
    <col min="2823" max="2823" width="17.42578125" style="61" customWidth="1"/>
    <col min="2824" max="2833" width="0" style="61" hidden="1" customWidth="1"/>
    <col min="2834" max="2834" width="2.42578125" style="61" customWidth="1"/>
    <col min="2835" max="2835" width="42.140625" style="61" bestFit="1" customWidth="1"/>
    <col min="2836" max="2837" width="9.140625" style="61"/>
    <col min="2838" max="2838" width="0" style="61" hidden="1" customWidth="1"/>
    <col min="2839" max="3066" width="9.140625" style="61"/>
    <col min="3067" max="3067" width="8.42578125" style="61" customWidth="1"/>
    <col min="3068" max="3068" width="21.140625" style="61" customWidth="1"/>
    <col min="3069" max="3072" width="7" style="61" customWidth="1"/>
    <col min="3073" max="3073" width="7.85546875" style="61" customWidth="1"/>
    <col min="3074" max="3076" width="7" style="61" customWidth="1"/>
    <col min="3077" max="3077" width="13.28515625" style="61" customWidth="1"/>
    <col min="3078" max="3078" width="14" style="61" customWidth="1"/>
    <col min="3079" max="3079" width="17.42578125" style="61" customWidth="1"/>
    <col min="3080" max="3089" width="0" style="61" hidden="1" customWidth="1"/>
    <col min="3090" max="3090" width="2.42578125" style="61" customWidth="1"/>
    <col min="3091" max="3091" width="42.140625" style="61" bestFit="1" customWidth="1"/>
    <col min="3092" max="3093" width="9.140625" style="61"/>
    <col min="3094" max="3094" width="0" style="61" hidden="1" customWidth="1"/>
    <col min="3095" max="3322" width="9.140625" style="61"/>
    <col min="3323" max="3323" width="8.42578125" style="61" customWidth="1"/>
    <col min="3324" max="3324" width="21.140625" style="61" customWidth="1"/>
    <col min="3325" max="3328" width="7" style="61" customWidth="1"/>
    <col min="3329" max="3329" width="7.85546875" style="61" customWidth="1"/>
    <col min="3330" max="3332" width="7" style="61" customWidth="1"/>
    <col min="3333" max="3333" width="13.28515625" style="61" customWidth="1"/>
    <col min="3334" max="3334" width="14" style="61" customWidth="1"/>
    <col min="3335" max="3335" width="17.42578125" style="61" customWidth="1"/>
    <col min="3336" max="3345" width="0" style="61" hidden="1" customWidth="1"/>
    <col min="3346" max="3346" width="2.42578125" style="61" customWidth="1"/>
    <col min="3347" max="3347" width="42.140625" style="61" bestFit="1" customWidth="1"/>
    <col min="3348" max="3349" width="9.140625" style="61"/>
    <col min="3350" max="3350" width="0" style="61" hidden="1" customWidth="1"/>
    <col min="3351" max="3578" width="9.140625" style="61"/>
    <col min="3579" max="3579" width="8.42578125" style="61" customWidth="1"/>
    <col min="3580" max="3580" width="21.140625" style="61" customWidth="1"/>
    <col min="3581" max="3584" width="7" style="61" customWidth="1"/>
    <col min="3585" max="3585" width="7.85546875" style="61" customWidth="1"/>
    <col min="3586" max="3588" width="7" style="61" customWidth="1"/>
    <col min="3589" max="3589" width="13.28515625" style="61" customWidth="1"/>
    <col min="3590" max="3590" width="14" style="61" customWidth="1"/>
    <col min="3591" max="3591" width="17.42578125" style="61" customWidth="1"/>
    <col min="3592" max="3601" width="0" style="61" hidden="1" customWidth="1"/>
    <col min="3602" max="3602" width="2.42578125" style="61" customWidth="1"/>
    <col min="3603" max="3603" width="42.140625" style="61" bestFit="1" customWidth="1"/>
    <col min="3604" max="3605" width="9.140625" style="61"/>
    <col min="3606" max="3606" width="0" style="61" hidden="1" customWidth="1"/>
    <col min="3607" max="3834" width="9.140625" style="61"/>
    <col min="3835" max="3835" width="8.42578125" style="61" customWidth="1"/>
    <col min="3836" max="3836" width="21.140625" style="61" customWidth="1"/>
    <col min="3837" max="3840" width="7" style="61" customWidth="1"/>
    <col min="3841" max="3841" width="7.85546875" style="61" customWidth="1"/>
    <col min="3842" max="3844" width="7" style="61" customWidth="1"/>
    <col min="3845" max="3845" width="13.28515625" style="61" customWidth="1"/>
    <col min="3846" max="3846" width="14" style="61" customWidth="1"/>
    <col min="3847" max="3847" width="17.42578125" style="61" customWidth="1"/>
    <col min="3848" max="3857" width="0" style="61" hidden="1" customWidth="1"/>
    <col min="3858" max="3858" width="2.42578125" style="61" customWidth="1"/>
    <col min="3859" max="3859" width="42.140625" style="61" bestFit="1" customWidth="1"/>
    <col min="3860" max="3861" width="9.140625" style="61"/>
    <col min="3862" max="3862" width="0" style="61" hidden="1" customWidth="1"/>
    <col min="3863" max="4090" width="9.140625" style="61"/>
    <col min="4091" max="4091" width="8.42578125" style="61" customWidth="1"/>
    <col min="4092" max="4092" width="21.140625" style="61" customWidth="1"/>
    <col min="4093" max="4096" width="7" style="61" customWidth="1"/>
    <col min="4097" max="4097" width="7.85546875" style="61" customWidth="1"/>
    <col min="4098" max="4100" width="7" style="61" customWidth="1"/>
    <col min="4101" max="4101" width="13.28515625" style="61" customWidth="1"/>
    <col min="4102" max="4102" width="14" style="61" customWidth="1"/>
    <col min="4103" max="4103" width="17.42578125" style="61" customWidth="1"/>
    <col min="4104" max="4113" width="0" style="61" hidden="1" customWidth="1"/>
    <col min="4114" max="4114" width="2.42578125" style="61" customWidth="1"/>
    <col min="4115" max="4115" width="42.140625" style="61" bestFit="1" customWidth="1"/>
    <col min="4116" max="4117" width="9.140625" style="61"/>
    <col min="4118" max="4118" width="0" style="61" hidden="1" customWidth="1"/>
    <col min="4119" max="4346" width="9.140625" style="61"/>
    <col min="4347" max="4347" width="8.42578125" style="61" customWidth="1"/>
    <col min="4348" max="4348" width="21.140625" style="61" customWidth="1"/>
    <col min="4349" max="4352" width="7" style="61" customWidth="1"/>
    <col min="4353" max="4353" width="7.85546875" style="61" customWidth="1"/>
    <col min="4354" max="4356" width="7" style="61" customWidth="1"/>
    <col min="4357" max="4357" width="13.28515625" style="61" customWidth="1"/>
    <col min="4358" max="4358" width="14" style="61" customWidth="1"/>
    <col min="4359" max="4359" width="17.42578125" style="61" customWidth="1"/>
    <col min="4360" max="4369" width="0" style="61" hidden="1" customWidth="1"/>
    <col min="4370" max="4370" width="2.42578125" style="61" customWidth="1"/>
    <col min="4371" max="4371" width="42.140625" style="61" bestFit="1" customWidth="1"/>
    <col min="4372" max="4373" width="9.140625" style="61"/>
    <col min="4374" max="4374" width="0" style="61" hidden="1" customWidth="1"/>
    <col min="4375" max="4602" width="9.140625" style="61"/>
    <col min="4603" max="4603" width="8.42578125" style="61" customWidth="1"/>
    <col min="4604" max="4604" width="21.140625" style="61" customWidth="1"/>
    <col min="4605" max="4608" width="7" style="61" customWidth="1"/>
    <col min="4609" max="4609" width="7.85546875" style="61" customWidth="1"/>
    <col min="4610" max="4612" width="7" style="61" customWidth="1"/>
    <col min="4613" max="4613" width="13.28515625" style="61" customWidth="1"/>
    <col min="4614" max="4614" width="14" style="61" customWidth="1"/>
    <col min="4615" max="4615" width="17.42578125" style="61" customWidth="1"/>
    <col min="4616" max="4625" width="0" style="61" hidden="1" customWidth="1"/>
    <col min="4626" max="4626" width="2.42578125" style="61" customWidth="1"/>
    <col min="4627" max="4627" width="42.140625" style="61" bestFit="1" customWidth="1"/>
    <col min="4628" max="4629" width="9.140625" style="61"/>
    <col min="4630" max="4630" width="0" style="61" hidden="1" customWidth="1"/>
    <col min="4631" max="4858" width="9.140625" style="61"/>
    <col min="4859" max="4859" width="8.42578125" style="61" customWidth="1"/>
    <col min="4860" max="4860" width="21.140625" style="61" customWidth="1"/>
    <col min="4861" max="4864" width="7" style="61" customWidth="1"/>
    <col min="4865" max="4865" width="7.85546875" style="61" customWidth="1"/>
    <col min="4866" max="4868" width="7" style="61" customWidth="1"/>
    <col min="4869" max="4869" width="13.28515625" style="61" customWidth="1"/>
    <col min="4870" max="4870" width="14" style="61" customWidth="1"/>
    <col min="4871" max="4871" width="17.42578125" style="61" customWidth="1"/>
    <col min="4872" max="4881" width="0" style="61" hidden="1" customWidth="1"/>
    <col min="4882" max="4882" width="2.42578125" style="61" customWidth="1"/>
    <col min="4883" max="4883" width="42.140625" style="61" bestFit="1" customWidth="1"/>
    <col min="4884" max="4885" width="9.140625" style="61"/>
    <col min="4886" max="4886" width="0" style="61" hidden="1" customWidth="1"/>
    <col min="4887" max="5114" width="9.140625" style="61"/>
    <col min="5115" max="5115" width="8.42578125" style="61" customWidth="1"/>
    <col min="5116" max="5116" width="21.140625" style="61" customWidth="1"/>
    <col min="5117" max="5120" width="7" style="61" customWidth="1"/>
    <col min="5121" max="5121" width="7.85546875" style="61" customWidth="1"/>
    <col min="5122" max="5124" width="7" style="61" customWidth="1"/>
    <col min="5125" max="5125" width="13.28515625" style="61" customWidth="1"/>
    <col min="5126" max="5126" width="14" style="61" customWidth="1"/>
    <col min="5127" max="5127" width="17.42578125" style="61" customWidth="1"/>
    <col min="5128" max="5137" width="0" style="61" hidden="1" customWidth="1"/>
    <col min="5138" max="5138" width="2.42578125" style="61" customWidth="1"/>
    <col min="5139" max="5139" width="42.140625" style="61" bestFit="1" customWidth="1"/>
    <col min="5140" max="5141" width="9.140625" style="61"/>
    <col min="5142" max="5142" width="0" style="61" hidden="1" customWidth="1"/>
    <col min="5143" max="5370" width="9.140625" style="61"/>
    <col min="5371" max="5371" width="8.42578125" style="61" customWidth="1"/>
    <col min="5372" max="5372" width="21.140625" style="61" customWidth="1"/>
    <col min="5373" max="5376" width="7" style="61" customWidth="1"/>
    <col min="5377" max="5377" width="7.85546875" style="61" customWidth="1"/>
    <col min="5378" max="5380" width="7" style="61" customWidth="1"/>
    <col min="5381" max="5381" width="13.28515625" style="61" customWidth="1"/>
    <col min="5382" max="5382" width="14" style="61" customWidth="1"/>
    <col min="5383" max="5383" width="17.42578125" style="61" customWidth="1"/>
    <col min="5384" max="5393" width="0" style="61" hidden="1" customWidth="1"/>
    <col min="5394" max="5394" width="2.42578125" style="61" customWidth="1"/>
    <col min="5395" max="5395" width="42.140625" style="61" bestFit="1" customWidth="1"/>
    <col min="5396" max="5397" width="9.140625" style="61"/>
    <col min="5398" max="5398" width="0" style="61" hidden="1" customWidth="1"/>
    <col min="5399" max="5626" width="9.140625" style="61"/>
    <col min="5627" max="5627" width="8.42578125" style="61" customWidth="1"/>
    <col min="5628" max="5628" width="21.140625" style="61" customWidth="1"/>
    <col min="5629" max="5632" width="7" style="61" customWidth="1"/>
    <col min="5633" max="5633" width="7.85546875" style="61" customWidth="1"/>
    <col min="5634" max="5636" width="7" style="61" customWidth="1"/>
    <col min="5637" max="5637" width="13.28515625" style="61" customWidth="1"/>
    <col min="5638" max="5638" width="14" style="61" customWidth="1"/>
    <col min="5639" max="5639" width="17.42578125" style="61" customWidth="1"/>
    <col min="5640" max="5649" width="0" style="61" hidden="1" customWidth="1"/>
    <col min="5650" max="5650" width="2.42578125" style="61" customWidth="1"/>
    <col min="5651" max="5651" width="42.140625" style="61" bestFit="1" customWidth="1"/>
    <col min="5652" max="5653" width="9.140625" style="61"/>
    <col min="5654" max="5654" width="0" style="61" hidden="1" customWidth="1"/>
    <col min="5655" max="5882" width="9.140625" style="61"/>
    <col min="5883" max="5883" width="8.42578125" style="61" customWidth="1"/>
    <col min="5884" max="5884" width="21.140625" style="61" customWidth="1"/>
    <col min="5885" max="5888" width="7" style="61" customWidth="1"/>
    <col min="5889" max="5889" width="7.85546875" style="61" customWidth="1"/>
    <col min="5890" max="5892" width="7" style="61" customWidth="1"/>
    <col min="5893" max="5893" width="13.28515625" style="61" customWidth="1"/>
    <col min="5894" max="5894" width="14" style="61" customWidth="1"/>
    <col min="5895" max="5895" width="17.42578125" style="61" customWidth="1"/>
    <col min="5896" max="5905" width="0" style="61" hidden="1" customWidth="1"/>
    <col min="5906" max="5906" width="2.42578125" style="61" customWidth="1"/>
    <col min="5907" max="5907" width="42.140625" style="61" bestFit="1" customWidth="1"/>
    <col min="5908" max="5909" width="9.140625" style="61"/>
    <col min="5910" max="5910" width="0" style="61" hidden="1" customWidth="1"/>
    <col min="5911" max="6138" width="9.140625" style="61"/>
    <col min="6139" max="6139" width="8.42578125" style="61" customWidth="1"/>
    <col min="6140" max="6140" width="21.140625" style="61" customWidth="1"/>
    <col min="6141" max="6144" width="7" style="61" customWidth="1"/>
    <col min="6145" max="6145" width="7.85546875" style="61" customWidth="1"/>
    <col min="6146" max="6148" width="7" style="61" customWidth="1"/>
    <col min="6149" max="6149" width="13.28515625" style="61" customWidth="1"/>
    <col min="6150" max="6150" width="14" style="61" customWidth="1"/>
    <col min="6151" max="6151" width="17.42578125" style="61" customWidth="1"/>
    <col min="6152" max="6161" width="0" style="61" hidden="1" customWidth="1"/>
    <col min="6162" max="6162" width="2.42578125" style="61" customWidth="1"/>
    <col min="6163" max="6163" width="42.140625" style="61" bestFit="1" customWidth="1"/>
    <col min="6164" max="6165" width="9.140625" style="61"/>
    <col min="6166" max="6166" width="0" style="61" hidden="1" customWidth="1"/>
    <col min="6167" max="6394" width="9.140625" style="61"/>
    <col min="6395" max="6395" width="8.42578125" style="61" customWidth="1"/>
    <col min="6396" max="6396" width="21.140625" style="61" customWidth="1"/>
    <col min="6397" max="6400" width="7" style="61" customWidth="1"/>
    <col min="6401" max="6401" width="7.85546875" style="61" customWidth="1"/>
    <col min="6402" max="6404" width="7" style="61" customWidth="1"/>
    <col min="6405" max="6405" width="13.28515625" style="61" customWidth="1"/>
    <col min="6406" max="6406" width="14" style="61" customWidth="1"/>
    <col min="6407" max="6407" width="17.42578125" style="61" customWidth="1"/>
    <col min="6408" max="6417" width="0" style="61" hidden="1" customWidth="1"/>
    <col min="6418" max="6418" width="2.42578125" style="61" customWidth="1"/>
    <col min="6419" max="6419" width="42.140625" style="61" bestFit="1" customWidth="1"/>
    <col min="6420" max="6421" width="9.140625" style="61"/>
    <col min="6422" max="6422" width="0" style="61" hidden="1" customWidth="1"/>
    <col min="6423" max="6650" width="9.140625" style="61"/>
    <col min="6651" max="6651" width="8.42578125" style="61" customWidth="1"/>
    <col min="6652" max="6652" width="21.140625" style="61" customWidth="1"/>
    <col min="6653" max="6656" width="7" style="61" customWidth="1"/>
    <col min="6657" max="6657" width="7.85546875" style="61" customWidth="1"/>
    <col min="6658" max="6660" width="7" style="61" customWidth="1"/>
    <col min="6661" max="6661" width="13.28515625" style="61" customWidth="1"/>
    <col min="6662" max="6662" width="14" style="61" customWidth="1"/>
    <col min="6663" max="6663" width="17.42578125" style="61" customWidth="1"/>
    <col min="6664" max="6673" width="0" style="61" hidden="1" customWidth="1"/>
    <col min="6674" max="6674" width="2.42578125" style="61" customWidth="1"/>
    <col min="6675" max="6675" width="42.140625" style="61" bestFit="1" customWidth="1"/>
    <col min="6676" max="6677" width="9.140625" style="61"/>
    <col min="6678" max="6678" width="0" style="61" hidden="1" customWidth="1"/>
    <col min="6679" max="6906" width="9.140625" style="61"/>
    <col min="6907" max="6907" width="8.42578125" style="61" customWidth="1"/>
    <col min="6908" max="6908" width="21.140625" style="61" customWidth="1"/>
    <col min="6909" max="6912" width="7" style="61" customWidth="1"/>
    <col min="6913" max="6913" width="7.85546875" style="61" customWidth="1"/>
    <col min="6914" max="6916" width="7" style="61" customWidth="1"/>
    <col min="6917" max="6917" width="13.28515625" style="61" customWidth="1"/>
    <col min="6918" max="6918" width="14" style="61" customWidth="1"/>
    <col min="6919" max="6919" width="17.42578125" style="61" customWidth="1"/>
    <col min="6920" max="6929" width="0" style="61" hidden="1" customWidth="1"/>
    <col min="6930" max="6930" width="2.42578125" style="61" customWidth="1"/>
    <col min="6931" max="6931" width="42.140625" style="61" bestFit="1" customWidth="1"/>
    <col min="6932" max="6933" width="9.140625" style="61"/>
    <col min="6934" max="6934" width="0" style="61" hidden="1" customWidth="1"/>
    <col min="6935" max="7162" width="9.140625" style="61"/>
    <col min="7163" max="7163" width="8.42578125" style="61" customWidth="1"/>
    <col min="7164" max="7164" width="21.140625" style="61" customWidth="1"/>
    <col min="7165" max="7168" width="7" style="61" customWidth="1"/>
    <col min="7169" max="7169" width="7.85546875" style="61" customWidth="1"/>
    <col min="7170" max="7172" width="7" style="61" customWidth="1"/>
    <col min="7173" max="7173" width="13.28515625" style="61" customWidth="1"/>
    <col min="7174" max="7174" width="14" style="61" customWidth="1"/>
    <col min="7175" max="7175" width="17.42578125" style="61" customWidth="1"/>
    <col min="7176" max="7185" width="0" style="61" hidden="1" customWidth="1"/>
    <col min="7186" max="7186" width="2.42578125" style="61" customWidth="1"/>
    <col min="7187" max="7187" width="42.140625" style="61" bestFit="1" customWidth="1"/>
    <col min="7188" max="7189" width="9.140625" style="61"/>
    <col min="7190" max="7190" width="0" style="61" hidden="1" customWidth="1"/>
    <col min="7191" max="7418" width="9.140625" style="61"/>
    <col min="7419" max="7419" width="8.42578125" style="61" customWidth="1"/>
    <col min="7420" max="7420" width="21.140625" style="61" customWidth="1"/>
    <col min="7421" max="7424" width="7" style="61" customWidth="1"/>
    <col min="7425" max="7425" width="7.85546875" style="61" customWidth="1"/>
    <col min="7426" max="7428" width="7" style="61" customWidth="1"/>
    <col min="7429" max="7429" width="13.28515625" style="61" customWidth="1"/>
    <col min="7430" max="7430" width="14" style="61" customWidth="1"/>
    <col min="7431" max="7431" width="17.42578125" style="61" customWidth="1"/>
    <col min="7432" max="7441" width="0" style="61" hidden="1" customWidth="1"/>
    <col min="7442" max="7442" width="2.42578125" style="61" customWidth="1"/>
    <col min="7443" max="7443" width="42.140625" style="61" bestFit="1" customWidth="1"/>
    <col min="7444" max="7445" width="9.140625" style="61"/>
    <col min="7446" max="7446" width="0" style="61" hidden="1" customWidth="1"/>
    <col min="7447" max="7674" width="9.140625" style="61"/>
    <col min="7675" max="7675" width="8.42578125" style="61" customWidth="1"/>
    <col min="7676" max="7676" width="21.140625" style="61" customWidth="1"/>
    <col min="7677" max="7680" width="7" style="61" customWidth="1"/>
    <col min="7681" max="7681" width="7.85546875" style="61" customWidth="1"/>
    <col min="7682" max="7684" width="7" style="61" customWidth="1"/>
    <col min="7685" max="7685" width="13.28515625" style="61" customWidth="1"/>
    <col min="7686" max="7686" width="14" style="61" customWidth="1"/>
    <col min="7687" max="7687" width="17.42578125" style="61" customWidth="1"/>
    <col min="7688" max="7697" width="0" style="61" hidden="1" customWidth="1"/>
    <col min="7698" max="7698" width="2.42578125" style="61" customWidth="1"/>
    <col min="7699" max="7699" width="42.140625" style="61" bestFit="1" customWidth="1"/>
    <col min="7700" max="7701" width="9.140625" style="61"/>
    <col min="7702" max="7702" width="0" style="61" hidden="1" customWidth="1"/>
    <col min="7703" max="7930" width="9.140625" style="61"/>
    <col min="7931" max="7931" width="8.42578125" style="61" customWidth="1"/>
    <col min="7932" max="7932" width="21.140625" style="61" customWidth="1"/>
    <col min="7933" max="7936" width="7" style="61" customWidth="1"/>
    <col min="7937" max="7937" width="7.85546875" style="61" customWidth="1"/>
    <col min="7938" max="7940" width="7" style="61" customWidth="1"/>
    <col min="7941" max="7941" width="13.28515625" style="61" customWidth="1"/>
    <col min="7942" max="7942" width="14" style="61" customWidth="1"/>
    <col min="7943" max="7943" width="17.42578125" style="61" customWidth="1"/>
    <col min="7944" max="7953" width="0" style="61" hidden="1" customWidth="1"/>
    <col min="7954" max="7954" width="2.42578125" style="61" customWidth="1"/>
    <col min="7955" max="7955" width="42.140625" style="61" bestFit="1" customWidth="1"/>
    <col min="7956" max="7957" width="9.140625" style="61"/>
    <col min="7958" max="7958" width="0" style="61" hidden="1" customWidth="1"/>
    <col min="7959" max="8186" width="9.140625" style="61"/>
    <col min="8187" max="8187" width="8.42578125" style="61" customWidth="1"/>
    <col min="8188" max="8188" width="21.140625" style="61" customWidth="1"/>
    <col min="8189" max="8192" width="7" style="61" customWidth="1"/>
    <col min="8193" max="8193" width="7.85546875" style="61" customWidth="1"/>
    <col min="8194" max="8196" width="7" style="61" customWidth="1"/>
    <col min="8197" max="8197" width="13.28515625" style="61" customWidth="1"/>
    <col min="8198" max="8198" width="14" style="61" customWidth="1"/>
    <col min="8199" max="8199" width="17.42578125" style="61" customWidth="1"/>
    <col min="8200" max="8209" width="0" style="61" hidden="1" customWidth="1"/>
    <col min="8210" max="8210" width="2.42578125" style="61" customWidth="1"/>
    <col min="8211" max="8211" width="42.140625" style="61" bestFit="1" customWidth="1"/>
    <col min="8212" max="8213" width="9.140625" style="61"/>
    <col min="8214" max="8214" width="0" style="61" hidden="1" customWidth="1"/>
    <col min="8215" max="8442" width="9.140625" style="61"/>
    <col min="8443" max="8443" width="8.42578125" style="61" customWidth="1"/>
    <col min="8444" max="8444" width="21.140625" style="61" customWidth="1"/>
    <col min="8445" max="8448" width="7" style="61" customWidth="1"/>
    <col min="8449" max="8449" width="7.85546875" style="61" customWidth="1"/>
    <col min="8450" max="8452" width="7" style="61" customWidth="1"/>
    <col min="8453" max="8453" width="13.28515625" style="61" customWidth="1"/>
    <col min="8454" max="8454" width="14" style="61" customWidth="1"/>
    <col min="8455" max="8455" width="17.42578125" style="61" customWidth="1"/>
    <col min="8456" max="8465" width="0" style="61" hidden="1" customWidth="1"/>
    <col min="8466" max="8466" width="2.42578125" style="61" customWidth="1"/>
    <col min="8467" max="8467" width="42.140625" style="61" bestFit="1" customWidth="1"/>
    <col min="8468" max="8469" width="9.140625" style="61"/>
    <col min="8470" max="8470" width="0" style="61" hidden="1" customWidth="1"/>
    <col min="8471" max="8698" width="9.140625" style="61"/>
    <col min="8699" max="8699" width="8.42578125" style="61" customWidth="1"/>
    <col min="8700" max="8700" width="21.140625" style="61" customWidth="1"/>
    <col min="8701" max="8704" width="7" style="61" customWidth="1"/>
    <col min="8705" max="8705" width="7.85546875" style="61" customWidth="1"/>
    <col min="8706" max="8708" width="7" style="61" customWidth="1"/>
    <col min="8709" max="8709" width="13.28515625" style="61" customWidth="1"/>
    <col min="8710" max="8710" width="14" style="61" customWidth="1"/>
    <col min="8711" max="8711" width="17.42578125" style="61" customWidth="1"/>
    <col min="8712" max="8721" width="0" style="61" hidden="1" customWidth="1"/>
    <col min="8722" max="8722" width="2.42578125" style="61" customWidth="1"/>
    <col min="8723" max="8723" width="42.140625" style="61" bestFit="1" customWidth="1"/>
    <col min="8724" max="8725" width="9.140625" style="61"/>
    <col min="8726" max="8726" width="0" style="61" hidden="1" customWidth="1"/>
    <col min="8727" max="8954" width="9.140625" style="61"/>
    <col min="8955" max="8955" width="8.42578125" style="61" customWidth="1"/>
    <col min="8956" max="8956" width="21.140625" style="61" customWidth="1"/>
    <col min="8957" max="8960" width="7" style="61" customWidth="1"/>
    <col min="8961" max="8961" width="7.85546875" style="61" customWidth="1"/>
    <col min="8962" max="8964" width="7" style="61" customWidth="1"/>
    <col min="8965" max="8965" width="13.28515625" style="61" customWidth="1"/>
    <col min="8966" max="8966" width="14" style="61" customWidth="1"/>
    <col min="8967" max="8967" width="17.42578125" style="61" customWidth="1"/>
    <col min="8968" max="8977" width="0" style="61" hidden="1" customWidth="1"/>
    <col min="8978" max="8978" width="2.42578125" style="61" customWidth="1"/>
    <col min="8979" max="8979" width="42.140625" style="61" bestFit="1" customWidth="1"/>
    <col min="8980" max="8981" width="9.140625" style="61"/>
    <col min="8982" max="8982" width="0" style="61" hidden="1" customWidth="1"/>
    <col min="8983" max="9210" width="9.140625" style="61"/>
    <col min="9211" max="9211" width="8.42578125" style="61" customWidth="1"/>
    <col min="9212" max="9212" width="21.140625" style="61" customWidth="1"/>
    <col min="9213" max="9216" width="7" style="61" customWidth="1"/>
    <col min="9217" max="9217" width="7.85546875" style="61" customWidth="1"/>
    <col min="9218" max="9220" width="7" style="61" customWidth="1"/>
    <col min="9221" max="9221" width="13.28515625" style="61" customWidth="1"/>
    <col min="9222" max="9222" width="14" style="61" customWidth="1"/>
    <col min="9223" max="9223" width="17.42578125" style="61" customWidth="1"/>
    <col min="9224" max="9233" width="0" style="61" hidden="1" customWidth="1"/>
    <col min="9234" max="9234" width="2.42578125" style="61" customWidth="1"/>
    <col min="9235" max="9235" width="42.140625" style="61" bestFit="1" customWidth="1"/>
    <col min="9236" max="9237" width="9.140625" style="61"/>
    <col min="9238" max="9238" width="0" style="61" hidden="1" customWidth="1"/>
    <col min="9239" max="9466" width="9.140625" style="61"/>
    <col min="9467" max="9467" width="8.42578125" style="61" customWidth="1"/>
    <col min="9468" max="9468" width="21.140625" style="61" customWidth="1"/>
    <col min="9469" max="9472" width="7" style="61" customWidth="1"/>
    <col min="9473" max="9473" width="7.85546875" style="61" customWidth="1"/>
    <col min="9474" max="9476" width="7" style="61" customWidth="1"/>
    <col min="9477" max="9477" width="13.28515625" style="61" customWidth="1"/>
    <col min="9478" max="9478" width="14" style="61" customWidth="1"/>
    <col min="9479" max="9479" width="17.42578125" style="61" customWidth="1"/>
    <col min="9480" max="9489" width="0" style="61" hidden="1" customWidth="1"/>
    <col min="9490" max="9490" width="2.42578125" style="61" customWidth="1"/>
    <col min="9491" max="9491" width="42.140625" style="61" bestFit="1" customWidth="1"/>
    <col min="9492" max="9493" width="9.140625" style="61"/>
    <col min="9494" max="9494" width="0" style="61" hidden="1" customWidth="1"/>
    <col min="9495" max="9722" width="9.140625" style="61"/>
    <col min="9723" max="9723" width="8.42578125" style="61" customWidth="1"/>
    <col min="9724" max="9724" width="21.140625" style="61" customWidth="1"/>
    <col min="9725" max="9728" width="7" style="61" customWidth="1"/>
    <col min="9729" max="9729" width="7.85546875" style="61" customWidth="1"/>
    <col min="9730" max="9732" width="7" style="61" customWidth="1"/>
    <col min="9733" max="9733" width="13.28515625" style="61" customWidth="1"/>
    <col min="9734" max="9734" width="14" style="61" customWidth="1"/>
    <col min="9735" max="9735" width="17.42578125" style="61" customWidth="1"/>
    <col min="9736" max="9745" width="0" style="61" hidden="1" customWidth="1"/>
    <col min="9746" max="9746" width="2.42578125" style="61" customWidth="1"/>
    <col min="9747" max="9747" width="42.140625" style="61" bestFit="1" customWidth="1"/>
    <col min="9748" max="9749" width="9.140625" style="61"/>
    <col min="9750" max="9750" width="0" style="61" hidden="1" customWidth="1"/>
    <col min="9751" max="9978" width="9.140625" style="61"/>
    <col min="9979" max="9979" width="8.42578125" style="61" customWidth="1"/>
    <col min="9980" max="9980" width="21.140625" style="61" customWidth="1"/>
    <col min="9981" max="9984" width="7" style="61" customWidth="1"/>
    <col min="9985" max="9985" width="7.85546875" style="61" customWidth="1"/>
    <col min="9986" max="9988" width="7" style="61" customWidth="1"/>
    <col min="9989" max="9989" width="13.28515625" style="61" customWidth="1"/>
    <col min="9990" max="9990" width="14" style="61" customWidth="1"/>
    <col min="9991" max="9991" width="17.42578125" style="61" customWidth="1"/>
    <col min="9992" max="10001" width="0" style="61" hidden="1" customWidth="1"/>
    <col min="10002" max="10002" width="2.42578125" style="61" customWidth="1"/>
    <col min="10003" max="10003" width="42.140625" style="61" bestFit="1" customWidth="1"/>
    <col min="10004" max="10005" width="9.140625" style="61"/>
    <col min="10006" max="10006" width="0" style="61" hidden="1" customWidth="1"/>
    <col min="10007" max="10234" width="9.140625" style="61"/>
    <col min="10235" max="10235" width="8.42578125" style="61" customWidth="1"/>
    <col min="10236" max="10236" width="21.140625" style="61" customWidth="1"/>
    <col min="10237" max="10240" width="7" style="61" customWidth="1"/>
    <col min="10241" max="10241" width="7.85546875" style="61" customWidth="1"/>
    <col min="10242" max="10244" width="7" style="61" customWidth="1"/>
    <col min="10245" max="10245" width="13.28515625" style="61" customWidth="1"/>
    <col min="10246" max="10246" width="14" style="61" customWidth="1"/>
    <col min="10247" max="10247" width="17.42578125" style="61" customWidth="1"/>
    <col min="10248" max="10257" width="0" style="61" hidden="1" customWidth="1"/>
    <col min="10258" max="10258" width="2.42578125" style="61" customWidth="1"/>
    <col min="10259" max="10259" width="42.140625" style="61" bestFit="1" customWidth="1"/>
    <col min="10260" max="10261" width="9.140625" style="61"/>
    <col min="10262" max="10262" width="0" style="61" hidden="1" customWidth="1"/>
    <col min="10263" max="10490" width="9.140625" style="61"/>
    <col min="10491" max="10491" width="8.42578125" style="61" customWidth="1"/>
    <col min="10492" max="10492" width="21.140625" style="61" customWidth="1"/>
    <col min="10493" max="10496" width="7" style="61" customWidth="1"/>
    <col min="10497" max="10497" width="7.85546875" style="61" customWidth="1"/>
    <col min="10498" max="10500" width="7" style="61" customWidth="1"/>
    <col min="10501" max="10501" width="13.28515625" style="61" customWidth="1"/>
    <col min="10502" max="10502" width="14" style="61" customWidth="1"/>
    <col min="10503" max="10503" width="17.42578125" style="61" customWidth="1"/>
    <col min="10504" max="10513" width="0" style="61" hidden="1" customWidth="1"/>
    <col min="10514" max="10514" width="2.42578125" style="61" customWidth="1"/>
    <col min="10515" max="10515" width="42.140625" style="61" bestFit="1" customWidth="1"/>
    <col min="10516" max="10517" width="9.140625" style="61"/>
    <col min="10518" max="10518" width="0" style="61" hidden="1" customWidth="1"/>
    <col min="10519" max="10746" width="9.140625" style="61"/>
    <col min="10747" max="10747" width="8.42578125" style="61" customWidth="1"/>
    <col min="10748" max="10748" width="21.140625" style="61" customWidth="1"/>
    <col min="10749" max="10752" width="7" style="61" customWidth="1"/>
    <col min="10753" max="10753" width="7.85546875" style="61" customWidth="1"/>
    <col min="10754" max="10756" width="7" style="61" customWidth="1"/>
    <col min="10757" max="10757" width="13.28515625" style="61" customWidth="1"/>
    <col min="10758" max="10758" width="14" style="61" customWidth="1"/>
    <col min="10759" max="10759" width="17.42578125" style="61" customWidth="1"/>
    <col min="10760" max="10769" width="0" style="61" hidden="1" customWidth="1"/>
    <col min="10770" max="10770" width="2.42578125" style="61" customWidth="1"/>
    <col min="10771" max="10771" width="42.140625" style="61" bestFit="1" customWidth="1"/>
    <col min="10772" max="10773" width="9.140625" style="61"/>
    <col min="10774" max="10774" width="0" style="61" hidden="1" customWidth="1"/>
    <col min="10775" max="11002" width="9.140625" style="61"/>
    <col min="11003" max="11003" width="8.42578125" style="61" customWidth="1"/>
    <col min="11004" max="11004" width="21.140625" style="61" customWidth="1"/>
    <col min="11005" max="11008" width="7" style="61" customWidth="1"/>
    <col min="11009" max="11009" width="7.85546875" style="61" customWidth="1"/>
    <col min="11010" max="11012" width="7" style="61" customWidth="1"/>
    <col min="11013" max="11013" width="13.28515625" style="61" customWidth="1"/>
    <col min="11014" max="11014" width="14" style="61" customWidth="1"/>
    <col min="11015" max="11015" width="17.42578125" style="61" customWidth="1"/>
    <col min="11016" max="11025" width="0" style="61" hidden="1" customWidth="1"/>
    <col min="11026" max="11026" width="2.42578125" style="61" customWidth="1"/>
    <col min="11027" max="11027" width="42.140625" style="61" bestFit="1" customWidth="1"/>
    <col min="11028" max="11029" width="9.140625" style="61"/>
    <col min="11030" max="11030" width="0" style="61" hidden="1" customWidth="1"/>
    <col min="11031" max="11258" width="9.140625" style="61"/>
    <col min="11259" max="11259" width="8.42578125" style="61" customWidth="1"/>
    <col min="11260" max="11260" width="21.140625" style="61" customWidth="1"/>
    <col min="11261" max="11264" width="7" style="61" customWidth="1"/>
    <col min="11265" max="11265" width="7.85546875" style="61" customWidth="1"/>
    <col min="11266" max="11268" width="7" style="61" customWidth="1"/>
    <col min="11269" max="11269" width="13.28515625" style="61" customWidth="1"/>
    <col min="11270" max="11270" width="14" style="61" customWidth="1"/>
    <col min="11271" max="11271" width="17.42578125" style="61" customWidth="1"/>
    <col min="11272" max="11281" width="0" style="61" hidden="1" customWidth="1"/>
    <col min="11282" max="11282" width="2.42578125" style="61" customWidth="1"/>
    <col min="11283" max="11283" width="42.140625" style="61" bestFit="1" customWidth="1"/>
    <col min="11284" max="11285" width="9.140625" style="61"/>
    <col min="11286" max="11286" width="0" style="61" hidden="1" customWidth="1"/>
    <col min="11287" max="11514" width="9.140625" style="61"/>
    <col min="11515" max="11515" width="8.42578125" style="61" customWidth="1"/>
    <col min="11516" max="11516" width="21.140625" style="61" customWidth="1"/>
    <col min="11517" max="11520" width="7" style="61" customWidth="1"/>
    <col min="11521" max="11521" width="7.85546875" style="61" customWidth="1"/>
    <col min="11522" max="11524" width="7" style="61" customWidth="1"/>
    <col min="11525" max="11525" width="13.28515625" style="61" customWidth="1"/>
    <col min="11526" max="11526" width="14" style="61" customWidth="1"/>
    <col min="11527" max="11527" width="17.42578125" style="61" customWidth="1"/>
    <col min="11528" max="11537" width="0" style="61" hidden="1" customWidth="1"/>
    <col min="11538" max="11538" width="2.42578125" style="61" customWidth="1"/>
    <col min="11539" max="11539" width="42.140625" style="61" bestFit="1" customWidth="1"/>
    <col min="11540" max="11541" width="9.140625" style="61"/>
    <col min="11542" max="11542" width="0" style="61" hidden="1" customWidth="1"/>
    <col min="11543" max="11770" width="9.140625" style="61"/>
    <col min="11771" max="11771" width="8.42578125" style="61" customWidth="1"/>
    <col min="11772" max="11772" width="21.140625" style="61" customWidth="1"/>
    <col min="11773" max="11776" width="7" style="61" customWidth="1"/>
    <col min="11777" max="11777" width="7.85546875" style="61" customWidth="1"/>
    <col min="11778" max="11780" width="7" style="61" customWidth="1"/>
    <col min="11781" max="11781" width="13.28515625" style="61" customWidth="1"/>
    <col min="11782" max="11782" width="14" style="61" customWidth="1"/>
    <col min="11783" max="11783" width="17.42578125" style="61" customWidth="1"/>
    <col min="11784" max="11793" width="0" style="61" hidden="1" customWidth="1"/>
    <col min="11794" max="11794" width="2.42578125" style="61" customWidth="1"/>
    <col min="11795" max="11795" width="42.140625" style="61" bestFit="1" customWidth="1"/>
    <col min="11796" max="11797" width="9.140625" style="61"/>
    <col min="11798" max="11798" width="0" style="61" hidden="1" customWidth="1"/>
    <col min="11799" max="12026" width="9.140625" style="61"/>
    <col min="12027" max="12027" width="8.42578125" style="61" customWidth="1"/>
    <col min="12028" max="12028" width="21.140625" style="61" customWidth="1"/>
    <col min="12029" max="12032" width="7" style="61" customWidth="1"/>
    <col min="12033" max="12033" width="7.85546875" style="61" customWidth="1"/>
    <col min="12034" max="12036" width="7" style="61" customWidth="1"/>
    <col min="12037" max="12037" width="13.28515625" style="61" customWidth="1"/>
    <col min="12038" max="12038" width="14" style="61" customWidth="1"/>
    <col min="12039" max="12039" width="17.42578125" style="61" customWidth="1"/>
    <col min="12040" max="12049" width="0" style="61" hidden="1" customWidth="1"/>
    <col min="12050" max="12050" width="2.42578125" style="61" customWidth="1"/>
    <col min="12051" max="12051" width="42.140625" style="61" bestFit="1" customWidth="1"/>
    <col min="12052" max="12053" width="9.140625" style="61"/>
    <col min="12054" max="12054" width="0" style="61" hidden="1" customWidth="1"/>
    <col min="12055" max="12282" width="9.140625" style="61"/>
    <col min="12283" max="12283" width="8.42578125" style="61" customWidth="1"/>
    <col min="12284" max="12284" width="21.140625" style="61" customWidth="1"/>
    <col min="12285" max="12288" width="7" style="61" customWidth="1"/>
    <col min="12289" max="12289" width="7.85546875" style="61" customWidth="1"/>
    <col min="12290" max="12292" width="7" style="61" customWidth="1"/>
    <col min="12293" max="12293" width="13.28515625" style="61" customWidth="1"/>
    <col min="12294" max="12294" width="14" style="61" customWidth="1"/>
    <col min="12295" max="12295" width="17.42578125" style="61" customWidth="1"/>
    <col min="12296" max="12305" width="0" style="61" hidden="1" customWidth="1"/>
    <col min="12306" max="12306" width="2.42578125" style="61" customWidth="1"/>
    <col min="12307" max="12307" width="42.140625" style="61" bestFit="1" customWidth="1"/>
    <col min="12308" max="12309" width="9.140625" style="61"/>
    <col min="12310" max="12310" width="0" style="61" hidden="1" customWidth="1"/>
    <col min="12311" max="12538" width="9.140625" style="61"/>
    <col min="12539" max="12539" width="8.42578125" style="61" customWidth="1"/>
    <col min="12540" max="12540" width="21.140625" style="61" customWidth="1"/>
    <col min="12541" max="12544" width="7" style="61" customWidth="1"/>
    <col min="12545" max="12545" width="7.85546875" style="61" customWidth="1"/>
    <col min="12546" max="12548" width="7" style="61" customWidth="1"/>
    <col min="12549" max="12549" width="13.28515625" style="61" customWidth="1"/>
    <col min="12550" max="12550" width="14" style="61" customWidth="1"/>
    <col min="12551" max="12551" width="17.42578125" style="61" customWidth="1"/>
    <col min="12552" max="12561" width="0" style="61" hidden="1" customWidth="1"/>
    <col min="12562" max="12562" width="2.42578125" style="61" customWidth="1"/>
    <col min="12563" max="12563" width="42.140625" style="61" bestFit="1" customWidth="1"/>
    <col min="12564" max="12565" width="9.140625" style="61"/>
    <col min="12566" max="12566" width="0" style="61" hidden="1" customWidth="1"/>
    <col min="12567" max="12794" width="9.140625" style="61"/>
    <col min="12795" max="12795" width="8.42578125" style="61" customWidth="1"/>
    <col min="12796" max="12796" width="21.140625" style="61" customWidth="1"/>
    <col min="12797" max="12800" width="7" style="61" customWidth="1"/>
    <col min="12801" max="12801" width="7.85546875" style="61" customWidth="1"/>
    <col min="12802" max="12804" width="7" style="61" customWidth="1"/>
    <col min="12805" max="12805" width="13.28515625" style="61" customWidth="1"/>
    <col min="12806" max="12806" width="14" style="61" customWidth="1"/>
    <col min="12807" max="12807" width="17.42578125" style="61" customWidth="1"/>
    <col min="12808" max="12817" width="0" style="61" hidden="1" customWidth="1"/>
    <col min="12818" max="12818" width="2.42578125" style="61" customWidth="1"/>
    <col min="12819" max="12819" width="42.140625" style="61" bestFit="1" customWidth="1"/>
    <col min="12820" max="12821" width="9.140625" style="61"/>
    <col min="12822" max="12822" width="0" style="61" hidden="1" customWidth="1"/>
    <col min="12823" max="13050" width="9.140625" style="61"/>
    <col min="13051" max="13051" width="8.42578125" style="61" customWidth="1"/>
    <col min="13052" max="13052" width="21.140625" style="61" customWidth="1"/>
    <col min="13053" max="13056" width="7" style="61" customWidth="1"/>
    <col min="13057" max="13057" width="7.85546875" style="61" customWidth="1"/>
    <col min="13058" max="13060" width="7" style="61" customWidth="1"/>
    <col min="13061" max="13061" width="13.28515625" style="61" customWidth="1"/>
    <col min="13062" max="13062" width="14" style="61" customWidth="1"/>
    <col min="13063" max="13063" width="17.42578125" style="61" customWidth="1"/>
    <col min="13064" max="13073" width="0" style="61" hidden="1" customWidth="1"/>
    <col min="13074" max="13074" width="2.42578125" style="61" customWidth="1"/>
    <col min="13075" max="13075" width="42.140625" style="61" bestFit="1" customWidth="1"/>
    <col min="13076" max="13077" width="9.140625" style="61"/>
    <col min="13078" max="13078" width="0" style="61" hidden="1" customWidth="1"/>
    <col min="13079" max="13306" width="9.140625" style="61"/>
    <col min="13307" max="13307" width="8.42578125" style="61" customWidth="1"/>
    <col min="13308" max="13308" width="21.140625" style="61" customWidth="1"/>
    <col min="13309" max="13312" width="7" style="61" customWidth="1"/>
    <col min="13313" max="13313" width="7.85546875" style="61" customWidth="1"/>
    <col min="13314" max="13316" width="7" style="61" customWidth="1"/>
    <col min="13317" max="13317" width="13.28515625" style="61" customWidth="1"/>
    <col min="13318" max="13318" width="14" style="61" customWidth="1"/>
    <col min="13319" max="13319" width="17.42578125" style="61" customWidth="1"/>
    <col min="13320" max="13329" width="0" style="61" hidden="1" customWidth="1"/>
    <col min="13330" max="13330" width="2.42578125" style="61" customWidth="1"/>
    <col min="13331" max="13331" width="42.140625" style="61" bestFit="1" customWidth="1"/>
    <col min="13332" max="13333" width="9.140625" style="61"/>
    <col min="13334" max="13334" width="0" style="61" hidden="1" customWidth="1"/>
    <col min="13335" max="13562" width="9.140625" style="61"/>
    <col min="13563" max="13563" width="8.42578125" style="61" customWidth="1"/>
    <col min="13564" max="13564" width="21.140625" style="61" customWidth="1"/>
    <col min="13565" max="13568" width="7" style="61" customWidth="1"/>
    <col min="13569" max="13569" width="7.85546875" style="61" customWidth="1"/>
    <col min="13570" max="13572" width="7" style="61" customWidth="1"/>
    <col min="13573" max="13573" width="13.28515625" style="61" customWidth="1"/>
    <col min="13574" max="13574" width="14" style="61" customWidth="1"/>
    <col min="13575" max="13575" width="17.42578125" style="61" customWidth="1"/>
    <col min="13576" max="13585" width="0" style="61" hidden="1" customWidth="1"/>
    <col min="13586" max="13586" width="2.42578125" style="61" customWidth="1"/>
    <col min="13587" max="13587" width="42.140625" style="61" bestFit="1" customWidth="1"/>
    <col min="13588" max="13589" width="9.140625" style="61"/>
    <col min="13590" max="13590" width="0" style="61" hidden="1" customWidth="1"/>
    <col min="13591" max="13818" width="9.140625" style="61"/>
    <col min="13819" max="13819" width="8.42578125" style="61" customWidth="1"/>
    <col min="13820" max="13820" width="21.140625" style="61" customWidth="1"/>
    <col min="13821" max="13824" width="7" style="61" customWidth="1"/>
    <col min="13825" max="13825" width="7.85546875" style="61" customWidth="1"/>
    <col min="13826" max="13828" width="7" style="61" customWidth="1"/>
    <col min="13829" max="13829" width="13.28515625" style="61" customWidth="1"/>
    <col min="13830" max="13830" width="14" style="61" customWidth="1"/>
    <col min="13831" max="13831" width="17.42578125" style="61" customWidth="1"/>
    <col min="13832" max="13841" width="0" style="61" hidden="1" customWidth="1"/>
    <col min="13842" max="13842" width="2.42578125" style="61" customWidth="1"/>
    <col min="13843" max="13843" width="42.140625" style="61" bestFit="1" customWidth="1"/>
    <col min="13844" max="13845" width="9.140625" style="61"/>
    <col min="13846" max="13846" width="0" style="61" hidden="1" customWidth="1"/>
    <col min="13847" max="14074" width="9.140625" style="61"/>
    <col min="14075" max="14075" width="8.42578125" style="61" customWidth="1"/>
    <col min="14076" max="14076" width="21.140625" style="61" customWidth="1"/>
    <col min="14077" max="14080" width="7" style="61" customWidth="1"/>
    <col min="14081" max="14081" width="7.85546875" style="61" customWidth="1"/>
    <col min="14082" max="14084" width="7" style="61" customWidth="1"/>
    <col min="14085" max="14085" width="13.28515625" style="61" customWidth="1"/>
    <col min="14086" max="14086" width="14" style="61" customWidth="1"/>
    <col min="14087" max="14087" width="17.42578125" style="61" customWidth="1"/>
    <col min="14088" max="14097" width="0" style="61" hidden="1" customWidth="1"/>
    <col min="14098" max="14098" width="2.42578125" style="61" customWidth="1"/>
    <col min="14099" max="14099" width="42.140625" style="61" bestFit="1" customWidth="1"/>
    <col min="14100" max="14101" width="9.140625" style="61"/>
    <col min="14102" max="14102" width="0" style="61" hidden="1" customWidth="1"/>
    <col min="14103" max="14330" width="9.140625" style="61"/>
    <col min="14331" max="14331" width="8.42578125" style="61" customWidth="1"/>
    <col min="14332" max="14332" width="21.140625" style="61" customWidth="1"/>
    <col min="14333" max="14336" width="7" style="61" customWidth="1"/>
    <col min="14337" max="14337" width="7.85546875" style="61" customWidth="1"/>
    <col min="14338" max="14340" width="7" style="61" customWidth="1"/>
    <col min="14341" max="14341" width="13.28515625" style="61" customWidth="1"/>
    <col min="14342" max="14342" width="14" style="61" customWidth="1"/>
    <col min="14343" max="14343" width="17.42578125" style="61" customWidth="1"/>
    <col min="14344" max="14353" width="0" style="61" hidden="1" customWidth="1"/>
    <col min="14354" max="14354" width="2.42578125" style="61" customWidth="1"/>
    <col min="14355" max="14355" width="42.140625" style="61" bestFit="1" customWidth="1"/>
    <col min="14356" max="14357" width="9.140625" style="61"/>
    <col min="14358" max="14358" width="0" style="61" hidden="1" customWidth="1"/>
    <col min="14359" max="14586" width="9.140625" style="61"/>
    <col min="14587" max="14587" width="8.42578125" style="61" customWidth="1"/>
    <col min="14588" max="14588" width="21.140625" style="61" customWidth="1"/>
    <col min="14589" max="14592" width="7" style="61" customWidth="1"/>
    <col min="14593" max="14593" width="7.85546875" style="61" customWidth="1"/>
    <col min="14594" max="14596" width="7" style="61" customWidth="1"/>
    <col min="14597" max="14597" width="13.28515625" style="61" customWidth="1"/>
    <col min="14598" max="14598" width="14" style="61" customWidth="1"/>
    <col min="14599" max="14599" width="17.42578125" style="61" customWidth="1"/>
    <col min="14600" max="14609" width="0" style="61" hidden="1" customWidth="1"/>
    <col min="14610" max="14610" width="2.42578125" style="61" customWidth="1"/>
    <col min="14611" max="14611" width="42.140625" style="61" bestFit="1" customWidth="1"/>
    <col min="14612" max="14613" width="9.140625" style="61"/>
    <col min="14614" max="14614" width="0" style="61" hidden="1" customWidth="1"/>
    <col min="14615" max="14842" width="9.140625" style="61"/>
    <col min="14843" max="14843" width="8.42578125" style="61" customWidth="1"/>
    <col min="14844" max="14844" width="21.140625" style="61" customWidth="1"/>
    <col min="14845" max="14848" width="7" style="61" customWidth="1"/>
    <col min="14849" max="14849" width="7.85546875" style="61" customWidth="1"/>
    <col min="14850" max="14852" width="7" style="61" customWidth="1"/>
    <col min="14853" max="14853" width="13.28515625" style="61" customWidth="1"/>
    <col min="14854" max="14854" width="14" style="61" customWidth="1"/>
    <col min="14855" max="14855" width="17.42578125" style="61" customWidth="1"/>
    <col min="14856" max="14865" width="0" style="61" hidden="1" customWidth="1"/>
    <col min="14866" max="14866" width="2.42578125" style="61" customWidth="1"/>
    <col min="14867" max="14867" width="42.140625" style="61" bestFit="1" customWidth="1"/>
    <col min="14868" max="14869" width="9.140625" style="61"/>
    <col min="14870" max="14870" width="0" style="61" hidden="1" customWidth="1"/>
    <col min="14871" max="15098" width="9.140625" style="61"/>
    <col min="15099" max="15099" width="8.42578125" style="61" customWidth="1"/>
    <col min="15100" max="15100" width="21.140625" style="61" customWidth="1"/>
    <col min="15101" max="15104" width="7" style="61" customWidth="1"/>
    <col min="15105" max="15105" width="7.85546875" style="61" customWidth="1"/>
    <col min="15106" max="15108" width="7" style="61" customWidth="1"/>
    <col min="15109" max="15109" width="13.28515625" style="61" customWidth="1"/>
    <col min="15110" max="15110" width="14" style="61" customWidth="1"/>
    <col min="15111" max="15111" width="17.42578125" style="61" customWidth="1"/>
    <col min="15112" max="15121" width="0" style="61" hidden="1" customWidth="1"/>
    <col min="15122" max="15122" width="2.42578125" style="61" customWidth="1"/>
    <col min="15123" max="15123" width="42.140625" style="61" bestFit="1" customWidth="1"/>
    <col min="15124" max="15125" width="9.140625" style="61"/>
    <col min="15126" max="15126" width="0" style="61" hidden="1" customWidth="1"/>
    <col min="15127" max="15354" width="9.140625" style="61"/>
    <col min="15355" max="15355" width="8.42578125" style="61" customWidth="1"/>
    <col min="15356" max="15356" width="21.140625" style="61" customWidth="1"/>
    <col min="15357" max="15360" width="7" style="61" customWidth="1"/>
    <col min="15361" max="15361" width="7.85546875" style="61" customWidth="1"/>
    <col min="15362" max="15364" width="7" style="61" customWidth="1"/>
    <col min="15365" max="15365" width="13.28515625" style="61" customWidth="1"/>
    <col min="15366" max="15366" width="14" style="61" customWidth="1"/>
    <col min="15367" max="15367" width="17.42578125" style="61" customWidth="1"/>
    <col min="15368" max="15377" width="0" style="61" hidden="1" customWidth="1"/>
    <col min="15378" max="15378" width="2.42578125" style="61" customWidth="1"/>
    <col min="15379" max="15379" width="42.140625" style="61" bestFit="1" customWidth="1"/>
    <col min="15380" max="15381" width="9.140625" style="61"/>
    <col min="15382" max="15382" width="0" style="61" hidden="1" customWidth="1"/>
    <col min="15383" max="15610" width="9.140625" style="61"/>
    <col min="15611" max="15611" width="8.42578125" style="61" customWidth="1"/>
    <col min="15612" max="15612" width="21.140625" style="61" customWidth="1"/>
    <col min="15613" max="15616" width="7" style="61" customWidth="1"/>
    <col min="15617" max="15617" width="7.85546875" style="61" customWidth="1"/>
    <col min="15618" max="15620" width="7" style="61" customWidth="1"/>
    <col min="15621" max="15621" width="13.28515625" style="61" customWidth="1"/>
    <col min="15622" max="15622" width="14" style="61" customWidth="1"/>
    <col min="15623" max="15623" width="17.42578125" style="61" customWidth="1"/>
    <col min="15624" max="15633" width="0" style="61" hidden="1" customWidth="1"/>
    <col min="15634" max="15634" width="2.42578125" style="61" customWidth="1"/>
    <col min="15635" max="15635" width="42.140625" style="61" bestFit="1" customWidth="1"/>
    <col min="15636" max="15637" width="9.140625" style="61"/>
    <col min="15638" max="15638" width="0" style="61" hidden="1" customWidth="1"/>
    <col min="15639" max="15866" width="9.140625" style="61"/>
    <col min="15867" max="15867" width="8.42578125" style="61" customWidth="1"/>
    <col min="15868" max="15868" width="21.140625" style="61" customWidth="1"/>
    <col min="15869" max="15872" width="7" style="61" customWidth="1"/>
    <col min="15873" max="15873" width="7.85546875" style="61" customWidth="1"/>
    <col min="15874" max="15876" width="7" style="61" customWidth="1"/>
    <col min="15877" max="15877" width="13.28515625" style="61" customWidth="1"/>
    <col min="15878" max="15878" width="14" style="61" customWidth="1"/>
    <col min="15879" max="15879" width="17.42578125" style="61" customWidth="1"/>
    <col min="15880" max="15889" width="0" style="61" hidden="1" customWidth="1"/>
    <col min="15890" max="15890" width="2.42578125" style="61" customWidth="1"/>
    <col min="15891" max="15891" width="42.140625" style="61" bestFit="1" customWidth="1"/>
    <col min="15892" max="15893" width="9.140625" style="61"/>
    <col min="15894" max="15894" width="0" style="61" hidden="1" customWidth="1"/>
    <col min="15895" max="16122" width="9.140625" style="61"/>
    <col min="16123" max="16123" width="8.42578125" style="61" customWidth="1"/>
    <col min="16124" max="16124" width="21.140625" style="61" customWidth="1"/>
    <col min="16125" max="16128" width="7" style="61" customWidth="1"/>
    <col min="16129" max="16129" width="7.85546875" style="61" customWidth="1"/>
    <col min="16130" max="16132" width="7" style="61" customWidth="1"/>
    <col min="16133" max="16133" width="13.28515625" style="61" customWidth="1"/>
    <col min="16134" max="16134" width="14" style="61" customWidth="1"/>
    <col min="16135" max="16135" width="17.42578125" style="61" customWidth="1"/>
    <col min="16136" max="16145" width="0" style="61" hidden="1" customWidth="1"/>
    <col min="16146" max="16146" width="2.42578125" style="61" customWidth="1"/>
    <col min="16147" max="16147" width="42.140625" style="61" bestFit="1" customWidth="1"/>
    <col min="16148" max="16149" width="9.140625" style="61"/>
    <col min="16150" max="16150" width="0" style="61" hidden="1" customWidth="1"/>
    <col min="16151" max="16381" width="9.140625" style="61"/>
    <col min="16382" max="16384" width="9.140625" style="61" customWidth="1"/>
  </cols>
  <sheetData>
    <row r="1" spans="1:32" ht="19.5" hidden="1" customHeight="1" outlineLevel="1" x14ac:dyDescent="0.2">
      <c r="E1" s="769" t="str">
        <f>פרמטרים!C1</f>
        <v>שנת התקציב</v>
      </c>
      <c r="F1" s="770"/>
      <c r="G1" s="773">
        <f>פרמטרים!E1</f>
        <v>2025</v>
      </c>
      <c r="H1" s="774"/>
    </row>
    <row r="2" spans="1:32" ht="32.25" hidden="1" customHeight="1" outlineLevel="1" thickBot="1" x14ac:dyDescent="0.25">
      <c r="E2" s="771" t="str">
        <f>פרמטרים!C2</f>
        <v>תקציב</v>
      </c>
      <c r="F2" s="772"/>
      <c r="G2" s="775">
        <f>פרמטרים!E2</f>
        <v>8082764</v>
      </c>
      <c r="H2" s="776"/>
    </row>
    <row r="3" spans="1:32" ht="13.5" hidden="1" outlineLevel="1" thickBot="1" x14ac:dyDescent="0.25"/>
    <row r="4" spans="1:32" ht="13.5" hidden="1" outlineLevel="1" thickBot="1" x14ac:dyDescent="0.25"/>
    <row r="5" spans="1:32" ht="13.5" hidden="1" outlineLevel="1" thickBot="1" x14ac:dyDescent="0.25"/>
    <row r="6" spans="1:32" ht="13.5" hidden="1" outlineLevel="1" thickBot="1" x14ac:dyDescent="0.25"/>
    <row r="7" spans="1:32" ht="13.5" hidden="1" outlineLevel="1" thickBot="1" x14ac:dyDescent="0.25"/>
    <row r="8" spans="1:32" ht="13.5" hidden="1" outlineLevel="1" thickBot="1" x14ac:dyDescent="0.25"/>
    <row r="9" spans="1:32" ht="13.5" hidden="1" outlineLevel="1" thickBot="1" x14ac:dyDescent="0.25">
      <c r="C9" s="66"/>
      <c r="D9" s="66"/>
      <c r="E9" s="66"/>
      <c r="F9" s="66"/>
      <c r="G9" s="66"/>
      <c r="H9" s="66"/>
      <c r="I9" s="66"/>
      <c r="J9" s="66"/>
    </row>
    <row r="10" spans="1:32" ht="19.5" collapsed="1" thickBot="1" x14ac:dyDescent="0.35">
      <c r="A10" s="777" t="str">
        <f ca="1">"שיעור יחסי במשתנה "&amp;MID(CELL("filename",Y19),FIND("]",CELL("filename",Y19),1)+1,99)</f>
        <v>שיעור יחסי במשתנה מיקום ההרצות</v>
      </c>
      <c r="B10" s="778"/>
      <c r="C10" s="778"/>
      <c r="D10" s="778"/>
      <c r="E10" s="778"/>
      <c r="F10" s="778"/>
      <c r="G10" s="778"/>
      <c r="H10" s="778"/>
      <c r="I10" s="778"/>
      <c r="J10" s="778"/>
    </row>
    <row r="11" spans="1:32" ht="19.5" customHeight="1" thickBot="1" x14ac:dyDescent="0.25">
      <c r="A11" s="782"/>
      <c r="B11" s="783"/>
      <c r="C11" s="784"/>
      <c r="D11" s="782" t="s">
        <v>233</v>
      </c>
      <c r="E11" s="783"/>
      <c r="F11" s="783"/>
      <c r="G11" s="784"/>
      <c r="H11" s="745"/>
      <c r="I11" s="785"/>
      <c r="J11" s="786"/>
      <c r="L11" s="666" t="s">
        <v>43</v>
      </c>
      <c r="M11" s="668"/>
    </row>
    <row r="12" spans="1:32" ht="48" thickBot="1" x14ac:dyDescent="0.25">
      <c r="A12" s="93" t="s">
        <v>206</v>
      </c>
      <c r="B12" s="574" t="s">
        <v>225</v>
      </c>
      <c r="C12" s="529" t="s">
        <v>473</v>
      </c>
      <c r="D12" s="74" t="s">
        <v>398</v>
      </c>
      <c r="E12" s="22" t="s">
        <v>399</v>
      </c>
      <c r="F12" s="22" t="s">
        <v>400</v>
      </c>
      <c r="G12" s="22" t="s">
        <v>401</v>
      </c>
      <c r="H12" s="76" t="s">
        <v>226</v>
      </c>
      <c r="I12" s="22" t="str">
        <f ca="1">"ניקוד "&amp;MID(CELL("filename",I17),FIND("]",CELL("filename",I17),1)+1,99)</f>
        <v>ניקוד מיקום ההרצות</v>
      </c>
      <c r="J12" s="75" t="s">
        <v>228</v>
      </c>
      <c r="L12" s="4" t="str">
        <f>פרמטרים!B41</f>
        <v>מרחק ממקום הפעילות המרכזי</v>
      </c>
      <c r="M12" s="65" t="str">
        <f>פרמטרים!C41</f>
        <v>סימול</v>
      </c>
      <c r="N12" s="65" t="str">
        <f>פרמטרים!D41</f>
        <v>סיווג</v>
      </c>
      <c r="AC12" s="61" t="str" cm="1">
        <f t="array" ref="AC12:AF12">TRANSPOSE(L13:$L$16)</f>
        <v xml:space="preserve">עד 30 ק"מ </v>
      </c>
      <c r="AD12" s="61" t="str">
        <v xml:space="preserve">מעל 30 עד 60 ק"מ </v>
      </c>
      <c r="AE12" s="61" t="str">
        <v>מעל 60 עד 100 ק"מ</v>
      </c>
      <c r="AF12" s="61" t="str">
        <v>מעל 100 ק"מ</v>
      </c>
    </row>
    <row r="13" spans="1:32" ht="15.75" x14ac:dyDescent="0.25">
      <c r="A13" s="424">
        <f>'רקדנים ומבצעים'!A9</f>
        <v>1</v>
      </c>
      <c r="B13" s="409" t="str">
        <f>'רקדנים ומבצעים'!B9</f>
        <v>סילביה דוראן</v>
      </c>
      <c r="C13" s="575" t="s">
        <v>474</v>
      </c>
      <c r="D13" s="72">
        <v>1</v>
      </c>
      <c r="E13" s="72">
        <v>1</v>
      </c>
      <c r="F13" s="72">
        <v>0</v>
      </c>
      <c r="G13" s="72">
        <v>0</v>
      </c>
      <c r="H13" s="318">
        <f>סיווג!AB21</f>
        <v>0.33</v>
      </c>
      <c r="I13" s="411">
        <f t="shared" ref="I13:I44" si="0">IF(S13&lt;&gt;1,"",(SUMPRODUCT(D13:G13,$AC$13:$AF$13)*H13))</f>
        <v>0.16500000000000001</v>
      </c>
      <c r="J13" s="436">
        <f t="shared" ref="J13:J44" si="1">IF(ISERR(I13/$I$125),"",I13/$I$125)</f>
        <v>2.4511078264615664E-4</v>
      </c>
      <c r="L13" s="410" t="str">
        <f>פרמטרים!B42</f>
        <v xml:space="preserve">עד 30 ק"מ </v>
      </c>
      <c r="M13" s="486" t="str">
        <f>פרמטרים!C42</f>
        <v>A</v>
      </c>
      <c r="N13" s="486">
        <f>פרמטרים!D42</f>
        <v>0</v>
      </c>
      <c r="O13" s="61">
        <f t="shared" ref="O13:O44" si="2">IF(OR($B13="",ISERR(D13/3)),0,IF(OR(D13&lt;0,D13&lt;&gt;ROUND(D13,0)),0,1))</f>
        <v>1</v>
      </c>
      <c r="P13" s="61">
        <f t="shared" ref="P13:P44" si="3">IF(OR($B13="",ISERR(E13/3)),0,IF(OR(E13&lt;0,E13&lt;&gt;ROUND(E13,0)),0,1))</f>
        <v>1</v>
      </c>
      <c r="Q13" s="61">
        <f t="shared" ref="Q13:Q44" si="4">IF(OR($B13="",ISERR(F13/3)),0,IF(OR(F13&lt;0,F13&lt;&gt;ROUND(F13,0)),0,1))</f>
        <v>1</v>
      </c>
      <c r="R13" s="61">
        <f t="shared" ref="R13:R44" si="5">IF(OR($B13="",ISERR(G13/3)),0,IF(OR(G13&lt;0,G13&lt;&gt;ROUND(G13,0)),0,1))</f>
        <v>1</v>
      </c>
      <c r="S13" s="61" cm="1">
        <f t="array" ref="S13">IF(OR(O13:R13&lt;&gt;1),0,1)</f>
        <v>1</v>
      </c>
      <c r="U13" s="64">
        <f>SUM(D13:G13)</f>
        <v>2</v>
      </c>
      <c r="AA13" s="61">
        <f t="shared" ref="AA13:AA125" si="6">IF($B13="","",AA$12)</f>
        <v>0</v>
      </c>
      <c r="AC13" s="61" cm="1">
        <f t="array" ref="AC13:AF13">TRANSPOSE($N$13:$N$16)</f>
        <v>0</v>
      </c>
      <c r="AD13" s="61">
        <v>0.5</v>
      </c>
      <c r="AE13" s="61">
        <v>1</v>
      </c>
      <c r="AF13" s="61">
        <v>1.5</v>
      </c>
    </row>
    <row r="14" spans="1:32" ht="15.75" x14ac:dyDescent="0.25">
      <c r="A14" s="424">
        <f>'רקדנים ומבצעים'!A10</f>
        <v>2</v>
      </c>
      <c r="B14" s="409" t="str">
        <f>'רקדנים ומבצעים'!B10</f>
        <v>רנה שינפלד</v>
      </c>
      <c r="C14" s="575" t="s">
        <v>474</v>
      </c>
      <c r="D14" s="403">
        <v>20</v>
      </c>
      <c r="E14" s="403">
        <v>1</v>
      </c>
      <c r="F14" s="403">
        <v>0</v>
      </c>
      <c r="G14" s="403">
        <v>0</v>
      </c>
      <c r="H14" s="410">
        <f>סיווג!AB22</f>
        <v>1</v>
      </c>
      <c r="I14" s="411">
        <f t="shared" si="0"/>
        <v>0.5</v>
      </c>
      <c r="J14" s="436">
        <f t="shared" si="1"/>
        <v>7.4275994741259581E-4</v>
      </c>
      <c r="L14" s="410" t="str">
        <f>פרמטרים!B43</f>
        <v xml:space="preserve">מעל 30 עד 60 ק"מ </v>
      </c>
      <c r="M14" s="486" t="str">
        <f>פרמטרים!C43</f>
        <v>B</v>
      </c>
      <c r="N14" s="486">
        <f>פרמטרים!D43</f>
        <v>0.5</v>
      </c>
      <c r="O14" s="61">
        <f t="shared" si="2"/>
        <v>1</v>
      </c>
      <c r="P14" s="61">
        <f t="shared" si="3"/>
        <v>1</v>
      </c>
      <c r="Q14" s="61">
        <f t="shared" si="4"/>
        <v>1</v>
      </c>
      <c r="R14" s="61">
        <f t="shared" si="5"/>
        <v>1</v>
      </c>
      <c r="S14" s="61" cm="1">
        <f t="array" ref="S14">IF(OR(O14:R14&lt;&gt;1),0,1)</f>
        <v>1</v>
      </c>
      <c r="U14" s="64">
        <f t="shared" ref="U14:U77" si="7">SUM(D14:G14)</f>
        <v>21</v>
      </c>
      <c r="AA14" s="61">
        <f t="shared" si="6"/>
        <v>0</v>
      </c>
    </row>
    <row r="15" spans="1:32" ht="15.75" x14ac:dyDescent="0.25">
      <c r="A15" s="424">
        <f>'רקדנים ומבצעים'!A11</f>
        <v>3</v>
      </c>
      <c r="B15" s="409" t="str">
        <f>'רקדנים ומבצעים'!B11</f>
        <v>אבי קייזר וסרג'יו אנטוניניו</v>
      </c>
      <c r="C15" s="575" t="s">
        <v>474</v>
      </c>
      <c r="D15" s="403">
        <v>18</v>
      </c>
      <c r="E15" s="403">
        <v>0</v>
      </c>
      <c r="F15" s="403">
        <v>0</v>
      </c>
      <c r="G15" s="403">
        <v>2</v>
      </c>
      <c r="H15" s="410">
        <f>סיווג!AB23</f>
        <v>1</v>
      </c>
      <c r="I15" s="411">
        <f t="shared" si="0"/>
        <v>3</v>
      </c>
      <c r="J15" s="436">
        <f t="shared" si="1"/>
        <v>4.4565596844755749E-3</v>
      </c>
      <c r="L15" s="410" t="str">
        <f>פרמטרים!B44</f>
        <v>מעל 60 עד 100 ק"מ</v>
      </c>
      <c r="M15" s="486" t="str">
        <f>פרמטרים!C44</f>
        <v>C</v>
      </c>
      <c r="N15" s="486">
        <f>פרמטרים!D44</f>
        <v>1</v>
      </c>
      <c r="O15" s="61">
        <f t="shared" si="2"/>
        <v>1</v>
      </c>
      <c r="P15" s="61">
        <f t="shared" si="3"/>
        <v>1</v>
      </c>
      <c r="Q15" s="61">
        <f t="shared" si="4"/>
        <v>1</v>
      </c>
      <c r="R15" s="61">
        <f t="shared" si="5"/>
        <v>1</v>
      </c>
      <c r="S15" s="61" cm="1">
        <f t="array" ref="S15">IF(OR(O15:R15&lt;&gt;1),0,1)</f>
        <v>1</v>
      </c>
      <c r="U15" s="64">
        <f t="shared" si="7"/>
        <v>20</v>
      </c>
      <c r="AA15" s="61">
        <f t="shared" si="6"/>
        <v>0</v>
      </c>
    </row>
    <row r="16" spans="1:32" ht="15.75" x14ac:dyDescent="0.25">
      <c r="A16" s="424">
        <f>'רקדנים ומבצעים'!A12</f>
        <v>4</v>
      </c>
      <c r="B16" s="409" t="str">
        <f>'רקדנים ומבצעים'!B12</f>
        <v/>
      </c>
      <c r="C16" s="575"/>
      <c r="D16" s="403"/>
      <c r="E16" s="403"/>
      <c r="F16" s="403"/>
      <c r="G16" s="403"/>
      <c r="H16" s="410" t="str">
        <f>סיווג!AB24</f>
        <v/>
      </c>
      <c r="I16" s="411" t="str">
        <f t="shared" si="0"/>
        <v/>
      </c>
      <c r="J16" s="436" t="str">
        <f t="shared" si="1"/>
        <v/>
      </c>
      <c r="L16" s="410" t="str">
        <f>פרמטרים!B45</f>
        <v>מעל 100 ק"מ</v>
      </c>
      <c r="M16" s="486" t="str">
        <f>פרמטרים!C45</f>
        <v>D</v>
      </c>
      <c r="N16" s="486">
        <f>פרמטרים!D45</f>
        <v>1.5</v>
      </c>
      <c r="O16" s="61">
        <f t="shared" si="2"/>
        <v>0</v>
      </c>
      <c r="P16" s="61">
        <f t="shared" si="3"/>
        <v>0</v>
      </c>
      <c r="Q16" s="61">
        <f t="shared" si="4"/>
        <v>0</v>
      </c>
      <c r="R16" s="61">
        <f t="shared" si="5"/>
        <v>0</v>
      </c>
      <c r="S16" s="61" cm="1">
        <f t="array" ref="S16">IF(OR(O16:R16&lt;&gt;1),0,1)</f>
        <v>0</v>
      </c>
      <c r="U16" s="64">
        <f t="shared" si="7"/>
        <v>0</v>
      </c>
      <c r="AA16" s="61" t="str">
        <f t="shared" si="6"/>
        <v/>
      </c>
    </row>
    <row r="17" spans="1:27" ht="15.75" x14ac:dyDescent="0.25">
      <c r="A17" s="424">
        <f>'רקדנים ומבצעים'!A13</f>
        <v>5</v>
      </c>
      <c r="B17" s="409" t="str">
        <f>'רקדנים ומבצעים'!B13</f>
        <v>אדוה ירמיהו</v>
      </c>
      <c r="C17" s="575" t="s">
        <v>474</v>
      </c>
      <c r="D17" s="403">
        <v>4</v>
      </c>
      <c r="E17" s="403">
        <v>4</v>
      </c>
      <c r="F17" s="403">
        <v>1</v>
      </c>
      <c r="G17" s="403">
        <v>2</v>
      </c>
      <c r="H17" s="410">
        <f>סיווג!AB25</f>
        <v>1</v>
      </c>
      <c r="I17" s="411">
        <f t="shared" si="0"/>
        <v>6</v>
      </c>
      <c r="J17" s="436">
        <f t="shared" si="1"/>
        <v>8.9131193689511497E-3</v>
      </c>
      <c r="O17" s="61">
        <f t="shared" si="2"/>
        <v>1</v>
      </c>
      <c r="P17" s="61">
        <f t="shared" si="3"/>
        <v>1</v>
      </c>
      <c r="Q17" s="61">
        <f t="shared" si="4"/>
        <v>1</v>
      </c>
      <c r="R17" s="61">
        <f t="shared" si="5"/>
        <v>1</v>
      </c>
      <c r="S17" s="61" cm="1">
        <f t="array" ref="S17">IF(OR(O17:R17&lt;&gt;1),0,1)</f>
        <v>1</v>
      </c>
      <c r="U17" s="64">
        <f t="shared" si="7"/>
        <v>11</v>
      </c>
      <c r="AA17" s="61">
        <f t="shared" si="6"/>
        <v>0</v>
      </c>
    </row>
    <row r="18" spans="1:27" ht="15.75" x14ac:dyDescent="0.25">
      <c r="A18" s="424">
        <f>'רקדנים ומבצעים'!A14</f>
        <v>6</v>
      </c>
      <c r="B18" s="409" t="str">
        <f>'רקדנים ומבצעים'!B14</f>
        <v>אהרונה ישראל</v>
      </c>
      <c r="C18" s="575" t="s">
        <v>474</v>
      </c>
      <c r="D18" s="403">
        <v>4</v>
      </c>
      <c r="E18" s="403">
        <v>0</v>
      </c>
      <c r="F18" s="403">
        <v>3</v>
      </c>
      <c r="G18" s="403">
        <v>1</v>
      </c>
      <c r="H18" s="410">
        <f>סיווג!AB26</f>
        <v>1</v>
      </c>
      <c r="I18" s="411">
        <f t="shared" si="0"/>
        <v>4.5</v>
      </c>
      <c r="J18" s="436">
        <f t="shared" si="1"/>
        <v>6.6848395267133619E-3</v>
      </c>
      <c r="O18" s="61">
        <f t="shared" si="2"/>
        <v>1</v>
      </c>
      <c r="P18" s="61">
        <f t="shared" si="3"/>
        <v>1</v>
      </c>
      <c r="Q18" s="61">
        <f t="shared" si="4"/>
        <v>1</v>
      </c>
      <c r="R18" s="61">
        <f t="shared" si="5"/>
        <v>1</v>
      </c>
      <c r="S18" s="61" cm="1">
        <f t="array" ref="S18">IF(OR(O18:R18&lt;&gt;1),0,1)</f>
        <v>1</v>
      </c>
      <c r="U18" s="64">
        <f t="shared" si="7"/>
        <v>8</v>
      </c>
      <c r="AA18" s="61">
        <f t="shared" si="6"/>
        <v>0</v>
      </c>
    </row>
    <row r="19" spans="1:27" ht="15.75" x14ac:dyDescent="0.25">
      <c r="A19" s="424">
        <f>'רקדנים ומבצעים'!A15</f>
        <v>7</v>
      </c>
      <c r="B19" s="409" t="str">
        <f>'רקדנים ומבצעים'!B15</f>
        <v>אופיר יודילביץ</v>
      </c>
      <c r="C19" s="575" t="s">
        <v>474</v>
      </c>
      <c r="D19" s="403">
        <v>9</v>
      </c>
      <c r="E19" s="403">
        <v>4</v>
      </c>
      <c r="F19" s="403">
        <v>4</v>
      </c>
      <c r="G19" s="403">
        <v>3</v>
      </c>
      <c r="H19" s="410">
        <f>סיווג!AB27</f>
        <v>1</v>
      </c>
      <c r="I19" s="411">
        <f t="shared" si="0"/>
        <v>10.5</v>
      </c>
      <c r="J19" s="436">
        <f t="shared" si="1"/>
        <v>1.5597958895664512E-2</v>
      </c>
      <c r="O19" s="61">
        <f t="shared" si="2"/>
        <v>1</v>
      </c>
      <c r="P19" s="61">
        <f t="shared" si="3"/>
        <v>1</v>
      </c>
      <c r="Q19" s="61">
        <f t="shared" si="4"/>
        <v>1</v>
      </c>
      <c r="R19" s="61">
        <f t="shared" si="5"/>
        <v>1</v>
      </c>
      <c r="S19" s="61" cm="1">
        <f t="array" ref="S19">IF(OR(O19:R19&lt;&gt;1),0,1)</f>
        <v>1</v>
      </c>
      <c r="U19" s="64">
        <f t="shared" si="7"/>
        <v>20</v>
      </c>
      <c r="AA19" s="61">
        <f t="shared" si="6"/>
        <v>0</v>
      </c>
    </row>
    <row r="20" spans="1:27" ht="15.75" x14ac:dyDescent="0.25">
      <c r="A20" s="424">
        <f>'רקדנים ומבצעים'!A16</f>
        <v>8</v>
      </c>
      <c r="B20" s="409" t="str">
        <f>'רקדנים ומבצעים'!B16</f>
        <v>אור מרין ואורן נחום</v>
      </c>
      <c r="C20" s="403" t="s">
        <v>474</v>
      </c>
      <c r="D20" s="403">
        <v>6</v>
      </c>
      <c r="E20" s="403">
        <v>0</v>
      </c>
      <c r="F20" s="403">
        <v>1</v>
      </c>
      <c r="G20" s="403">
        <v>0</v>
      </c>
      <c r="H20" s="410">
        <f>סיווג!AB28</f>
        <v>1</v>
      </c>
      <c r="I20" s="411">
        <f t="shared" si="0"/>
        <v>1</v>
      </c>
      <c r="J20" s="436">
        <f t="shared" si="1"/>
        <v>1.4855198948251916E-3</v>
      </c>
      <c r="O20" s="61">
        <f t="shared" si="2"/>
        <v>1</v>
      </c>
      <c r="P20" s="61">
        <f t="shared" si="3"/>
        <v>1</v>
      </c>
      <c r="Q20" s="61">
        <f t="shared" si="4"/>
        <v>1</v>
      </c>
      <c r="R20" s="61">
        <f t="shared" si="5"/>
        <v>1</v>
      </c>
      <c r="S20" s="61" cm="1">
        <f t="array" ref="S20">IF(OR(O20:R20&lt;&gt;1),0,1)</f>
        <v>1</v>
      </c>
      <c r="U20" s="64">
        <f t="shared" si="7"/>
        <v>7</v>
      </c>
      <c r="AA20" s="61">
        <f t="shared" si="6"/>
        <v>0</v>
      </c>
    </row>
    <row r="21" spans="1:27" ht="15.75" x14ac:dyDescent="0.25">
      <c r="A21" s="424">
        <f>'רקדנים ומבצעים'!A17</f>
        <v>9</v>
      </c>
      <c r="B21" s="409" t="str">
        <f>'רקדנים ומבצעים'!B17</f>
        <v>אורי שפיר</v>
      </c>
      <c r="C21" s="575" t="s">
        <v>474</v>
      </c>
      <c r="D21" s="403">
        <v>18</v>
      </c>
      <c r="E21" s="403">
        <v>1</v>
      </c>
      <c r="F21" s="403">
        <v>7</v>
      </c>
      <c r="G21" s="403">
        <v>3</v>
      </c>
      <c r="H21" s="410">
        <f>סיווג!AB29</f>
        <v>1</v>
      </c>
      <c r="I21" s="411">
        <f t="shared" si="0"/>
        <v>12</v>
      </c>
      <c r="J21" s="436">
        <f t="shared" si="1"/>
        <v>1.7826238737902299E-2</v>
      </c>
      <c r="O21" s="61">
        <f t="shared" si="2"/>
        <v>1</v>
      </c>
      <c r="P21" s="61">
        <f t="shared" si="3"/>
        <v>1</v>
      </c>
      <c r="Q21" s="61">
        <f t="shared" si="4"/>
        <v>1</v>
      </c>
      <c r="R21" s="61">
        <f t="shared" si="5"/>
        <v>1</v>
      </c>
      <c r="S21" s="61" cm="1">
        <f t="array" ref="S21">IF(OR(O21:R21&lt;&gt;1),0,1)</f>
        <v>1</v>
      </c>
      <c r="U21" s="64">
        <f t="shared" si="7"/>
        <v>29</v>
      </c>
      <c r="AA21" s="61">
        <f t="shared" si="6"/>
        <v>0</v>
      </c>
    </row>
    <row r="22" spans="1:27" ht="15.75" x14ac:dyDescent="0.25">
      <c r="A22" s="424">
        <f>'רקדנים ומבצעים'!A18</f>
        <v>10</v>
      </c>
      <c r="B22" s="409" t="str">
        <f>'רקדנים ומבצעים'!B18</f>
        <v>אורלי פורטל</v>
      </c>
      <c r="C22" s="575" t="s">
        <v>474</v>
      </c>
      <c r="D22" s="403">
        <v>6</v>
      </c>
      <c r="E22" s="403">
        <v>1</v>
      </c>
      <c r="F22" s="403">
        <v>9</v>
      </c>
      <c r="G22" s="403">
        <v>2</v>
      </c>
      <c r="H22" s="410">
        <f>סיווג!AB30</f>
        <v>1</v>
      </c>
      <c r="I22" s="411">
        <f t="shared" si="0"/>
        <v>12.5</v>
      </c>
      <c r="J22" s="436">
        <f t="shared" si="1"/>
        <v>1.8568998685314895E-2</v>
      </c>
      <c r="O22" s="61">
        <f t="shared" si="2"/>
        <v>1</v>
      </c>
      <c r="P22" s="61">
        <f t="shared" si="3"/>
        <v>1</v>
      </c>
      <c r="Q22" s="61">
        <f t="shared" si="4"/>
        <v>1</v>
      </c>
      <c r="R22" s="61">
        <f t="shared" si="5"/>
        <v>1</v>
      </c>
      <c r="S22" s="61" cm="1">
        <f t="array" ref="S22">IF(OR(O22:R22&lt;&gt;1),0,1)</f>
        <v>1</v>
      </c>
      <c r="U22" s="64">
        <f t="shared" si="7"/>
        <v>18</v>
      </c>
      <c r="AA22" s="61">
        <f t="shared" si="6"/>
        <v>0</v>
      </c>
    </row>
    <row r="23" spans="1:27" ht="15.75" x14ac:dyDescent="0.25">
      <c r="A23" s="424">
        <f>'רקדנים ומבצעים'!A19</f>
        <v>11</v>
      </c>
      <c r="B23" s="409" t="str">
        <f>'רקדנים ומבצעים'!B19</f>
        <v/>
      </c>
      <c r="C23" s="586"/>
      <c r="D23" s="403"/>
      <c r="E23" s="403"/>
      <c r="F23" s="403"/>
      <c r="G23" s="403"/>
      <c r="H23" s="410" t="str">
        <f>סיווג!AB31</f>
        <v/>
      </c>
      <c r="I23" s="411" t="str">
        <f t="shared" si="0"/>
        <v/>
      </c>
      <c r="J23" s="436" t="str">
        <f t="shared" si="1"/>
        <v/>
      </c>
      <c r="O23" s="61">
        <f t="shared" si="2"/>
        <v>0</v>
      </c>
      <c r="P23" s="61">
        <f t="shared" si="3"/>
        <v>0</v>
      </c>
      <c r="Q23" s="61">
        <f t="shared" si="4"/>
        <v>0</v>
      </c>
      <c r="R23" s="61">
        <f t="shared" si="5"/>
        <v>0</v>
      </c>
      <c r="S23" s="61" cm="1">
        <f t="array" ref="S23">IF(OR(O23:R23&lt;&gt;1),0,1)</f>
        <v>0</v>
      </c>
      <c r="U23" s="64">
        <f t="shared" si="7"/>
        <v>0</v>
      </c>
      <c r="AA23" s="61" t="str">
        <f t="shared" si="6"/>
        <v/>
      </c>
    </row>
    <row r="24" spans="1:27" ht="15.75" x14ac:dyDescent="0.25">
      <c r="A24" s="424">
        <f>'רקדנים ומבצעים'!A20</f>
        <v>12</v>
      </c>
      <c r="B24" s="409" t="str">
        <f>'רקדנים ומבצעים'!B20</f>
        <v>אורין יוחנן</v>
      </c>
      <c r="C24" s="575" t="s">
        <v>474</v>
      </c>
      <c r="D24" s="403">
        <v>5</v>
      </c>
      <c r="E24" s="403">
        <v>0</v>
      </c>
      <c r="F24" s="403">
        <v>1</v>
      </c>
      <c r="G24" s="403">
        <v>1</v>
      </c>
      <c r="H24" s="410">
        <f>סיווג!AB32</f>
        <v>1</v>
      </c>
      <c r="I24" s="411">
        <f t="shared" si="0"/>
        <v>2.5</v>
      </c>
      <c r="J24" s="436">
        <f t="shared" si="1"/>
        <v>3.7137997370629786E-3</v>
      </c>
      <c r="O24" s="61">
        <f t="shared" si="2"/>
        <v>1</v>
      </c>
      <c r="P24" s="61">
        <f t="shared" si="3"/>
        <v>1</v>
      </c>
      <c r="Q24" s="61">
        <f t="shared" si="4"/>
        <v>1</v>
      </c>
      <c r="R24" s="61">
        <f t="shared" si="5"/>
        <v>1</v>
      </c>
      <c r="S24" s="61" cm="1">
        <f t="array" ref="S24">IF(OR(O24:R24&lt;&gt;1),0,1)</f>
        <v>1</v>
      </c>
      <c r="U24" s="64">
        <f t="shared" si="7"/>
        <v>7</v>
      </c>
      <c r="AA24" s="61">
        <f t="shared" si="6"/>
        <v>0</v>
      </c>
    </row>
    <row r="25" spans="1:27" ht="15.75" x14ac:dyDescent="0.25">
      <c r="A25" s="424">
        <f>'רקדנים ומבצעים'!A21</f>
        <v>13</v>
      </c>
      <c r="B25" s="409" t="str">
        <f>'רקדנים ומבצעים'!B21</f>
        <v>איריס ארז</v>
      </c>
      <c r="C25" s="403" t="s">
        <v>476</v>
      </c>
      <c r="D25" s="403">
        <v>8</v>
      </c>
      <c r="E25" s="403">
        <v>6</v>
      </c>
      <c r="F25" s="403">
        <v>1</v>
      </c>
      <c r="G25" s="403">
        <v>3</v>
      </c>
      <c r="H25" s="410">
        <f>סיווג!AB33</f>
        <v>1</v>
      </c>
      <c r="I25" s="411">
        <f t="shared" si="0"/>
        <v>8.5</v>
      </c>
      <c r="J25" s="436">
        <f t="shared" si="1"/>
        <v>1.2626919106014128E-2</v>
      </c>
      <c r="O25" s="61">
        <f t="shared" si="2"/>
        <v>1</v>
      </c>
      <c r="P25" s="61">
        <f t="shared" si="3"/>
        <v>1</v>
      </c>
      <c r="Q25" s="61">
        <f t="shared" si="4"/>
        <v>1</v>
      </c>
      <c r="R25" s="61">
        <f t="shared" si="5"/>
        <v>1</v>
      </c>
      <c r="S25" s="61" cm="1">
        <f t="array" ref="S25">IF(OR(O25:R25&lt;&gt;1),0,1)</f>
        <v>1</v>
      </c>
      <c r="U25" s="64">
        <f t="shared" si="7"/>
        <v>18</v>
      </c>
      <c r="AA25" s="61">
        <f t="shared" si="6"/>
        <v>0</v>
      </c>
    </row>
    <row r="26" spans="1:27" ht="15.75" x14ac:dyDescent="0.25">
      <c r="A26" s="424">
        <f>'רקדנים ומבצעים'!A22</f>
        <v>14</v>
      </c>
      <c r="B26" s="409" t="str">
        <f>'רקדנים ומבצעים'!B22</f>
        <v/>
      </c>
      <c r="C26" s="575"/>
      <c r="D26" s="403"/>
      <c r="E26" s="403"/>
      <c r="F26" s="403"/>
      <c r="G26" s="403"/>
      <c r="H26" s="410" t="str">
        <f>סיווג!AB34</f>
        <v/>
      </c>
      <c r="I26" s="411" t="str">
        <f t="shared" si="0"/>
        <v/>
      </c>
      <c r="J26" s="436" t="str">
        <f t="shared" si="1"/>
        <v/>
      </c>
      <c r="O26" s="61">
        <f t="shared" si="2"/>
        <v>0</v>
      </c>
      <c r="P26" s="61">
        <f t="shared" si="3"/>
        <v>0</v>
      </c>
      <c r="Q26" s="61">
        <f t="shared" si="4"/>
        <v>0</v>
      </c>
      <c r="R26" s="61">
        <f t="shared" si="5"/>
        <v>0</v>
      </c>
      <c r="S26" s="61" cm="1">
        <f t="array" ref="S26">IF(OR(O26:R26&lt;&gt;1),0,1)</f>
        <v>0</v>
      </c>
      <c r="U26" s="64">
        <f t="shared" si="7"/>
        <v>0</v>
      </c>
      <c r="AA26" s="61" t="str">
        <f t="shared" si="6"/>
        <v/>
      </c>
    </row>
    <row r="27" spans="1:27" ht="15.75" x14ac:dyDescent="0.25">
      <c r="A27" s="424">
        <f>'רקדנים ומבצעים'!A23</f>
        <v>15</v>
      </c>
      <c r="B27" s="409" t="str">
        <f>'רקדנים ומבצעים'!B23</f>
        <v>ענבל אושמן</v>
      </c>
      <c r="C27" s="575" t="s">
        <v>569</v>
      </c>
      <c r="D27" s="403">
        <v>6</v>
      </c>
      <c r="E27" s="403">
        <v>0</v>
      </c>
      <c r="F27" s="403">
        <v>2</v>
      </c>
      <c r="G27" s="403">
        <v>2</v>
      </c>
      <c r="H27" s="410">
        <f>סיווג!AB35</f>
        <v>1</v>
      </c>
      <c r="I27" s="411">
        <f t="shared" si="0"/>
        <v>5</v>
      </c>
      <c r="J27" s="436">
        <f t="shared" si="1"/>
        <v>7.4275994741259573E-3</v>
      </c>
      <c r="O27" s="61">
        <f t="shared" si="2"/>
        <v>1</v>
      </c>
      <c r="P27" s="61">
        <f t="shared" si="3"/>
        <v>1</v>
      </c>
      <c r="Q27" s="61">
        <f t="shared" si="4"/>
        <v>1</v>
      </c>
      <c r="R27" s="61">
        <f t="shared" si="5"/>
        <v>1</v>
      </c>
      <c r="S27" s="61" cm="1">
        <f t="array" ref="S27">IF(OR(O27:R27&lt;&gt;1),0,1)</f>
        <v>1</v>
      </c>
      <c r="U27" s="64">
        <f t="shared" si="7"/>
        <v>10</v>
      </c>
      <c r="AA27" s="61">
        <f t="shared" si="6"/>
        <v>0</v>
      </c>
    </row>
    <row r="28" spans="1:27" ht="15.75" x14ac:dyDescent="0.25">
      <c r="A28" s="424">
        <f>'רקדנים ומבצעים'!A24</f>
        <v>16</v>
      </c>
      <c r="B28" s="409" t="str">
        <f>'רקדנים ומבצעים'!B24</f>
        <v>אנדריאה מרטיני</v>
      </c>
      <c r="C28" s="575" t="s">
        <v>474</v>
      </c>
      <c r="D28" s="403">
        <v>8</v>
      </c>
      <c r="E28" s="403">
        <v>0</v>
      </c>
      <c r="F28" s="403">
        <v>0</v>
      </c>
      <c r="G28" s="403">
        <v>0</v>
      </c>
      <c r="H28" s="410">
        <f>סיווג!AB36</f>
        <v>1</v>
      </c>
      <c r="I28" s="411">
        <f t="shared" si="0"/>
        <v>0</v>
      </c>
      <c r="J28" s="436">
        <f t="shared" si="1"/>
        <v>0</v>
      </c>
      <c r="O28" s="61">
        <f t="shared" si="2"/>
        <v>1</v>
      </c>
      <c r="P28" s="61">
        <f t="shared" si="3"/>
        <v>1</v>
      </c>
      <c r="Q28" s="61">
        <f t="shared" si="4"/>
        <v>1</v>
      </c>
      <c r="R28" s="61">
        <f t="shared" si="5"/>
        <v>1</v>
      </c>
      <c r="S28" s="61" cm="1">
        <f t="array" ref="S28">IF(OR(O28:R28&lt;&gt;1),0,1)</f>
        <v>1</v>
      </c>
      <c r="U28" s="64">
        <f t="shared" si="7"/>
        <v>8</v>
      </c>
      <c r="AA28" s="61">
        <f t="shared" si="6"/>
        <v>0</v>
      </c>
    </row>
    <row r="29" spans="1:27" ht="15.75" x14ac:dyDescent="0.25">
      <c r="A29" s="424">
        <f>'רקדנים ומבצעים'!A25</f>
        <v>17</v>
      </c>
      <c r="B29" s="409" t="str">
        <f>'רקדנים ומבצעים'!B25</f>
        <v>אפרת רובין</v>
      </c>
      <c r="C29" s="575" t="s">
        <v>474</v>
      </c>
      <c r="D29" s="403">
        <v>18</v>
      </c>
      <c r="E29" s="403">
        <v>1</v>
      </c>
      <c r="F29" s="403">
        <v>0</v>
      </c>
      <c r="G29" s="403">
        <v>0</v>
      </c>
      <c r="H29" s="410">
        <f>סיווג!AB37</f>
        <v>1</v>
      </c>
      <c r="I29" s="411">
        <f t="shared" si="0"/>
        <v>0.5</v>
      </c>
      <c r="J29" s="436">
        <f t="shared" si="1"/>
        <v>7.4275994741259581E-4</v>
      </c>
      <c r="O29" s="61">
        <f t="shared" si="2"/>
        <v>1</v>
      </c>
      <c r="P29" s="61">
        <f t="shared" si="3"/>
        <v>1</v>
      </c>
      <c r="Q29" s="61">
        <f t="shared" si="4"/>
        <v>1</v>
      </c>
      <c r="R29" s="61">
        <f t="shared" si="5"/>
        <v>1</v>
      </c>
      <c r="S29" s="61" cm="1">
        <f t="array" ref="S29">IF(OR(O29:R29&lt;&gt;1),0,1)</f>
        <v>1</v>
      </c>
      <c r="U29" s="64">
        <f t="shared" si="7"/>
        <v>19</v>
      </c>
      <c r="AA29" s="61">
        <f t="shared" si="6"/>
        <v>0</v>
      </c>
    </row>
    <row r="30" spans="1:27" ht="15.75" x14ac:dyDescent="0.25">
      <c r="A30" s="424">
        <f>'רקדנים ומבצעים'!A26</f>
        <v>18</v>
      </c>
      <c r="B30" s="409" t="str">
        <f>'רקדנים ומבצעים'!B26</f>
        <v>שרון צוקרמן</v>
      </c>
      <c r="C30" s="575" t="s">
        <v>474</v>
      </c>
      <c r="D30" s="403">
        <v>8</v>
      </c>
      <c r="E30" s="403">
        <v>2</v>
      </c>
      <c r="F30" s="403">
        <v>0</v>
      </c>
      <c r="G30" s="403">
        <v>2</v>
      </c>
      <c r="H30" s="410">
        <f>סיווג!AB38</f>
        <v>1</v>
      </c>
      <c r="I30" s="411">
        <f t="shared" si="0"/>
        <v>4</v>
      </c>
      <c r="J30" s="436">
        <f t="shared" si="1"/>
        <v>5.9420795793007665E-3</v>
      </c>
      <c r="O30" s="61">
        <f t="shared" si="2"/>
        <v>1</v>
      </c>
      <c r="P30" s="61">
        <f t="shared" si="3"/>
        <v>1</v>
      </c>
      <c r="Q30" s="61">
        <f t="shared" si="4"/>
        <v>1</v>
      </c>
      <c r="R30" s="61">
        <f t="shared" si="5"/>
        <v>1</v>
      </c>
      <c r="S30" s="61" cm="1">
        <f t="array" ref="S30">IF(OR(O30:R30&lt;&gt;1),0,1)</f>
        <v>1</v>
      </c>
      <c r="U30" s="64">
        <f t="shared" si="7"/>
        <v>12</v>
      </c>
      <c r="AA30" s="61">
        <f t="shared" si="6"/>
        <v>0</v>
      </c>
    </row>
    <row r="31" spans="1:27" ht="15.75" x14ac:dyDescent="0.25">
      <c r="A31" s="424">
        <f>'רקדנים ומבצעים'!A27</f>
        <v>19</v>
      </c>
      <c r="B31" s="409" t="str">
        <f>'רקדנים ומבצעים'!B27</f>
        <v>בשמת נוסן</v>
      </c>
      <c r="C31" s="575" t="s">
        <v>474</v>
      </c>
      <c r="D31" s="403">
        <v>12</v>
      </c>
      <c r="E31" s="403">
        <v>1</v>
      </c>
      <c r="F31" s="403">
        <v>0</v>
      </c>
      <c r="G31" s="403">
        <v>1</v>
      </c>
      <c r="H31" s="410">
        <f>סיווג!AB39</f>
        <v>1</v>
      </c>
      <c r="I31" s="411">
        <f t="shared" si="0"/>
        <v>2</v>
      </c>
      <c r="J31" s="436">
        <f t="shared" si="1"/>
        <v>2.9710397896503832E-3</v>
      </c>
      <c r="O31" s="61">
        <f t="shared" si="2"/>
        <v>1</v>
      </c>
      <c r="P31" s="61">
        <f t="shared" si="3"/>
        <v>1</v>
      </c>
      <c r="Q31" s="61">
        <f t="shared" si="4"/>
        <v>1</v>
      </c>
      <c r="R31" s="61">
        <f t="shared" si="5"/>
        <v>1</v>
      </c>
      <c r="S31" s="61" cm="1">
        <f t="array" ref="S31">IF(OR(O31:R31&lt;&gt;1),0,1)</f>
        <v>1</v>
      </c>
      <c r="U31" s="64">
        <f t="shared" si="7"/>
        <v>14</v>
      </c>
      <c r="AA31" s="61">
        <f t="shared" si="6"/>
        <v>0</v>
      </c>
    </row>
    <row r="32" spans="1:27" ht="15.75" x14ac:dyDescent="0.25">
      <c r="A32" s="424">
        <f>'רקדנים ומבצעים'!A28</f>
        <v>20</v>
      </c>
      <c r="B32" s="409" t="str">
        <f>'רקדנים ומבצעים'!B28</f>
        <v>גיל קרר</v>
      </c>
      <c r="C32" s="403" t="s">
        <v>482</v>
      </c>
      <c r="D32" s="403">
        <v>3</v>
      </c>
      <c r="E32" s="403">
        <v>10</v>
      </c>
      <c r="F32" s="403">
        <v>0</v>
      </c>
      <c r="G32" s="403">
        <v>6</v>
      </c>
      <c r="H32" s="410">
        <f>סיווג!AB40</f>
        <v>1</v>
      </c>
      <c r="I32" s="411">
        <f t="shared" si="0"/>
        <v>14</v>
      </c>
      <c r="J32" s="436">
        <f t="shared" si="1"/>
        <v>2.0797278527552681E-2</v>
      </c>
      <c r="O32" s="61">
        <f t="shared" si="2"/>
        <v>1</v>
      </c>
      <c r="P32" s="61">
        <f t="shared" si="3"/>
        <v>1</v>
      </c>
      <c r="Q32" s="61">
        <f t="shared" si="4"/>
        <v>1</v>
      </c>
      <c r="R32" s="61">
        <f t="shared" si="5"/>
        <v>1</v>
      </c>
      <c r="S32" s="61" cm="1">
        <f t="array" ref="S32">IF(OR(O32:R32&lt;&gt;1),0,1)</f>
        <v>1</v>
      </c>
      <c r="U32" s="64">
        <f t="shared" si="7"/>
        <v>19</v>
      </c>
      <c r="AA32" s="61">
        <f t="shared" si="6"/>
        <v>0</v>
      </c>
    </row>
    <row r="33" spans="1:27" ht="15.75" x14ac:dyDescent="0.25">
      <c r="A33" s="424">
        <f>'רקדנים ומבצעים'!A29</f>
        <v>21</v>
      </c>
      <c r="B33" s="409" t="str">
        <f>'רקדנים ומבצעים'!B29</f>
        <v>דינה תלם</v>
      </c>
      <c r="C33" s="575" t="s">
        <v>475</v>
      </c>
      <c r="D33" s="403">
        <v>32</v>
      </c>
      <c r="E33" s="403">
        <v>5</v>
      </c>
      <c r="F33" s="403">
        <v>2</v>
      </c>
      <c r="G33" s="403">
        <v>2</v>
      </c>
      <c r="H33" s="410">
        <f>סיווג!AB41</f>
        <v>1</v>
      </c>
      <c r="I33" s="411">
        <f t="shared" si="0"/>
        <v>7.5</v>
      </c>
      <c r="J33" s="436">
        <f t="shared" si="1"/>
        <v>1.1141399211188936E-2</v>
      </c>
      <c r="O33" s="61">
        <f t="shared" si="2"/>
        <v>1</v>
      </c>
      <c r="P33" s="61">
        <f t="shared" si="3"/>
        <v>1</v>
      </c>
      <c r="Q33" s="61">
        <f t="shared" si="4"/>
        <v>1</v>
      </c>
      <c r="R33" s="61">
        <f t="shared" si="5"/>
        <v>1</v>
      </c>
      <c r="S33" s="61" cm="1">
        <f t="array" ref="S33">IF(OR(O33:R33&lt;&gt;1),0,1)</f>
        <v>1</v>
      </c>
      <c r="U33" s="64">
        <f t="shared" si="7"/>
        <v>41</v>
      </c>
      <c r="AA33" s="61">
        <f t="shared" si="6"/>
        <v>0</v>
      </c>
    </row>
    <row r="34" spans="1:27" ht="15.75" x14ac:dyDescent="0.25">
      <c r="A34" s="424">
        <f>'רקדנים ומבצעים'!A30</f>
        <v>22</v>
      </c>
      <c r="B34" s="409" t="str">
        <f>'רקדנים ומבצעים'!B30</f>
        <v>דנה יהלומי</v>
      </c>
      <c r="C34" s="575" t="s">
        <v>474</v>
      </c>
      <c r="D34" s="403">
        <v>6</v>
      </c>
      <c r="E34" s="403">
        <v>0</v>
      </c>
      <c r="F34" s="403">
        <v>0</v>
      </c>
      <c r="G34" s="403">
        <v>1</v>
      </c>
      <c r="H34" s="410">
        <f>סיווג!AB42</f>
        <v>1</v>
      </c>
      <c r="I34" s="411">
        <f t="shared" si="0"/>
        <v>1.5</v>
      </c>
      <c r="J34" s="436">
        <f t="shared" si="1"/>
        <v>2.2282798422377874E-3</v>
      </c>
      <c r="O34" s="61">
        <f t="shared" si="2"/>
        <v>1</v>
      </c>
      <c r="P34" s="61">
        <f t="shared" si="3"/>
        <v>1</v>
      </c>
      <c r="Q34" s="61">
        <f t="shared" si="4"/>
        <v>1</v>
      </c>
      <c r="R34" s="61">
        <f t="shared" si="5"/>
        <v>1</v>
      </c>
      <c r="S34" s="61" cm="1">
        <f t="array" ref="S34">IF(OR(O34:R34&lt;&gt;1),0,1)</f>
        <v>1</v>
      </c>
      <c r="U34" s="64">
        <f t="shared" si="7"/>
        <v>7</v>
      </c>
      <c r="AA34" s="61">
        <f t="shared" si="6"/>
        <v>0</v>
      </c>
    </row>
    <row r="35" spans="1:27" ht="15.75" x14ac:dyDescent="0.25">
      <c r="A35" s="424">
        <f>'רקדנים ומבצעים'!A31</f>
        <v>23</v>
      </c>
      <c r="B35" s="409" t="str">
        <f>'רקדנים ומבצעים'!B31</f>
        <v>דנה רוטנברג</v>
      </c>
      <c r="C35" s="575" t="s">
        <v>474</v>
      </c>
      <c r="D35" s="403">
        <v>42</v>
      </c>
      <c r="E35" s="403">
        <v>0</v>
      </c>
      <c r="F35" s="403">
        <v>4</v>
      </c>
      <c r="G35" s="403">
        <v>7</v>
      </c>
      <c r="H35" s="410">
        <f>סיווג!AB43</f>
        <v>1</v>
      </c>
      <c r="I35" s="411">
        <f t="shared" si="0"/>
        <v>14.5</v>
      </c>
      <c r="J35" s="436">
        <f t="shared" si="1"/>
        <v>2.1540038474965276E-2</v>
      </c>
      <c r="O35" s="61">
        <f t="shared" si="2"/>
        <v>1</v>
      </c>
      <c r="P35" s="61">
        <f t="shared" si="3"/>
        <v>1</v>
      </c>
      <c r="Q35" s="61">
        <f t="shared" si="4"/>
        <v>1</v>
      </c>
      <c r="R35" s="61">
        <f t="shared" si="5"/>
        <v>1</v>
      </c>
      <c r="S35" s="61" cm="1">
        <f t="array" ref="S35">IF(OR(O35:R35&lt;&gt;1),0,1)</f>
        <v>1</v>
      </c>
      <c r="U35" s="64">
        <f t="shared" si="7"/>
        <v>53</v>
      </c>
      <c r="AA35" s="61">
        <f t="shared" si="6"/>
        <v>0</v>
      </c>
    </row>
    <row r="36" spans="1:27" ht="15.75" x14ac:dyDescent="0.25">
      <c r="A36" s="424">
        <f>'רקדנים ומבצעים'!A32</f>
        <v>24</v>
      </c>
      <c r="B36" s="409" t="str">
        <f>'רקדנים ומבצעים'!B32</f>
        <v>דפי אלטבב</v>
      </c>
      <c r="C36" s="575" t="s">
        <v>474</v>
      </c>
      <c r="D36" s="403">
        <v>9</v>
      </c>
      <c r="E36" s="403">
        <v>4</v>
      </c>
      <c r="F36" s="403">
        <v>1</v>
      </c>
      <c r="G36" s="403">
        <v>6</v>
      </c>
      <c r="H36" s="410">
        <f>סיווג!AB44</f>
        <v>1</v>
      </c>
      <c r="I36" s="411">
        <f t="shared" si="0"/>
        <v>12</v>
      </c>
      <c r="J36" s="436">
        <f t="shared" si="1"/>
        <v>1.7826238737902299E-2</v>
      </c>
      <c r="O36" s="61">
        <f t="shared" si="2"/>
        <v>1</v>
      </c>
      <c r="P36" s="61">
        <f t="shared" si="3"/>
        <v>1</v>
      </c>
      <c r="Q36" s="61">
        <f t="shared" si="4"/>
        <v>1</v>
      </c>
      <c r="R36" s="61">
        <f t="shared" si="5"/>
        <v>1</v>
      </c>
      <c r="S36" s="61" cm="1">
        <f t="array" ref="S36">IF(OR(O36:R36&lt;&gt;1),0,1)</f>
        <v>1</v>
      </c>
      <c r="U36" s="64">
        <f t="shared" si="7"/>
        <v>20</v>
      </c>
      <c r="AA36" s="61">
        <f t="shared" si="6"/>
        <v>0</v>
      </c>
    </row>
    <row r="37" spans="1:27" ht="15.75" x14ac:dyDescent="0.25">
      <c r="A37" s="424">
        <f>'רקדנים ומבצעים'!A33</f>
        <v>25</v>
      </c>
      <c r="B37" s="409" t="str">
        <f>'רקדנים ומבצעים'!B33</f>
        <v>הלל קוגן</v>
      </c>
      <c r="C37" s="575" t="s">
        <v>474</v>
      </c>
      <c r="D37" s="403">
        <v>26</v>
      </c>
      <c r="E37" s="403">
        <v>0</v>
      </c>
      <c r="F37" s="403">
        <v>1</v>
      </c>
      <c r="G37" s="403">
        <v>3</v>
      </c>
      <c r="H37" s="410">
        <f>סיווג!AB45</f>
        <v>1</v>
      </c>
      <c r="I37" s="411">
        <f t="shared" si="0"/>
        <v>5.5</v>
      </c>
      <c r="J37" s="436">
        <f t="shared" si="1"/>
        <v>8.1703594215385526E-3</v>
      </c>
      <c r="O37" s="61">
        <f t="shared" si="2"/>
        <v>1</v>
      </c>
      <c r="P37" s="61">
        <f t="shared" si="3"/>
        <v>1</v>
      </c>
      <c r="Q37" s="61">
        <f t="shared" si="4"/>
        <v>1</v>
      </c>
      <c r="R37" s="61">
        <f t="shared" si="5"/>
        <v>1</v>
      </c>
      <c r="S37" s="61" cm="1">
        <f t="array" ref="S37">IF(OR(O37:R37&lt;&gt;1),0,1)</f>
        <v>1</v>
      </c>
      <c r="U37" s="64">
        <f t="shared" si="7"/>
        <v>30</v>
      </c>
      <c r="AA37" s="61">
        <f t="shared" si="6"/>
        <v>0</v>
      </c>
    </row>
    <row r="38" spans="1:27" ht="15.75" x14ac:dyDescent="0.25">
      <c r="A38" s="424">
        <f>'רקדנים ומבצעים'!A34</f>
        <v>26</v>
      </c>
      <c r="B38" s="409" t="str">
        <f>'רקדנים ומבצעים'!B34</f>
        <v>אנאבל דביר</v>
      </c>
      <c r="C38" s="403" t="s">
        <v>479</v>
      </c>
      <c r="D38" s="403">
        <v>5</v>
      </c>
      <c r="E38" s="403">
        <v>0</v>
      </c>
      <c r="F38" s="403">
        <v>13</v>
      </c>
      <c r="G38" s="403">
        <v>2</v>
      </c>
      <c r="H38" s="410">
        <f>סיווג!AB46</f>
        <v>1</v>
      </c>
      <c r="I38" s="411">
        <f t="shared" si="0"/>
        <v>16</v>
      </c>
      <c r="J38" s="436">
        <f t="shared" si="1"/>
        <v>2.3768318317203066E-2</v>
      </c>
      <c r="O38" s="61">
        <f t="shared" si="2"/>
        <v>1</v>
      </c>
      <c r="P38" s="61">
        <f t="shared" si="3"/>
        <v>1</v>
      </c>
      <c r="Q38" s="61">
        <f t="shared" si="4"/>
        <v>1</v>
      </c>
      <c r="R38" s="61">
        <f t="shared" si="5"/>
        <v>1</v>
      </c>
      <c r="S38" s="61" cm="1">
        <f t="array" ref="S38">IF(OR(O38:R38&lt;&gt;1),0,1)</f>
        <v>1</v>
      </c>
      <c r="U38" s="64">
        <f t="shared" si="7"/>
        <v>20</v>
      </c>
      <c r="AA38" s="61">
        <f t="shared" si="6"/>
        <v>0</v>
      </c>
    </row>
    <row r="39" spans="1:27" ht="15.75" x14ac:dyDescent="0.25">
      <c r="A39" s="424">
        <f>'רקדנים ומבצעים'!A35</f>
        <v>27</v>
      </c>
      <c r="B39" s="409" t="str">
        <f>'רקדנים ומבצעים'!B35</f>
        <v>יוסי ברג ועודד גרף</v>
      </c>
      <c r="C39" s="575" t="s">
        <v>474</v>
      </c>
      <c r="D39" s="403">
        <v>12</v>
      </c>
      <c r="E39" s="403">
        <v>1</v>
      </c>
      <c r="F39" s="403">
        <v>2</v>
      </c>
      <c r="G39" s="403">
        <v>3</v>
      </c>
      <c r="H39" s="410">
        <f>סיווג!AB47</f>
        <v>1</v>
      </c>
      <c r="I39" s="411">
        <f t="shared" si="0"/>
        <v>7</v>
      </c>
      <c r="J39" s="436">
        <f t="shared" si="1"/>
        <v>1.039863926377634E-2</v>
      </c>
      <c r="O39" s="61">
        <f t="shared" si="2"/>
        <v>1</v>
      </c>
      <c r="P39" s="61">
        <f t="shared" si="3"/>
        <v>1</v>
      </c>
      <c r="Q39" s="61">
        <f t="shared" si="4"/>
        <v>1</v>
      </c>
      <c r="R39" s="61">
        <f t="shared" si="5"/>
        <v>1</v>
      </c>
      <c r="S39" s="61" cm="1">
        <f t="array" ref="S39">IF(OR(O39:R39&lt;&gt;1),0,1)</f>
        <v>1</v>
      </c>
      <c r="U39" s="64">
        <f t="shared" si="7"/>
        <v>18</v>
      </c>
      <c r="AA39" s="61">
        <f t="shared" si="6"/>
        <v>0</v>
      </c>
    </row>
    <row r="40" spans="1:27" ht="15.75" x14ac:dyDescent="0.25">
      <c r="A40" s="424">
        <f>'רקדנים ומבצעים'!A36</f>
        <v>28</v>
      </c>
      <c r="B40" s="409" t="str">
        <f>'רקדנים ומבצעים'!B36</f>
        <v>נדין בומר</v>
      </c>
      <c r="C40" s="403" t="s">
        <v>477</v>
      </c>
      <c r="D40" s="403">
        <v>14</v>
      </c>
      <c r="E40" s="403">
        <v>3</v>
      </c>
      <c r="F40" s="403">
        <v>0</v>
      </c>
      <c r="G40" s="403">
        <v>0</v>
      </c>
      <c r="H40" s="410">
        <f>סיווג!AB48</f>
        <v>1</v>
      </c>
      <c r="I40" s="411">
        <f t="shared" si="0"/>
        <v>1.5</v>
      </c>
      <c r="J40" s="436">
        <f t="shared" si="1"/>
        <v>2.2282798422377874E-3</v>
      </c>
      <c r="O40" s="61">
        <f t="shared" si="2"/>
        <v>1</v>
      </c>
      <c r="P40" s="61">
        <f t="shared" si="3"/>
        <v>1</v>
      </c>
      <c r="Q40" s="61">
        <f t="shared" si="4"/>
        <v>1</v>
      </c>
      <c r="R40" s="61">
        <f t="shared" si="5"/>
        <v>1</v>
      </c>
      <c r="S40" s="61" cm="1">
        <f t="array" ref="S40">IF(OR(O40:R40&lt;&gt;1),0,1)</f>
        <v>1</v>
      </c>
      <c r="U40" s="64">
        <f t="shared" si="7"/>
        <v>17</v>
      </c>
      <c r="AA40" s="61">
        <f t="shared" si="6"/>
        <v>0</v>
      </c>
    </row>
    <row r="41" spans="1:27" ht="15.75" x14ac:dyDescent="0.25">
      <c r="A41" s="424">
        <f>'רקדנים ומבצעים'!A37</f>
        <v>29</v>
      </c>
      <c r="B41" s="409" t="str">
        <f>'רקדנים ומבצעים'!B37</f>
        <v xml:space="preserve">להקת בלט פאנוב </v>
      </c>
      <c r="C41" s="403" t="s">
        <v>478</v>
      </c>
      <c r="D41" s="403">
        <v>39</v>
      </c>
      <c r="E41" s="403">
        <v>10</v>
      </c>
      <c r="F41" s="403">
        <v>4</v>
      </c>
      <c r="G41" s="403">
        <v>18</v>
      </c>
      <c r="H41" s="410">
        <f>סיווג!AB49</f>
        <v>1</v>
      </c>
      <c r="I41" s="411">
        <f t="shared" si="0"/>
        <v>36</v>
      </c>
      <c r="J41" s="436">
        <f t="shared" si="1"/>
        <v>5.3478716213706895E-2</v>
      </c>
      <c r="O41" s="61">
        <f t="shared" si="2"/>
        <v>1</v>
      </c>
      <c r="P41" s="61">
        <f t="shared" si="3"/>
        <v>1</v>
      </c>
      <c r="Q41" s="61">
        <f t="shared" si="4"/>
        <v>1</v>
      </c>
      <c r="R41" s="61">
        <f t="shared" si="5"/>
        <v>1</v>
      </c>
      <c r="S41" s="61" cm="1">
        <f t="array" ref="S41">IF(OR(O41:R41&lt;&gt;1),0,1)</f>
        <v>1</v>
      </c>
      <c r="U41" s="64">
        <f t="shared" si="7"/>
        <v>71</v>
      </c>
      <c r="AA41" s="61">
        <f t="shared" si="6"/>
        <v>0</v>
      </c>
    </row>
    <row r="42" spans="1:27" ht="15.75" x14ac:dyDescent="0.25">
      <c r="A42" s="424">
        <f>'רקדנים ומבצעים'!A38</f>
        <v>30</v>
      </c>
      <c r="B42" s="409" t="str">
        <f>'רקדנים ומבצעים'!B38</f>
        <v/>
      </c>
      <c r="C42" s="403"/>
      <c r="D42" s="403"/>
      <c r="E42" s="403"/>
      <c r="F42" s="403"/>
      <c r="G42" s="403"/>
      <c r="H42" s="410" t="str">
        <f>סיווג!AB50</f>
        <v/>
      </c>
      <c r="I42" s="411" t="str">
        <f t="shared" si="0"/>
        <v/>
      </c>
      <c r="J42" s="436" t="str">
        <f t="shared" si="1"/>
        <v/>
      </c>
      <c r="O42" s="61">
        <f t="shared" si="2"/>
        <v>0</v>
      </c>
      <c r="P42" s="61">
        <f t="shared" si="3"/>
        <v>0</v>
      </c>
      <c r="Q42" s="61">
        <f t="shared" si="4"/>
        <v>0</v>
      </c>
      <c r="R42" s="61">
        <f t="shared" si="5"/>
        <v>0</v>
      </c>
      <c r="S42" s="61" cm="1">
        <f t="array" ref="S42">IF(OR(O42:R42&lt;&gt;1),0,1)</f>
        <v>0</v>
      </c>
      <c r="U42" s="64">
        <f t="shared" si="7"/>
        <v>0</v>
      </c>
      <c r="AA42" s="61" t="str">
        <f t="shared" si="6"/>
        <v/>
      </c>
    </row>
    <row r="43" spans="1:27" ht="15.75" x14ac:dyDescent="0.25">
      <c r="A43" s="424">
        <f>'רקדנים ומבצעים'!A39</f>
        <v>31</v>
      </c>
      <c r="B43" s="409" t="str">
        <f>'רקדנים ומבצעים'!B39</f>
        <v/>
      </c>
      <c r="C43" s="403"/>
      <c r="D43" s="403"/>
      <c r="E43" s="403"/>
      <c r="F43" s="403"/>
      <c r="G43" s="403"/>
      <c r="H43" s="410" t="str">
        <f>סיווג!AB51</f>
        <v/>
      </c>
      <c r="I43" s="411" t="str">
        <f t="shared" si="0"/>
        <v/>
      </c>
      <c r="J43" s="436" t="str">
        <f t="shared" si="1"/>
        <v/>
      </c>
      <c r="O43" s="61">
        <f t="shared" si="2"/>
        <v>0</v>
      </c>
      <c r="P43" s="61">
        <f t="shared" si="3"/>
        <v>0</v>
      </c>
      <c r="Q43" s="61">
        <f t="shared" si="4"/>
        <v>0</v>
      </c>
      <c r="R43" s="61">
        <f t="shared" si="5"/>
        <v>0</v>
      </c>
      <c r="S43" s="61" cm="1">
        <f t="array" ref="S43">IF(OR(O43:R43&lt;&gt;1),0,1)</f>
        <v>0</v>
      </c>
      <c r="U43" s="64">
        <f t="shared" si="7"/>
        <v>0</v>
      </c>
      <c r="AA43" s="61" t="str">
        <f t="shared" si="6"/>
        <v/>
      </c>
    </row>
    <row r="44" spans="1:27" ht="15.75" x14ac:dyDescent="0.25">
      <c r="A44" s="424">
        <f>'רקדנים ומבצעים'!A40</f>
        <v>32</v>
      </c>
      <c r="B44" s="409" t="str">
        <f>'רקדנים ומבצעים'!B40</f>
        <v>מיכל סממה</v>
      </c>
      <c r="C44" s="403" t="s">
        <v>474</v>
      </c>
      <c r="D44" s="403">
        <v>15</v>
      </c>
      <c r="E44" s="403">
        <v>0</v>
      </c>
      <c r="F44" s="403">
        <v>2</v>
      </c>
      <c r="G44" s="403">
        <v>0</v>
      </c>
      <c r="H44" s="410">
        <f>סיווג!AB52</f>
        <v>1</v>
      </c>
      <c r="I44" s="411">
        <f t="shared" si="0"/>
        <v>2</v>
      </c>
      <c r="J44" s="436">
        <f t="shared" si="1"/>
        <v>2.9710397896503832E-3</v>
      </c>
      <c r="O44" s="61">
        <f t="shared" si="2"/>
        <v>1</v>
      </c>
      <c r="P44" s="61">
        <f t="shared" si="3"/>
        <v>1</v>
      </c>
      <c r="Q44" s="61">
        <f t="shared" si="4"/>
        <v>1</v>
      </c>
      <c r="R44" s="61">
        <f t="shared" si="5"/>
        <v>1</v>
      </c>
      <c r="S44" s="61" cm="1">
        <f t="array" ref="S44">IF(OR(O44:R44&lt;&gt;1),0,1)</f>
        <v>1</v>
      </c>
      <c r="U44" s="64">
        <f t="shared" si="7"/>
        <v>17</v>
      </c>
      <c r="AA44" s="61">
        <f t="shared" si="6"/>
        <v>0</v>
      </c>
    </row>
    <row r="45" spans="1:27" ht="15.75" x14ac:dyDescent="0.25">
      <c r="A45" s="424">
        <f>'רקדנים ומבצעים'!A41</f>
        <v>33</v>
      </c>
      <c r="B45" s="409" t="str">
        <f>'רקדנים ומבצעים'!B41</f>
        <v>מאיה ברינר</v>
      </c>
      <c r="C45" s="575" t="s">
        <v>474</v>
      </c>
      <c r="D45" s="403">
        <v>12</v>
      </c>
      <c r="E45" s="403">
        <v>1</v>
      </c>
      <c r="F45" s="403">
        <v>19</v>
      </c>
      <c r="G45" s="403">
        <v>38</v>
      </c>
      <c r="H45" s="410">
        <f>סיווג!AB53</f>
        <v>1</v>
      </c>
      <c r="I45" s="411">
        <f t="shared" ref="I45:I76" si="8">IF(S45&lt;&gt;1,"",(SUMPRODUCT(D45:G45,$AC$13:$AF$13)*H45))</f>
        <v>76.5</v>
      </c>
      <c r="J45" s="436">
        <f t="shared" ref="J45:J76" si="9">IF(ISERR(I45/$I$125),"",I45/$I$125)</f>
        <v>0.11364227195412716</v>
      </c>
      <c r="O45" s="61">
        <f t="shared" ref="O45:O76" si="10">IF(OR($B45="",ISERR(D45/3)),0,IF(OR(D45&lt;0,D45&lt;&gt;ROUND(D45,0)),0,1))</f>
        <v>1</v>
      </c>
      <c r="P45" s="61">
        <f t="shared" ref="P45:P76" si="11">IF(OR($B45="",ISERR(E45/3)),0,IF(OR(E45&lt;0,E45&lt;&gt;ROUND(E45,0)),0,1))</f>
        <v>1</v>
      </c>
      <c r="Q45" s="61">
        <f t="shared" ref="Q45:Q76" si="12">IF(OR($B45="",ISERR(F45/3)),0,IF(OR(F45&lt;0,F45&lt;&gt;ROUND(F45,0)),0,1))</f>
        <v>1</v>
      </c>
      <c r="R45" s="61">
        <f t="shared" ref="R45:R76" si="13">IF(OR($B45="",ISERR(G45/3)),0,IF(OR(G45&lt;0,G45&lt;&gt;ROUND(G45,0)),0,1))</f>
        <v>1</v>
      </c>
      <c r="S45" s="61" cm="1">
        <f t="array" ref="S45">IF(OR(O45:R45&lt;&gt;1),0,1)</f>
        <v>1</v>
      </c>
      <c r="U45" s="64">
        <f t="shared" si="7"/>
        <v>70</v>
      </c>
      <c r="AA45" s="61">
        <f t="shared" si="6"/>
        <v>0</v>
      </c>
    </row>
    <row r="46" spans="1:27" ht="15.75" x14ac:dyDescent="0.25">
      <c r="A46" s="424">
        <f>'רקדנים ומבצעים'!A42</f>
        <v>34</v>
      </c>
      <c r="B46" s="409" t="str">
        <f>'רקדנים ומבצעים'!B42</f>
        <v>מאיה מכלל גלפנד</v>
      </c>
      <c r="C46" s="403" t="s">
        <v>476</v>
      </c>
      <c r="D46" s="403">
        <v>8</v>
      </c>
      <c r="E46" s="403">
        <v>5</v>
      </c>
      <c r="F46" s="403">
        <v>0</v>
      </c>
      <c r="G46" s="403">
        <v>0</v>
      </c>
      <c r="H46" s="410">
        <f>סיווג!AB54</f>
        <v>1</v>
      </c>
      <c r="I46" s="411">
        <f t="shared" si="8"/>
        <v>2.5</v>
      </c>
      <c r="J46" s="436">
        <f t="shared" si="9"/>
        <v>3.7137997370629786E-3</v>
      </c>
      <c r="O46" s="61">
        <f t="shared" si="10"/>
        <v>1</v>
      </c>
      <c r="P46" s="61">
        <f t="shared" si="11"/>
        <v>1</v>
      </c>
      <c r="Q46" s="61">
        <f t="shared" si="12"/>
        <v>1</v>
      </c>
      <c r="R46" s="61">
        <f t="shared" si="13"/>
        <v>1</v>
      </c>
      <c r="S46" s="61" cm="1">
        <f t="array" ref="S46">IF(OR(O46:R46&lt;&gt;1),0,1)</f>
        <v>1</v>
      </c>
      <c r="U46" s="64">
        <f t="shared" si="7"/>
        <v>13</v>
      </c>
      <c r="AA46" s="61">
        <f t="shared" si="6"/>
        <v>0</v>
      </c>
    </row>
    <row r="47" spans="1:27" ht="15.75" x14ac:dyDescent="0.25">
      <c r="A47" s="424">
        <f>'רקדנים ומבצעים'!A43</f>
        <v>35</v>
      </c>
      <c r="B47" s="409" t="str">
        <f>'רקדנים ומבצעים'!B43</f>
        <v>מיה שטרן ותומר שרעבי</v>
      </c>
      <c r="C47" s="575" t="s">
        <v>474</v>
      </c>
      <c r="D47" s="403">
        <v>4</v>
      </c>
      <c r="E47" s="403">
        <v>1</v>
      </c>
      <c r="F47" s="403">
        <v>0</v>
      </c>
      <c r="G47" s="403">
        <v>1</v>
      </c>
      <c r="H47" s="410">
        <f>סיווג!AB55</f>
        <v>1</v>
      </c>
      <c r="I47" s="411">
        <f t="shared" si="8"/>
        <v>2</v>
      </c>
      <c r="J47" s="436">
        <f t="shared" si="9"/>
        <v>2.9710397896503832E-3</v>
      </c>
      <c r="O47" s="61">
        <f t="shared" si="10"/>
        <v>1</v>
      </c>
      <c r="P47" s="61">
        <f t="shared" si="11"/>
        <v>1</v>
      </c>
      <c r="Q47" s="61">
        <f t="shared" si="12"/>
        <v>1</v>
      </c>
      <c r="R47" s="61">
        <f t="shared" si="13"/>
        <v>1</v>
      </c>
      <c r="S47" s="61" cm="1">
        <f t="array" ref="S47">IF(OR(O47:R47&lt;&gt;1),0,1)</f>
        <v>1</v>
      </c>
      <c r="U47" s="64">
        <f t="shared" si="7"/>
        <v>6</v>
      </c>
      <c r="AA47" s="61">
        <f t="shared" si="6"/>
        <v>0</v>
      </c>
    </row>
    <row r="48" spans="1:27" ht="15.75" x14ac:dyDescent="0.25">
      <c r="A48" s="424">
        <f>'רקדנים ומבצעים'!A44</f>
        <v>36</v>
      </c>
      <c r="B48" s="409" t="str">
        <f>'רקדנים ומבצעים'!B44</f>
        <v>מיכאל גטמן</v>
      </c>
      <c r="C48" s="575" t="s">
        <v>474</v>
      </c>
      <c r="D48" s="403">
        <v>6</v>
      </c>
      <c r="E48" s="403">
        <v>0</v>
      </c>
      <c r="F48" s="403">
        <v>0</v>
      </c>
      <c r="G48" s="403">
        <v>4</v>
      </c>
      <c r="H48" s="410">
        <f>סיווג!AB56</f>
        <v>1</v>
      </c>
      <c r="I48" s="411">
        <f t="shared" si="8"/>
        <v>6</v>
      </c>
      <c r="J48" s="436">
        <f t="shared" si="9"/>
        <v>8.9131193689511497E-3</v>
      </c>
      <c r="O48" s="61">
        <f t="shared" si="10"/>
        <v>1</v>
      </c>
      <c r="P48" s="61">
        <f t="shared" si="11"/>
        <v>1</v>
      </c>
      <c r="Q48" s="61">
        <f t="shared" si="12"/>
        <v>1</v>
      </c>
      <c r="R48" s="61">
        <f t="shared" si="13"/>
        <v>1</v>
      </c>
      <c r="S48" s="61" cm="1">
        <f t="array" ref="S48">IF(OR(O48:R48&lt;&gt;1),0,1)</f>
        <v>1</v>
      </c>
      <c r="U48" s="64">
        <f t="shared" si="7"/>
        <v>10</v>
      </c>
      <c r="AA48" s="61">
        <f t="shared" si="6"/>
        <v>0</v>
      </c>
    </row>
    <row r="49" spans="1:27" ht="15.75" x14ac:dyDescent="0.25">
      <c r="A49" s="424">
        <f>'רקדנים ומבצעים'!A45</f>
        <v>37</v>
      </c>
      <c r="B49" s="409" t="str">
        <f>'רקדנים ומבצעים'!B45</f>
        <v>מיכל הרמן</v>
      </c>
      <c r="C49" s="575" t="s">
        <v>474</v>
      </c>
      <c r="D49" s="403">
        <v>4</v>
      </c>
      <c r="E49" s="403">
        <v>1</v>
      </c>
      <c r="F49" s="403">
        <v>1</v>
      </c>
      <c r="G49" s="403">
        <v>1</v>
      </c>
      <c r="H49" s="410">
        <f>סיווג!AB57</f>
        <v>1</v>
      </c>
      <c r="I49" s="411">
        <f t="shared" si="8"/>
        <v>3</v>
      </c>
      <c r="J49" s="436">
        <f t="shared" si="9"/>
        <v>4.4565596844755749E-3</v>
      </c>
      <c r="O49" s="61">
        <f t="shared" si="10"/>
        <v>1</v>
      </c>
      <c r="P49" s="61">
        <f t="shared" si="11"/>
        <v>1</v>
      </c>
      <c r="Q49" s="61">
        <f t="shared" si="12"/>
        <v>1</v>
      </c>
      <c r="R49" s="61">
        <f t="shared" si="13"/>
        <v>1</v>
      </c>
      <c r="S49" s="61" cm="1">
        <f t="array" ref="S49">IF(OR(O49:R49&lt;&gt;1),0,1)</f>
        <v>1</v>
      </c>
      <c r="U49" s="64">
        <f t="shared" si="7"/>
        <v>7</v>
      </c>
      <c r="AA49" s="61">
        <f t="shared" si="6"/>
        <v>0</v>
      </c>
    </row>
    <row r="50" spans="1:27" ht="15.75" x14ac:dyDescent="0.25">
      <c r="A50" s="424">
        <f>'רקדנים ומבצעים'!A46</f>
        <v>38</v>
      </c>
      <c r="B50" s="409" t="str">
        <f>'רקדנים ומבצעים'!B46</f>
        <v>מירב דגן</v>
      </c>
      <c r="C50" s="575" t="s">
        <v>474</v>
      </c>
      <c r="D50" s="403">
        <v>3</v>
      </c>
      <c r="E50" s="403">
        <v>1</v>
      </c>
      <c r="F50" s="403">
        <v>2</v>
      </c>
      <c r="G50" s="403">
        <v>4</v>
      </c>
      <c r="H50" s="410">
        <f>סיווג!AB58</f>
        <v>1</v>
      </c>
      <c r="I50" s="411">
        <f t="shared" si="8"/>
        <v>8.5</v>
      </c>
      <c r="J50" s="436">
        <f t="shared" si="9"/>
        <v>1.2626919106014128E-2</v>
      </c>
      <c r="O50" s="61">
        <f t="shared" si="10"/>
        <v>1</v>
      </c>
      <c r="P50" s="61">
        <f t="shared" si="11"/>
        <v>1</v>
      </c>
      <c r="Q50" s="61">
        <f t="shared" si="12"/>
        <v>1</v>
      </c>
      <c r="R50" s="61">
        <f t="shared" si="13"/>
        <v>1</v>
      </c>
      <c r="S50" s="61" cm="1">
        <f t="array" ref="S50">IF(OR(O50:R50&lt;&gt;1),0,1)</f>
        <v>1</v>
      </c>
      <c r="U50" s="64">
        <f t="shared" si="7"/>
        <v>10</v>
      </c>
      <c r="AA50" s="61">
        <f t="shared" si="6"/>
        <v>0</v>
      </c>
    </row>
    <row r="51" spans="1:27" ht="15.75" x14ac:dyDescent="0.25">
      <c r="A51" s="424">
        <f>'רקדנים ומבצעים'!A47</f>
        <v>39</v>
      </c>
      <c r="B51" s="409" t="str">
        <f>'רקדנים ומבצעים'!B47</f>
        <v>תמר לם ודיוויד קרן</v>
      </c>
      <c r="C51" s="403" t="s">
        <v>1050</v>
      </c>
      <c r="D51" s="403">
        <v>2</v>
      </c>
      <c r="E51" s="403">
        <v>1</v>
      </c>
      <c r="F51" s="403">
        <v>1</v>
      </c>
      <c r="G51" s="403">
        <v>2</v>
      </c>
      <c r="H51" s="410">
        <f>סיווג!AB59</f>
        <v>1</v>
      </c>
      <c r="I51" s="411">
        <f t="shared" si="8"/>
        <v>4.5</v>
      </c>
      <c r="J51" s="436">
        <f t="shared" si="9"/>
        <v>6.6848395267133619E-3</v>
      </c>
      <c r="O51" s="61">
        <f t="shared" si="10"/>
        <v>1</v>
      </c>
      <c r="P51" s="61">
        <f t="shared" si="11"/>
        <v>1</v>
      </c>
      <c r="Q51" s="61">
        <f t="shared" si="12"/>
        <v>1</v>
      </c>
      <c r="R51" s="61">
        <f t="shared" si="13"/>
        <v>1</v>
      </c>
      <c r="S51" s="61" cm="1">
        <f t="array" ref="S51">IF(OR(O51:R51&lt;&gt;1),0,1)</f>
        <v>1</v>
      </c>
      <c r="U51" s="64">
        <f t="shared" si="7"/>
        <v>6</v>
      </c>
      <c r="AA51" s="61">
        <f t="shared" si="6"/>
        <v>0</v>
      </c>
    </row>
    <row r="52" spans="1:27" ht="15.75" x14ac:dyDescent="0.25">
      <c r="A52" s="424">
        <f>'רקדנים ומבצעים'!A48</f>
        <v>40</v>
      </c>
      <c r="B52" s="409" t="str">
        <f>'רקדנים ומבצעים'!B48</f>
        <v>סיגל ברגמן</v>
      </c>
      <c r="C52" s="575" t="s">
        <v>474</v>
      </c>
      <c r="D52" s="403">
        <v>8</v>
      </c>
      <c r="E52" s="403">
        <v>0</v>
      </c>
      <c r="F52" s="403">
        <v>3</v>
      </c>
      <c r="G52" s="403">
        <v>2</v>
      </c>
      <c r="H52" s="410">
        <f>סיווג!AB60</f>
        <v>1</v>
      </c>
      <c r="I52" s="411">
        <f t="shared" si="8"/>
        <v>6</v>
      </c>
      <c r="J52" s="436">
        <f t="shared" si="9"/>
        <v>8.9131193689511497E-3</v>
      </c>
      <c r="O52" s="61">
        <f t="shared" si="10"/>
        <v>1</v>
      </c>
      <c r="P52" s="61">
        <f t="shared" si="11"/>
        <v>1</v>
      </c>
      <c r="Q52" s="61">
        <f t="shared" si="12"/>
        <v>1</v>
      </c>
      <c r="R52" s="61">
        <f t="shared" si="13"/>
        <v>1</v>
      </c>
      <c r="S52" s="61" cm="1">
        <f t="array" ref="S52">IF(OR(O52:R52&lt;&gt;1),0,1)</f>
        <v>1</v>
      </c>
      <c r="U52" s="64">
        <f t="shared" si="7"/>
        <v>13</v>
      </c>
      <c r="AA52" s="61">
        <f t="shared" si="6"/>
        <v>0</v>
      </c>
    </row>
    <row r="53" spans="1:27" ht="15.75" x14ac:dyDescent="0.25">
      <c r="A53" s="424">
        <f>'רקדנים ומבצעים'!A49</f>
        <v>41</v>
      </c>
      <c r="B53" s="409" t="str">
        <f>'רקדנים ומבצעים'!B49</f>
        <v>מעין ליבמן שרון</v>
      </c>
      <c r="C53" s="403" t="s">
        <v>479</v>
      </c>
      <c r="D53" s="403">
        <v>6</v>
      </c>
      <c r="E53" s="403">
        <v>0</v>
      </c>
      <c r="F53" s="403">
        <v>5</v>
      </c>
      <c r="G53" s="403">
        <v>6</v>
      </c>
      <c r="H53" s="410">
        <f>סיווג!AB61</f>
        <v>1</v>
      </c>
      <c r="I53" s="411">
        <f t="shared" si="8"/>
        <v>14</v>
      </c>
      <c r="J53" s="436">
        <f t="shared" si="9"/>
        <v>2.0797278527552681E-2</v>
      </c>
      <c r="O53" s="61">
        <f t="shared" si="10"/>
        <v>1</v>
      </c>
      <c r="P53" s="61">
        <f t="shared" si="11"/>
        <v>1</v>
      </c>
      <c r="Q53" s="61">
        <f t="shared" si="12"/>
        <v>1</v>
      </c>
      <c r="R53" s="61">
        <f t="shared" si="13"/>
        <v>1</v>
      </c>
      <c r="S53" s="61" cm="1">
        <f t="array" ref="S53">IF(OR(O53:R53&lt;&gt;1),0,1)</f>
        <v>1</v>
      </c>
      <c r="U53" s="64">
        <f t="shared" si="7"/>
        <v>17</v>
      </c>
      <c r="AA53" s="61">
        <f t="shared" si="6"/>
        <v>0</v>
      </c>
    </row>
    <row r="54" spans="1:27" ht="15.75" x14ac:dyDescent="0.25">
      <c r="A54" s="424">
        <f>'רקדנים ומבצעים'!A50</f>
        <v>42</v>
      </c>
      <c r="B54" s="409" t="str">
        <f>'רקדנים ומבצעים'!B50</f>
        <v>אודליה קופרברג</v>
      </c>
      <c r="C54" s="575" t="s">
        <v>474</v>
      </c>
      <c r="D54" s="403">
        <v>6</v>
      </c>
      <c r="E54" s="403">
        <v>1</v>
      </c>
      <c r="F54" s="403">
        <v>0</v>
      </c>
      <c r="G54" s="403">
        <v>0</v>
      </c>
      <c r="H54" s="410">
        <f>סיווג!AB62</f>
        <v>1</v>
      </c>
      <c r="I54" s="411">
        <f t="shared" si="8"/>
        <v>0.5</v>
      </c>
      <c r="J54" s="436">
        <f t="shared" si="9"/>
        <v>7.4275994741259581E-4</v>
      </c>
      <c r="O54" s="61">
        <f t="shared" si="10"/>
        <v>1</v>
      </c>
      <c r="P54" s="61">
        <f t="shared" si="11"/>
        <v>1</v>
      </c>
      <c r="Q54" s="61">
        <f t="shared" si="12"/>
        <v>1</v>
      </c>
      <c r="R54" s="61">
        <f t="shared" si="13"/>
        <v>1</v>
      </c>
      <c r="S54" s="61" cm="1">
        <f t="array" ref="S54">IF(OR(O54:R54&lt;&gt;1),0,1)</f>
        <v>1</v>
      </c>
      <c r="U54" s="64">
        <f t="shared" si="7"/>
        <v>7</v>
      </c>
      <c r="AA54" s="61">
        <f t="shared" si="6"/>
        <v>0</v>
      </c>
    </row>
    <row r="55" spans="1:27" ht="15.75" x14ac:dyDescent="0.25">
      <c r="A55" s="424">
        <f>'רקדנים ומבצעים'!A51</f>
        <v>43</v>
      </c>
      <c r="B55" s="409" t="str">
        <f>'רקדנים ומבצעים'!B51</f>
        <v>נועה צוק</v>
      </c>
      <c r="C55" s="575" t="s">
        <v>474</v>
      </c>
      <c r="D55" s="403">
        <v>17</v>
      </c>
      <c r="E55" s="403">
        <v>1</v>
      </c>
      <c r="F55" s="403">
        <v>2</v>
      </c>
      <c r="G55" s="403">
        <v>0</v>
      </c>
      <c r="H55" s="410">
        <f>סיווג!AB63</f>
        <v>1</v>
      </c>
      <c r="I55" s="411">
        <f t="shared" si="8"/>
        <v>2.5</v>
      </c>
      <c r="J55" s="436">
        <f t="shared" si="9"/>
        <v>3.7137997370629786E-3</v>
      </c>
      <c r="O55" s="61">
        <f t="shared" si="10"/>
        <v>1</v>
      </c>
      <c r="P55" s="61">
        <f t="shared" si="11"/>
        <v>1</v>
      </c>
      <c r="Q55" s="61">
        <f t="shared" si="12"/>
        <v>1</v>
      </c>
      <c r="R55" s="61">
        <f t="shared" si="13"/>
        <v>1</v>
      </c>
      <c r="S55" s="61" cm="1">
        <f t="array" ref="S55">IF(OR(O55:R55&lt;&gt;1),0,1)</f>
        <v>1</v>
      </c>
      <c r="U55" s="64">
        <f t="shared" si="7"/>
        <v>20</v>
      </c>
      <c r="AA55" s="61">
        <f t="shared" si="6"/>
        <v>0</v>
      </c>
    </row>
    <row r="56" spans="1:27" ht="15.75" x14ac:dyDescent="0.25">
      <c r="A56" s="424">
        <f>'רקדנים ומבצעים'!A52</f>
        <v>44</v>
      </c>
      <c r="B56" s="409" t="str">
        <f>'רקדנים ומבצעים'!B52</f>
        <v>נטע פולברמכר</v>
      </c>
      <c r="C56" s="403" t="s">
        <v>479</v>
      </c>
      <c r="D56" s="403">
        <v>8</v>
      </c>
      <c r="E56" s="403">
        <v>1</v>
      </c>
      <c r="F56" s="403">
        <v>0</v>
      </c>
      <c r="G56" s="403">
        <v>4</v>
      </c>
      <c r="H56" s="410">
        <f>סיווג!AB64</f>
        <v>1</v>
      </c>
      <c r="I56" s="411">
        <f t="shared" si="8"/>
        <v>6.5</v>
      </c>
      <c r="J56" s="436">
        <f t="shared" si="9"/>
        <v>9.6558793163637451E-3</v>
      </c>
      <c r="O56" s="61">
        <f t="shared" si="10"/>
        <v>1</v>
      </c>
      <c r="P56" s="61">
        <f t="shared" si="11"/>
        <v>1</v>
      </c>
      <c r="Q56" s="61">
        <f t="shared" si="12"/>
        <v>1</v>
      </c>
      <c r="R56" s="61">
        <f t="shared" si="13"/>
        <v>1</v>
      </c>
      <c r="S56" s="61" cm="1">
        <f t="array" ref="S56">IF(OR(O56:R56&lt;&gt;1),0,1)</f>
        <v>1</v>
      </c>
      <c r="U56" s="64">
        <f t="shared" si="7"/>
        <v>13</v>
      </c>
      <c r="AA56" s="61">
        <f t="shared" si="6"/>
        <v>0</v>
      </c>
    </row>
    <row r="57" spans="1:27" ht="15.75" x14ac:dyDescent="0.25">
      <c r="A57" s="424">
        <f>'רקדנים ומבצעים'!A53</f>
        <v>45</v>
      </c>
      <c r="B57" s="409" t="str">
        <f>'רקדנים ומבצעים'!B53</f>
        <v>ניב שינפלד ואורן לאור</v>
      </c>
      <c r="C57" s="403" t="s">
        <v>474</v>
      </c>
      <c r="D57" s="403">
        <v>41</v>
      </c>
      <c r="E57" s="403">
        <v>1</v>
      </c>
      <c r="F57" s="403">
        <v>4</v>
      </c>
      <c r="G57" s="403">
        <v>3</v>
      </c>
      <c r="H57" s="410">
        <f>סיווג!AB65</f>
        <v>1</v>
      </c>
      <c r="I57" s="411">
        <f t="shared" si="8"/>
        <v>9</v>
      </c>
      <c r="J57" s="436">
        <f t="shared" si="9"/>
        <v>1.3369679053426724E-2</v>
      </c>
      <c r="O57" s="61">
        <f t="shared" si="10"/>
        <v>1</v>
      </c>
      <c r="P57" s="61">
        <f t="shared" si="11"/>
        <v>1</v>
      </c>
      <c r="Q57" s="61">
        <f t="shared" si="12"/>
        <v>1</v>
      </c>
      <c r="R57" s="61">
        <f t="shared" si="13"/>
        <v>1</v>
      </c>
      <c r="S57" s="61" cm="1">
        <f t="array" ref="S57">IF(OR(O57:R57&lt;&gt;1),0,1)</f>
        <v>1</v>
      </c>
      <c r="U57" s="64">
        <f t="shared" si="7"/>
        <v>49</v>
      </c>
      <c r="AA57" s="61">
        <f t="shared" si="6"/>
        <v>0</v>
      </c>
    </row>
    <row r="58" spans="1:27" ht="15.75" x14ac:dyDescent="0.25">
      <c r="A58" s="424">
        <f>'רקדנים ומבצעים'!A54</f>
        <v>46</v>
      </c>
      <c r="B58" s="409" t="str">
        <f>'רקדנים ומבצעים'!B54</f>
        <v>נימה יעקובי</v>
      </c>
      <c r="C58" s="403" t="s">
        <v>474</v>
      </c>
      <c r="D58" s="403">
        <v>12</v>
      </c>
      <c r="E58" s="403">
        <v>36</v>
      </c>
      <c r="F58" s="403">
        <v>14</v>
      </c>
      <c r="G58" s="403">
        <v>11</v>
      </c>
      <c r="H58" s="410">
        <f>סיווג!AB66</f>
        <v>1</v>
      </c>
      <c r="I58" s="411">
        <f t="shared" si="8"/>
        <v>48.5</v>
      </c>
      <c r="J58" s="436">
        <f t="shared" si="9"/>
        <v>7.2047714899021786E-2</v>
      </c>
      <c r="O58" s="61">
        <f t="shared" si="10"/>
        <v>1</v>
      </c>
      <c r="P58" s="61">
        <f t="shared" si="11"/>
        <v>1</v>
      </c>
      <c r="Q58" s="61">
        <f t="shared" si="12"/>
        <v>1</v>
      </c>
      <c r="R58" s="61">
        <f t="shared" si="13"/>
        <v>1</v>
      </c>
      <c r="S58" s="61" cm="1">
        <f t="array" ref="S58">IF(OR(O58:R58&lt;&gt;1),0,1)</f>
        <v>1</v>
      </c>
      <c r="U58" s="64">
        <f t="shared" si="7"/>
        <v>73</v>
      </c>
      <c r="AA58" s="61">
        <f t="shared" si="6"/>
        <v>0</v>
      </c>
    </row>
    <row r="59" spans="1:27" ht="15.75" x14ac:dyDescent="0.25">
      <c r="A59" s="424">
        <f>'רקדנים ומבצעים'!A55</f>
        <v>47</v>
      </c>
      <c r="B59" s="409" t="str">
        <f>'רקדנים ומבצעים'!B55</f>
        <v>נמרוד פריד</v>
      </c>
      <c r="C59" s="403" t="s">
        <v>474</v>
      </c>
      <c r="D59" s="403">
        <v>5</v>
      </c>
      <c r="E59" s="403">
        <v>1</v>
      </c>
      <c r="F59" s="403">
        <v>1</v>
      </c>
      <c r="G59" s="403">
        <v>1</v>
      </c>
      <c r="H59" s="410">
        <f>סיווג!AB67</f>
        <v>1</v>
      </c>
      <c r="I59" s="411">
        <f t="shared" si="8"/>
        <v>3</v>
      </c>
      <c r="J59" s="436">
        <f t="shared" si="9"/>
        <v>4.4565596844755749E-3</v>
      </c>
      <c r="O59" s="61">
        <f t="shared" si="10"/>
        <v>1</v>
      </c>
      <c r="P59" s="61">
        <f t="shared" si="11"/>
        <v>1</v>
      </c>
      <c r="Q59" s="61">
        <f t="shared" si="12"/>
        <v>1</v>
      </c>
      <c r="R59" s="61">
        <f t="shared" si="13"/>
        <v>1</v>
      </c>
      <c r="S59" s="61" cm="1">
        <f t="array" ref="S59">IF(OR(O59:R59&lt;&gt;1),0,1)</f>
        <v>1</v>
      </c>
      <c r="U59" s="64">
        <f t="shared" si="7"/>
        <v>8</v>
      </c>
      <c r="AA59" s="61">
        <f t="shared" si="6"/>
        <v>0</v>
      </c>
    </row>
    <row r="60" spans="1:27" ht="15.75" x14ac:dyDescent="0.25">
      <c r="A60" s="424">
        <f>'רקדנים ומבצעים'!A56</f>
        <v>48</v>
      </c>
      <c r="B60" s="409" t="str">
        <f>'רקדנים ומבצעים'!B56</f>
        <v>נעה דר</v>
      </c>
      <c r="C60" s="403" t="s">
        <v>474</v>
      </c>
      <c r="D60" s="403">
        <v>8</v>
      </c>
      <c r="E60" s="403">
        <v>1</v>
      </c>
      <c r="F60" s="403">
        <v>2</v>
      </c>
      <c r="G60" s="403">
        <v>2</v>
      </c>
      <c r="H60" s="410">
        <f>סיווג!AB68</f>
        <v>1</v>
      </c>
      <c r="I60" s="411">
        <f t="shared" si="8"/>
        <v>5.5</v>
      </c>
      <c r="J60" s="436">
        <f t="shared" si="9"/>
        <v>8.1703594215385526E-3</v>
      </c>
      <c r="O60" s="61">
        <f t="shared" si="10"/>
        <v>1</v>
      </c>
      <c r="P60" s="61">
        <f t="shared" si="11"/>
        <v>1</v>
      </c>
      <c r="Q60" s="61">
        <f t="shared" si="12"/>
        <v>1</v>
      </c>
      <c r="R60" s="61">
        <f t="shared" si="13"/>
        <v>1</v>
      </c>
      <c r="S60" s="61" cm="1">
        <f t="array" ref="S60">IF(OR(O60:R60&lt;&gt;1),0,1)</f>
        <v>1</v>
      </c>
      <c r="U60" s="64">
        <f t="shared" si="7"/>
        <v>13</v>
      </c>
      <c r="AA60" s="61">
        <f t="shared" si="6"/>
        <v>0</v>
      </c>
    </row>
    <row r="61" spans="1:27" ht="15.75" x14ac:dyDescent="0.25">
      <c r="A61" s="424">
        <f>'רקדנים ומבצעים'!A57</f>
        <v>49</v>
      </c>
      <c r="B61" s="409" t="str">
        <f>'רקדנים ומבצעים'!B57</f>
        <v>נעה שדור</v>
      </c>
      <c r="C61" s="403" t="s">
        <v>474</v>
      </c>
      <c r="D61" s="403">
        <v>14</v>
      </c>
      <c r="E61" s="403">
        <v>0</v>
      </c>
      <c r="F61" s="403">
        <v>0</v>
      </c>
      <c r="G61" s="403">
        <v>0</v>
      </c>
      <c r="H61" s="410">
        <f>סיווג!AB69</f>
        <v>1</v>
      </c>
      <c r="I61" s="411">
        <f t="shared" si="8"/>
        <v>0</v>
      </c>
      <c r="J61" s="436">
        <f t="shared" si="9"/>
        <v>0</v>
      </c>
      <c r="O61" s="61">
        <f t="shared" si="10"/>
        <v>1</v>
      </c>
      <c r="P61" s="61">
        <f t="shared" si="11"/>
        <v>1</v>
      </c>
      <c r="Q61" s="61">
        <f t="shared" si="12"/>
        <v>1</v>
      </c>
      <c r="R61" s="61">
        <f t="shared" si="13"/>
        <v>1</v>
      </c>
      <c r="S61" s="61" cm="1">
        <f t="array" ref="S61">IF(OR(O61:R61&lt;&gt;1),0,1)</f>
        <v>1</v>
      </c>
      <c r="U61" s="64">
        <f t="shared" si="7"/>
        <v>14</v>
      </c>
      <c r="AA61" s="61">
        <f t="shared" si="6"/>
        <v>0</v>
      </c>
    </row>
    <row r="62" spans="1:27" ht="15.75" x14ac:dyDescent="0.25">
      <c r="A62" s="424">
        <f>'רקדנים ומבצעים'!A58</f>
        <v>50</v>
      </c>
      <c r="B62" s="409" t="str">
        <f>'רקדנים ומבצעים'!B58</f>
        <v>סאלי אן פרילנד</v>
      </c>
      <c r="C62" s="403" t="s">
        <v>474</v>
      </c>
      <c r="D62" s="403">
        <v>9</v>
      </c>
      <c r="E62" s="403">
        <v>0</v>
      </c>
      <c r="F62" s="403">
        <v>1</v>
      </c>
      <c r="G62" s="403">
        <v>0</v>
      </c>
      <c r="H62" s="410">
        <f>סיווג!AB70</f>
        <v>1</v>
      </c>
      <c r="I62" s="411">
        <f t="shared" si="8"/>
        <v>1</v>
      </c>
      <c r="J62" s="436">
        <f t="shared" si="9"/>
        <v>1.4855198948251916E-3</v>
      </c>
      <c r="O62" s="61">
        <f t="shared" si="10"/>
        <v>1</v>
      </c>
      <c r="P62" s="61">
        <f t="shared" si="11"/>
        <v>1</v>
      </c>
      <c r="Q62" s="61">
        <f t="shared" si="12"/>
        <v>1</v>
      </c>
      <c r="R62" s="61">
        <f t="shared" si="13"/>
        <v>1</v>
      </c>
      <c r="S62" s="61" cm="1">
        <f t="array" ref="S62">IF(OR(O62:R62&lt;&gt;1),0,1)</f>
        <v>1</v>
      </c>
      <c r="U62" s="64">
        <f t="shared" si="7"/>
        <v>10</v>
      </c>
      <c r="AA62" s="61">
        <f t="shared" si="6"/>
        <v>0</v>
      </c>
    </row>
    <row r="63" spans="1:27" ht="15.75" x14ac:dyDescent="0.25">
      <c r="A63" s="424">
        <f>'רקדנים ומבצעים'!A59</f>
        <v>51</v>
      </c>
      <c r="B63" s="409" t="str">
        <f>'רקדנים ומבצעים'!B59</f>
        <v>סהר עזימי</v>
      </c>
      <c r="C63" s="403" t="s">
        <v>474</v>
      </c>
      <c r="D63" s="403">
        <v>11</v>
      </c>
      <c r="E63" s="403">
        <v>0</v>
      </c>
      <c r="F63" s="403">
        <v>1</v>
      </c>
      <c r="G63" s="403">
        <v>1</v>
      </c>
      <c r="H63" s="410">
        <f>סיווג!AB71</f>
        <v>1</v>
      </c>
      <c r="I63" s="411">
        <f t="shared" si="8"/>
        <v>2.5</v>
      </c>
      <c r="J63" s="436">
        <f t="shared" si="9"/>
        <v>3.7137997370629786E-3</v>
      </c>
      <c r="O63" s="61">
        <f t="shared" si="10"/>
        <v>1</v>
      </c>
      <c r="P63" s="61">
        <f t="shared" si="11"/>
        <v>1</v>
      </c>
      <c r="Q63" s="61">
        <f t="shared" si="12"/>
        <v>1</v>
      </c>
      <c r="R63" s="61">
        <f t="shared" si="13"/>
        <v>1</v>
      </c>
      <c r="S63" s="61" cm="1">
        <f t="array" ref="S63">IF(OR(O63:R63&lt;&gt;1),0,1)</f>
        <v>1</v>
      </c>
      <c r="U63" s="64">
        <f t="shared" si="7"/>
        <v>13</v>
      </c>
      <c r="AA63" s="61">
        <f t="shared" si="6"/>
        <v>0</v>
      </c>
    </row>
    <row r="64" spans="1:27" ht="15.75" x14ac:dyDescent="0.25">
      <c r="A64" s="424">
        <f>'רקדנים ומבצעים'!A60</f>
        <v>52</v>
      </c>
      <c r="B64" s="409" t="str">
        <f>'רקדנים ומבצעים'!B60</f>
        <v>עדו פדר</v>
      </c>
      <c r="C64" s="403" t="s">
        <v>474</v>
      </c>
      <c r="D64" s="403">
        <v>9</v>
      </c>
      <c r="E64" s="403">
        <v>0</v>
      </c>
      <c r="F64" s="403">
        <v>0</v>
      </c>
      <c r="G64" s="403">
        <v>1</v>
      </c>
      <c r="H64" s="410">
        <f>סיווג!AB72</f>
        <v>1</v>
      </c>
      <c r="I64" s="411">
        <f t="shared" si="8"/>
        <v>1.5</v>
      </c>
      <c r="J64" s="436">
        <f t="shared" si="9"/>
        <v>2.2282798422377874E-3</v>
      </c>
      <c r="O64" s="61">
        <f t="shared" si="10"/>
        <v>1</v>
      </c>
      <c r="P64" s="61">
        <f t="shared" si="11"/>
        <v>1</v>
      </c>
      <c r="Q64" s="61">
        <f t="shared" si="12"/>
        <v>1</v>
      </c>
      <c r="R64" s="61">
        <f t="shared" si="13"/>
        <v>1</v>
      </c>
      <c r="S64" s="61" cm="1">
        <f t="array" ref="S64">IF(OR(O64:R64&lt;&gt;1),0,1)</f>
        <v>1</v>
      </c>
      <c r="U64" s="64">
        <f t="shared" si="7"/>
        <v>10</v>
      </c>
      <c r="AA64" s="61">
        <f t="shared" si="6"/>
        <v>0</v>
      </c>
    </row>
    <row r="65" spans="1:27" ht="15.75" x14ac:dyDescent="0.25">
      <c r="A65" s="424">
        <f>'רקדנים ומבצעים'!A61</f>
        <v>53</v>
      </c>
      <c r="B65" s="409" t="str">
        <f>'רקדנים ומבצעים'!B61</f>
        <v>עודד רונן</v>
      </c>
      <c r="C65" s="403" t="s">
        <v>474</v>
      </c>
      <c r="D65" s="403">
        <v>4</v>
      </c>
      <c r="E65" s="403">
        <v>1</v>
      </c>
      <c r="F65" s="403">
        <v>1</v>
      </c>
      <c r="G65" s="403">
        <v>0</v>
      </c>
      <c r="H65" s="410">
        <f>סיווג!AB73</f>
        <v>1</v>
      </c>
      <c r="I65" s="411">
        <f t="shared" si="8"/>
        <v>1.5</v>
      </c>
      <c r="J65" s="436">
        <f t="shared" si="9"/>
        <v>2.2282798422377874E-3</v>
      </c>
      <c r="O65" s="61">
        <f t="shared" si="10"/>
        <v>1</v>
      </c>
      <c r="P65" s="61">
        <f t="shared" si="11"/>
        <v>1</v>
      </c>
      <c r="Q65" s="61">
        <f t="shared" si="12"/>
        <v>1</v>
      </c>
      <c r="R65" s="61">
        <f t="shared" si="13"/>
        <v>1</v>
      </c>
      <c r="S65" s="61" cm="1">
        <f t="array" ref="S65">IF(OR(O65:R65&lt;&gt;1),0,1)</f>
        <v>1</v>
      </c>
      <c r="U65" s="64">
        <f t="shared" si="7"/>
        <v>6</v>
      </c>
      <c r="AA65" s="61">
        <f t="shared" si="6"/>
        <v>0</v>
      </c>
    </row>
    <row r="66" spans="1:27" ht="15.75" x14ac:dyDescent="0.25">
      <c r="A66" s="424">
        <f>'רקדנים ומבצעים'!A62</f>
        <v>54</v>
      </c>
      <c r="B66" s="409" t="str">
        <f>'רקדנים ומבצעים'!B62</f>
        <v>עידן כהן</v>
      </c>
      <c r="C66" s="403" t="s">
        <v>474</v>
      </c>
      <c r="D66" s="403">
        <v>4</v>
      </c>
      <c r="E66" s="403">
        <v>0</v>
      </c>
      <c r="F66" s="403">
        <v>0</v>
      </c>
      <c r="G66" s="403">
        <v>3</v>
      </c>
      <c r="H66" s="410">
        <f>סיווג!AB74</f>
        <v>1</v>
      </c>
      <c r="I66" s="411">
        <f t="shared" si="8"/>
        <v>4.5</v>
      </c>
      <c r="J66" s="436">
        <f t="shared" si="9"/>
        <v>6.6848395267133619E-3</v>
      </c>
      <c r="O66" s="61">
        <f t="shared" si="10"/>
        <v>1</v>
      </c>
      <c r="P66" s="61">
        <f t="shared" si="11"/>
        <v>1</v>
      </c>
      <c r="Q66" s="61">
        <f t="shared" si="12"/>
        <v>1</v>
      </c>
      <c r="R66" s="61">
        <f t="shared" si="13"/>
        <v>1</v>
      </c>
      <c r="S66" s="61" cm="1">
        <f t="array" ref="S66">IF(OR(O66:R66&lt;&gt;1),0,1)</f>
        <v>1</v>
      </c>
      <c r="U66" s="64">
        <f t="shared" si="7"/>
        <v>7</v>
      </c>
      <c r="AA66" s="61">
        <f t="shared" si="6"/>
        <v>0</v>
      </c>
    </row>
    <row r="67" spans="1:27" ht="15.75" x14ac:dyDescent="0.25">
      <c r="A67" s="424">
        <f>'רקדנים ומבצעים'!A63</f>
        <v>55</v>
      </c>
      <c r="B67" s="409" t="str">
        <f>'רקדנים ומבצעים'!B63</f>
        <v>עידן שרעבי</v>
      </c>
      <c r="C67" s="403" t="s">
        <v>474</v>
      </c>
      <c r="D67" s="403">
        <v>7</v>
      </c>
      <c r="E67" s="403">
        <v>1</v>
      </c>
      <c r="F67" s="403">
        <v>0</v>
      </c>
      <c r="G67" s="403">
        <v>4</v>
      </c>
      <c r="H67" s="410">
        <f>סיווג!AB75</f>
        <v>1</v>
      </c>
      <c r="I67" s="411">
        <f t="shared" si="8"/>
        <v>6.5</v>
      </c>
      <c r="J67" s="436">
        <f t="shared" si="9"/>
        <v>9.6558793163637451E-3</v>
      </c>
      <c r="O67" s="61">
        <f t="shared" si="10"/>
        <v>1</v>
      </c>
      <c r="P67" s="61">
        <f t="shared" si="11"/>
        <v>1</v>
      </c>
      <c r="Q67" s="61">
        <f t="shared" si="12"/>
        <v>1</v>
      </c>
      <c r="R67" s="61">
        <f t="shared" si="13"/>
        <v>1</v>
      </c>
      <c r="S67" s="61" cm="1">
        <f t="array" ref="S67">IF(OR(O67:R67&lt;&gt;1),0,1)</f>
        <v>1</v>
      </c>
      <c r="U67" s="64">
        <f t="shared" si="7"/>
        <v>12</v>
      </c>
      <c r="AA67" s="61">
        <f t="shared" si="6"/>
        <v>0</v>
      </c>
    </row>
    <row r="68" spans="1:27" ht="15.75" x14ac:dyDescent="0.25">
      <c r="A68" s="424">
        <f>'רקדנים ומבצעים'!A64</f>
        <v>56</v>
      </c>
      <c r="B68" s="409" t="str">
        <f>'רקדנים ומבצעים'!B64</f>
        <v>ענת גריגוריו</v>
      </c>
      <c r="C68" s="403" t="s">
        <v>474</v>
      </c>
      <c r="D68" s="403">
        <v>9</v>
      </c>
      <c r="E68" s="403">
        <v>1</v>
      </c>
      <c r="F68" s="403">
        <v>0</v>
      </c>
      <c r="G68" s="403">
        <v>2</v>
      </c>
      <c r="H68" s="410">
        <f>סיווג!AB76</f>
        <v>1</v>
      </c>
      <c r="I68" s="411">
        <f t="shared" si="8"/>
        <v>3.5</v>
      </c>
      <c r="J68" s="436">
        <f t="shared" si="9"/>
        <v>5.1993196318881702E-3</v>
      </c>
      <c r="O68" s="61">
        <f t="shared" si="10"/>
        <v>1</v>
      </c>
      <c r="P68" s="61">
        <f t="shared" si="11"/>
        <v>1</v>
      </c>
      <c r="Q68" s="61">
        <f t="shared" si="12"/>
        <v>1</v>
      </c>
      <c r="R68" s="61">
        <f t="shared" si="13"/>
        <v>1</v>
      </c>
      <c r="S68" s="61" cm="1">
        <f t="array" ref="S68">IF(OR(O68:R68&lt;&gt;1),0,1)</f>
        <v>1</v>
      </c>
      <c r="U68" s="64">
        <f t="shared" si="7"/>
        <v>12</v>
      </c>
      <c r="AA68" s="61">
        <f t="shared" si="6"/>
        <v>0</v>
      </c>
    </row>
    <row r="69" spans="1:27" ht="15.75" x14ac:dyDescent="0.25">
      <c r="A69" s="424">
        <f>'רקדנים ומבצעים'!A65</f>
        <v>57</v>
      </c>
      <c r="B69" s="409" t="str">
        <f>'רקדנים ומבצעים'!B65</f>
        <v>ענת דניאלי</v>
      </c>
      <c r="C69" s="403" t="s">
        <v>474</v>
      </c>
      <c r="D69" s="403">
        <v>6</v>
      </c>
      <c r="E69" s="412">
        <v>0</v>
      </c>
      <c r="F69" s="403">
        <v>1</v>
      </c>
      <c r="G69" s="403">
        <v>6</v>
      </c>
      <c r="H69" s="410">
        <f>סיווג!AB77</f>
        <v>1</v>
      </c>
      <c r="I69" s="411">
        <f t="shared" si="8"/>
        <v>10</v>
      </c>
      <c r="J69" s="436">
        <f t="shared" si="9"/>
        <v>1.4855198948251915E-2</v>
      </c>
      <c r="O69" s="61">
        <f t="shared" si="10"/>
        <v>1</v>
      </c>
      <c r="P69" s="61">
        <f t="shared" si="11"/>
        <v>1</v>
      </c>
      <c r="Q69" s="61">
        <f t="shared" si="12"/>
        <v>1</v>
      </c>
      <c r="R69" s="61">
        <f t="shared" si="13"/>
        <v>1</v>
      </c>
      <c r="S69" s="61" cm="1">
        <f t="array" ref="S69">IF(OR(O69:R69&lt;&gt;1),0,1)</f>
        <v>1</v>
      </c>
      <c r="U69" s="64">
        <f t="shared" si="7"/>
        <v>13</v>
      </c>
      <c r="AA69" s="61">
        <f t="shared" si="6"/>
        <v>0</v>
      </c>
    </row>
    <row r="70" spans="1:27" ht="15.75" x14ac:dyDescent="0.25">
      <c r="A70" s="424">
        <f>'רקדנים ומבצעים'!A66</f>
        <v>58</v>
      </c>
      <c r="B70" s="409" t="str">
        <f>'רקדנים ומבצעים'!B66</f>
        <v>ענת כץ וארז מעיין</v>
      </c>
      <c r="C70" s="403" t="s">
        <v>474</v>
      </c>
      <c r="D70" s="403">
        <v>16</v>
      </c>
      <c r="E70" s="403">
        <v>0</v>
      </c>
      <c r="F70" s="403">
        <v>2</v>
      </c>
      <c r="G70" s="403">
        <v>0</v>
      </c>
      <c r="H70" s="410">
        <f>סיווג!AB78</f>
        <v>1</v>
      </c>
      <c r="I70" s="411">
        <f t="shared" si="8"/>
        <v>2</v>
      </c>
      <c r="J70" s="436">
        <f t="shared" si="9"/>
        <v>2.9710397896503832E-3</v>
      </c>
      <c r="O70" s="61">
        <f t="shared" si="10"/>
        <v>1</v>
      </c>
      <c r="P70" s="61">
        <f t="shared" si="11"/>
        <v>1</v>
      </c>
      <c r="Q70" s="61">
        <f t="shared" si="12"/>
        <v>1</v>
      </c>
      <c r="R70" s="61">
        <f t="shared" si="13"/>
        <v>1</v>
      </c>
      <c r="S70" s="61" cm="1">
        <f t="array" ref="S70">IF(OR(O70:R70&lt;&gt;1),0,1)</f>
        <v>1</v>
      </c>
      <c r="U70" s="64">
        <f t="shared" si="7"/>
        <v>18</v>
      </c>
      <c r="AA70" s="61">
        <f t="shared" si="6"/>
        <v>0</v>
      </c>
    </row>
    <row r="71" spans="1:27" ht="15.75" x14ac:dyDescent="0.25">
      <c r="A71" s="424">
        <f>'רקדנים ומבצעים'!A67</f>
        <v>59</v>
      </c>
      <c r="B71" s="409" t="str">
        <f>'רקדנים ומבצעים'!B67</f>
        <v>ענת שמגר</v>
      </c>
      <c r="C71" s="403" t="s">
        <v>479</v>
      </c>
      <c r="D71" s="403">
        <v>1</v>
      </c>
      <c r="E71" s="403">
        <v>0</v>
      </c>
      <c r="F71" s="403">
        <v>10</v>
      </c>
      <c r="G71" s="403">
        <v>2</v>
      </c>
      <c r="H71" s="410">
        <f>סיווג!AB79</f>
        <v>1</v>
      </c>
      <c r="I71" s="411">
        <f t="shared" si="8"/>
        <v>13</v>
      </c>
      <c r="J71" s="436">
        <f t="shared" si="9"/>
        <v>1.931175863272749E-2</v>
      </c>
      <c r="O71" s="61">
        <f t="shared" si="10"/>
        <v>1</v>
      </c>
      <c r="P71" s="61">
        <f t="shared" si="11"/>
        <v>1</v>
      </c>
      <c r="Q71" s="61">
        <f t="shared" si="12"/>
        <v>1</v>
      </c>
      <c r="R71" s="61">
        <f t="shared" si="13"/>
        <v>1</v>
      </c>
      <c r="S71" s="61" cm="1">
        <f t="array" ref="S71">IF(OR(O71:R71&lt;&gt;1),0,1)</f>
        <v>1</v>
      </c>
      <c r="U71" s="64">
        <f t="shared" si="7"/>
        <v>13</v>
      </c>
      <c r="AA71" s="61">
        <f t="shared" si="6"/>
        <v>0</v>
      </c>
    </row>
    <row r="72" spans="1:27" ht="15.75" x14ac:dyDescent="0.25">
      <c r="A72" s="424">
        <f>'רקדנים ומבצעים'!A68</f>
        <v>60</v>
      </c>
      <c r="B72" s="409" t="str">
        <f>'רקדנים ומבצעים'!B68</f>
        <v>ק.ט.מ.ו.ן קבוצת מחול בירושלים</v>
      </c>
      <c r="C72" s="403" t="s">
        <v>479</v>
      </c>
      <c r="D72" s="403">
        <v>12</v>
      </c>
      <c r="E72" s="403">
        <v>0</v>
      </c>
      <c r="F72" s="403">
        <v>0</v>
      </c>
      <c r="G72" s="403">
        <v>0</v>
      </c>
      <c r="H72" s="410">
        <f>סיווג!AB80</f>
        <v>1</v>
      </c>
      <c r="I72" s="411">
        <f t="shared" si="8"/>
        <v>0</v>
      </c>
      <c r="J72" s="436">
        <f t="shared" si="9"/>
        <v>0</v>
      </c>
      <c r="O72" s="61">
        <f t="shared" si="10"/>
        <v>1</v>
      </c>
      <c r="P72" s="61">
        <f t="shared" si="11"/>
        <v>1</v>
      </c>
      <c r="Q72" s="61">
        <f t="shared" si="12"/>
        <v>1</v>
      </c>
      <c r="R72" s="61">
        <f t="shared" si="13"/>
        <v>1</v>
      </c>
      <c r="S72" s="61" cm="1">
        <f t="array" ref="S72">IF(OR(O72:R72&lt;&gt;1),0,1)</f>
        <v>1</v>
      </c>
      <c r="U72" s="64">
        <f t="shared" si="7"/>
        <v>12</v>
      </c>
      <c r="AA72" s="61">
        <f t="shared" si="6"/>
        <v>0</v>
      </c>
    </row>
    <row r="73" spans="1:27" ht="15.75" x14ac:dyDescent="0.25">
      <c r="A73" s="424">
        <f>'רקדנים ומבצעים'!A69</f>
        <v>61</v>
      </c>
      <c r="B73" s="409" t="str">
        <f>'רקדנים ומבצעים'!B69</f>
        <v>רונית זיו</v>
      </c>
      <c r="C73" s="403" t="s">
        <v>474</v>
      </c>
      <c r="D73" s="403">
        <v>3</v>
      </c>
      <c r="E73" s="403">
        <v>1</v>
      </c>
      <c r="F73" s="403">
        <v>3</v>
      </c>
      <c r="G73" s="403">
        <v>8</v>
      </c>
      <c r="H73" s="410">
        <f>סיווג!AB81</f>
        <v>1</v>
      </c>
      <c r="I73" s="411">
        <f t="shared" si="8"/>
        <v>15.5</v>
      </c>
      <c r="J73" s="436">
        <f t="shared" si="9"/>
        <v>2.3025558369790467E-2</v>
      </c>
      <c r="O73" s="61">
        <f t="shared" si="10"/>
        <v>1</v>
      </c>
      <c r="P73" s="61">
        <f t="shared" si="11"/>
        <v>1</v>
      </c>
      <c r="Q73" s="61">
        <f t="shared" si="12"/>
        <v>1</v>
      </c>
      <c r="R73" s="61">
        <f t="shared" si="13"/>
        <v>1</v>
      </c>
      <c r="S73" s="61" cm="1">
        <f t="array" ref="S73">IF(OR(O73:R73&lt;&gt;1),0,1)</f>
        <v>1</v>
      </c>
      <c r="U73" s="64">
        <f t="shared" si="7"/>
        <v>15</v>
      </c>
      <c r="AA73" s="61">
        <f t="shared" si="6"/>
        <v>0</v>
      </c>
    </row>
    <row r="74" spans="1:27" ht="15.75" x14ac:dyDescent="0.25">
      <c r="A74" s="424">
        <f>'רקדנים ומבצעים'!A70</f>
        <v>62</v>
      </c>
      <c r="B74" s="409" t="str">
        <f>'רקדנים ומבצעים'!B70</f>
        <v>טלי זבילביץ</v>
      </c>
      <c r="C74" s="403" t="s">
        <v>474</v>
      </c>
      <c r="D74" s="403">
        <v>7</v>
      </c>
      <c r="E74" s="403">
        <v>0</v>
      </c>
      <c r="F74" s="403">
        <v>0</v>
      </c>
      <c r="G74" s="403">
        <v>0</v>
      </c>
      <c r="H74" s="410">
        <f>סיווג!AB82</f>
        <v>1</v>
      </c>
      <c r="I74" s="411">
        <f t="shared" si="8"/>
        <v>0</v>
      </c>
      <c r="J74" s="436">
        <f t="shared" si="9"/>
        <v>0</v>
      </c>
      <c r="O74" s="61">
        <f t="shared" si="10"/>
        <v>1</v>
      </c>
      <c r="P74" s="61">
        <f t="shared" si="11"/>
        <v>1</v>
      </c>
      <c r="Q74" s="61">
        <f t="shared" si="12"/>
        <v>1</v>
      </c>
      <c r="R74" s="61">
        <f t="shared" si="13"/>
        <v>1</v>
      </c>
      <c r="S74" s="61" cm="1">
        <f t="array" ref="S74">IF(OR(O74:R74&lt;&gt;1),0,1)</f>
        <v>1</v>
      </c>
      <c r="U74" s="64">
        <f t="shared" si="7"/>
        <v>7</v>
      </c>
      <c r="AA74" s="61">
        <f t="shared" si="6"/>
        <v>0</v>
      </c>
    </row>
    <row r="75" spans="1:27" ht="15.75" x14ac:dyDescent="0.25">
      <c r="A75" s="424">
        <f>'רקדנים ומבצעים'!A71</f>
        <v>63</v>
      </c>
      <c r="B75" s="409" t="str">
        <f>'רקדנים ומבצעים'!B71</f>
        <v>רייצ'ל ארדוס</v>
      </c>
      <c r="C75" s="403" t="s">
        <v>474</v>
      </c>
      <c r="D75" s="403">
        <v>11</v>
      </c>
      <c r="E75" s="403">
        <v>0</v>
      </c>
      <c r="F75" s="403">
        <v>5</v>
      </c>
      <c r="G75" s="403">
        <v>5</v>
      </c>
      <c r="H75" s="410">
        <f>סיווג!AB83</f>
        <v>1</v>
      </c>
      <c r="I75" s="411">
        <f t="shared" si="8"/>
        <v>12.5</v>
      </c>
      <c r="J75" s="436">
        <f t="shared" si="9"/>
        <v>1.8568998685314895E-2</v>
      </c>
      <c r="O75" s="61">
        <f t="shared" si="10"/>
        <v>1</v>
      </c>
      <c r="P75" s="61">
        <f t="shared" si="11"/>
        <v>1</v>
      </c>
      <c r="Q75" s="61">
        <f t="shared" si="12"/>
        <v>1</v>
      </c>
      <c r="R75" s="61">
        <f t="shared" si="13"/>
        <v>1</v>
      </c>
      <c r="S75" s="61" cm="1">
        <f t="array" ref="S75">IF(OR(O75:R75&lt;&gt;1),0,1)</f>
        <v>1</v>
      </c>
      <c r="U75" s="64">
        <f t="shared" si="7"/>
        <v>21</v>
      </c>
      <c r="AA75" s="61">
        <f t="shared" si="6"/>
        <v>0</v>
      </c>
    </row>
    <row r="76" spans="1:27" ht="15.75" x14ac:dyDescent="0.25">
      <c r="A76" s="424">
        <f>'רקדנים ומבצעים'!A72</f>
        <v>64</v>
      </c>
      <c r="B76" s="409" t="str">
        <f>'רקדנים ומבצעים'!B72</f>
        <v>שירה אביתר</v>
      </c>
      <c r="C76" s="403" t="s">
        <v>474</v>
      </c>
      <c r="D76" s="263">
        <v>6</v>
      </c>
      <c r="E76" s="263">
        <v>1</v>
      </c>
      <c r="F76" s="263">
        <v>1</v>
      </c>
      <c r="G76" s="263">
        <v>2</v>
      </c>
      <c r="H76" s="410">
        <f>סיווג!AB84</f>
        <v>1</v>
      </c>
      <c r="I76" s="411">
        <f t="shared" si="8"/>
        <v>4.5</v>
      </c>
      <c r="J76" s="436">
        <f t="shared" si="9"/>
        <v>6.6848395267133619E-3</v>
      </c>
      <c r="O76" s="61">
        <f t="shared" si="10"/>
        <v>1</v>
      </c>
      <c r="P76" s="61">
        <f t="shared" si="11"/>
        <v>1</v>
      </c>
      <c r="Q76" s="61">
        <f t="shared" si="12"/>
        <v>1</v>
      </c>
      <c r="R76" s="61">
        <f t="shared" si="13"/>
        <v>1</v>
      </c>
      <c r="S76" s="61" cm="1">
        <f t="array" ref="S76">IF(OR(O76:R76&lt;&gt;1),0,1)</f>
        <v>1</v>
      </c>
      <c r="U76" s="64">
        <f t="shared" si="7"/>
        <v>10</v>
      </c>
      <c r="AA76" s="61">
        <f t="shared" si="6"/>
        <v>0</v>
      </c>
    </row>
    <row r="77" spans="1:27" ht="15.75" x14ac:dyDescent="0.25">
      <c r="A77" s="424">
        <f>'רקדנים ומבצעים'!A73</f>
        <v>65</v>
      </c>
      <c r="B77" s="409" t="str">
        <f>'רקדנים ומבצעים'!B73</f>
        <v>שלומית פונדמינסקי</v>
      </c>
      <c r="C77" s="403" t="s">
        <v>474</v>
      </c>
      <c r="D77" s="403">
        <v>10</v>
      </c>
      <c r="E77" s="403">
        <v>2</v>
      </c>
      <c r="F77" s="403">
        <v>25</v>
      </c>
      <c r="G77" s="403">
        <v>6</v>
      </c>
      <c r="H77" s="410">
        <f>סיווג!AB85</f>
        <v>1</v>
      </c>
      <c r="I77" s="411">
        <f t="shared" ref="I77:I108" si="14">IF(S77&lt;&gt;1,"",(SUMPRODUCT(D77:G77,$AC$13:$AF$13)*H77))</f>
        <v>35</v>
      </c>
      <c r="J77" s="436">
        <f t="shared" ref="J77:J108" si="15">IF(ISERR(I77/$I$125),"",I77/$I$125)</f>
        <v>5.1993196318881704E-2</v>
      </c>
      <c r="O77" s="61">
        <f t="shared" ref="O77:O112" si="16">IF(OR($B77="",ISERR(D77/3)),0,IF(OR(D77&lt;0,D77&lt;&gt;ROUND(D77,0)),0,1))</f>
        <v>1</v>
      </c>
      <c r="P77" s="61">
        <f t="shared" ref="P77:P112" si="17">IF(OR($B77="",ISERR(E77/3)),0,IF(OR(E77&lt;0,E77&lt;&gt;ROUND(E77,0)),0,1))</f>
        <v>1</v>
      </c>
      <c r="Q77" s="61">
        <f t="shared" ref="Q77:Q112" si="18">IF(OR($B77="",ISERR(F77/3)),0,IF(OR(F77&lt;0,F77&lt;&gt;ROUND(F77,0)),0,1))</f>
        <v>1</v>
      </c>
      <c r="R77" s="61">
        <f t="shared" ref="R77:R112" si="19">IF(OR($B77="",ISERR(G77/3)),0,IF(OR(G77&lt;0,G77&lt;&gt;ROUND(G77,0)),0,1))</f>
        <v>1</v>
      </c>
      <c r="S77" s="61" cm="1">
        <f t="array" ref="S77">IF(OR(O77:R77&lt;&gt;1),0,1)</f>
        <v>1</v>
      </c>
      <c r="U77" s="64">
        <f t="shared" si="7"/>
        <v>43</v>
      </c>
      <c r="AA77" s="61">
        <f t="shared" si="6"/>
        <v>0</v>
      </c>
    </row>
    <row r="78" spans="1:27" ht="15.75" x14ac:dyDescent="0.25">
      <c r="A78" s="424">
        <f>'רקדנים ומבצעים'!A74</f>
        <v>66</v>
      </c>
      <c r="B78" s="409" t="str">
        <f>'רקדנים ומבצעים'!B74</f>
        <v/>
      </c>
      <c r="C78" s="403"/>
      <c r="D78" s="403"/>
      <c r="E78" s="403"/>
      <c r="F78" s="403"/>
      <c r="G78" s="403"/>
      <c r="H78" s="410" t="str">
        <f>סיווג!AB86</f>
        <v/>
      </c>
      <c r="I78" s="411" t="str">
        <f t="shared" si="14"/>
        <v/>
      </c>
      <c r="J78" s="436" t="str">
        <f t="shared" si="15"/>
        <v/>
      </c>
      <c r="O78" s="61">
        <f t="shared" si="16"/>
        <v>0</v>
      </c>
      <c r="P78" s="61">
        <f t="shared" si="17"/>
        <v>0</v>
      </c>
      <c r="Q78" s="61">
        <f t="shared" si="18"/>
        <v>0</v>
      </c>
      <c r="R78" s="61">
        <f t="shared" si="19"/>
        <v>0</v>
      </c>
      <c r="S78" s="61" cm="1">
        <f t="array" ref="S78">IF(OR(O78:R78&lt;&gt;1),0,1)</f>
        <v>0</v>
      </c>
      <c r="U78" s="64">
        <f t="shared" ref="U78:U112" si="20">SUM(D78:G78)</f>
        <v>0</v>
      </c>
      <c r="AA78" s="61" t="str">
        <f t="shared" si="6"/>
        <v/>
      </c>
    </row>
    <row r="79" spans="1:27" ht="15.75" x14ac:dyDescent="0.25">
      <c r="A79" s="424">
        <f>'רקדנים ומבצעים'!A75</f>
        <v>67</v>
      </c>
      <c r="B79" s="409" t="str">
        <f>'רקדנים ומבצעים'!B75</f>
        <v>שרון וזנה</v>
      </c>
      <c r="C79" s="403" t="s">
        <v>474</v>
      </c>
      <c r="D79" s="403">
        <v>10</v>
      </c>
      <c r="E79" s="403">
        <v>0</v>
      </c>
      <c r="F79" s="403">
        <v>0</v>
      </c>
      <c r="G79" s="403">
        <v>4</v>
      </c>
      <c r="H79" s="410">
        <f>סיווג!AB87</f>
        <v>1</v>
      </c>
      <c r="I79" s="411">
        <f t="shared" si="14"/>
        <v>6</v>
      </c>
      <c r="J79" s="436">
        <f t="shared" si="15"/>
        <v>8.9131193689511497E-3</v>
      </c>
      <c r="O79" s="61">
        <f t="shared" si="16"/>
        <v>1</v>
      </c>
      <c r="P79" s="61">
        <f t="shared" si="17"/>
        <v>1</v>
      </c>
      <c r="Q79" s="61">
        <f t="shared" si="18"/>
        <v>1</v>
      </c>
      <c r="R79" s="61">
        <f t="shared" si="19"/>
        <v>1</v>
      </c>
      <c r="S79" s="61" cm="1">
        <f t="array" ref="S79">IF(OR(O79:R79&lt;&gt;1),0,1)</f>
        <v>1</v>
      </c>
      <c r="U79" s="64">
        <f t="shared" si="20"/>
        <v>14</v>
      </c>
      <c r="AA79" s="61">
        <f t="shared" si="6"/>
        <v>0</v>
      </c>
    </row>
    <row r="80" spans="1:27" ht="15.75" x14ac:dyDescent="0.25">
      <c r="A80" s="424">
        <f>'רקדנים ומבצעים'!A76</f>
        <v>68</v>
      </c>
      <c r="B80" s="409" t="str">
        <f>'רקדנים ומבצעים'!B76</f>
        <v>שרונה פלורסהיים</v>
      </c>
      <c r="C80" s="403" t="s">
        <v>474</v>
      </c>
      <c r="D80" s="403">
        <v>11</v>
      </c>
      <c r="E80" s="403">
        <v>1</v>
      </c>
      <c r="F80" s="403">
        <v>3</v>
      </c>
      <c r="G80" s="403">
        <v>3</v>
      </c>
      <c r="H80" s="410">
        <f>סיווג!AB88</f>
        <v>1</v>
      </c>
      <c r="I80" s="411">
        <f t="shared" si="14"/>
        <v>8</v>
      </c>
      <c r="J80" s="436">
        <f t="shared" si="15"/>
        <v>1.1884159158601533E-2</v>
      </c>
      <c r="O80" s="61">
        <f t="shared" si="16"/>
        <v>1</v>
      </c>
      <c r="P80" s="61">
        <f t="shared" si="17"/>
        <v>1</v>
      </c>
      <c r="Q80" s="61">
        <f t="shared" si="18"/>
        <v>1</v>
      </c>
      <c r="R80" s="61">
        <f t="shared" si="19"/>
        <v>1</v>
      </c>
      <c r="S80" s="61" cm="1">
        <f t="array" ref="S80">IF(OR(O80:R80&lt;&gt;1),0,1)</f>
        <v>1</v>
      </c>
      <c r="U80" s="64">
        <f t="shared" si="20"/>
        <v>18</v>
      </c>
      <c r="AA80" s="61">
        <f t="shared" si="6"/>
        <v>0</v>
      </c>
    </row>
    <row r="81" spans="1:27" ht="15.75" x14ac:dyDescent="0.25">
      <c r="A81" s="424">
        <f>'רקדנים ומבצעים'!A77</f>
        <v>69</v>
      </c>
      <c r="B81" s="409" t="str">
        <f>'רקדנים ומבצעים'!B77</f>
        <v>תמי ליבוביץ</v>
      </c>
      <c r="C81" s="403" t="s">
        <v>474</v>
      </c>
      <c r="D81" s="403">
        <v>8</v>
      </c>
      <c r="E81" s="403">
        <v>1</v>
      </c>
      <c r="F81" s="403">
        <v>1</v>
      </c>
      <c r="G81" s="403">
        <v>4</v>
      </c>
      <c r="H81" s="410">
        <f>סיווג!AB89</f>
        <v>1</v>
      </c>
      <c r="I81" s="411">
        <f t="shared" si="14"/>
        <v>7.5</v>
      </c>
      <c r="J81" s="436">
        <f t="shared" si="15"/>
        <v>1.1141399211188936E-2</v>
      </c>
      <c r="O81" s="61">
        <f t="shared" si="16"/>
        <v>1</v>
      </c>
      <c r="P81" s="61">
        <f t="shared" si="17"/>
        <v>1</v>
      </c>
      <c r="Q81" s="61">
        <f t="shared" si="18"/>
        <v>1</v>
      </c>
      <c r="R81" s="61">
        <f t="shared" si="19"/>
        <v>1</v>
      </c>
      <c r="S81" s="61" cm="1">
        <f t="array" ref="S81">IF(OR(O81:R81&lt;&gt;1),0,1)</f>
        <v>1</v>
      </c>
      <c r="U81" s="64">
        <f t="shared" si="20"/>
        <v>14</v>
      </c>
      <c r="AA81" s="61">
        <f t="shared" si="6"/>
        <v>0</v>
      </c>
    </row>
    <row r="82" spans="1:27" ht="15.75" x14ac:dyDescent="0.25">
      <c r="A82" s="424">
        <f>'רקדנים ומבצעים'!A78</f>
        <v>70</v>
      </c>
      <c r="B82" s="409" t="str">
        <f>'רקדנים ומבצעים'!B78</f>
        <v>תמר בורר</v>
      </c>
      <c r="C82" s="403" t="s">
        <v>474</v>
      </c>
      <c r="D82" s="403">
        <v>13</v>
      </c>
      <c r="E82" s="403">
        <v>0</v>
      </c>
      <c r="F82" s="403">
        <v>0</v>
      </c>
      <c r="G82" s="403">
        <v>0</v>
      </c>
      <c r="H82" s="410">
        <f>סיווג!AB90</f>
        <v>1</v>
      </c>
      <c r="I82" s="411">
        <f t="shared" si="14"/>
        <v>0</v>
      </c>
      <c r="J82" s="436">
        <f t="shared" si="15"/>
        <v>0</v>
      </c>
      <c r="O82" s="61">
        <f t="shared" si="16"/>
        <v>1</v>
      </c>
      <c r="P82" s="61">
        <f t="shared" si="17"/>
        <v>1</v>
      </c>
      <c r="Q82" s="61">
        <f t="shared" si="18"/>
        <v>1</v>
      </c>
      <c r="R82" s="61">
        <f t="shared" si="19"/>
        <v>1</v>
      </c>
      <c r="S82" s="61" cm="1">
        <f t="array" ref="S82">IF(OR(O82:R82&lt;&gt;1),0,1)</f>
        <v>1</v>
      </c>
      <c r="U82" s="64">
        <f t="shared" si="20"/>
        <v>13</v>
      </c>
      <c r="AA82" s="61">
        <f t="shared" si="6"/>
        <v>0</v>
      </c>
    </row>
    <row r="83" spans="1:27" ht="15.75" x14ac:dyDescent="0.25">
      <c r="A83" s="424">
        <f>'רקדנים ומבצעים'!A79</f>
        <v>71</v>
      </c>
      <c r="B83" s="409" t="str">
        <f>'רקדנים ומבצעים'!B79</f>
        <v>תמי ורונן יצחקי</v>
      </c>
      <c r="C83" s="403" t="s">
        <v>479</v>
      </c>
      <c r="D83" s="403">
        <v>10</v>
      </c>
      <c r="E83" s="403">
        <v>0</v>
      </c>
      <c r="F83" s="403">
        <v>3</v>
      </c>
      <c r="G83" s="403">
        <v>2</v>
      </c>
      <c r="H83" s="410">
        <f>סיווג!AB91</f>
        <v>1</v>
      </c>
      <c r="I83" s="411">
        <f t="shared" si="14"/>
        <v>6</v>
      </c>
      <c r="J83" s="436">
        <f t="shared" si="15"/>
        <v>8.9131193689511497E-3</v>
      </c>
      <c r="O83" s="61">
        <f t="shared" si="16"/>
        <v>1</v>
      </c>
      <c r="P83" s="61">
        <f t="shared" si="17"/>
        <v>1</v>
      </c>
      <c r="Q83" s="61">
        <f t="shared" si="18"/>
        <v>1</v>
      </c>
      <c r="R83" s="61">
        <f t="shared" si="19"/>
        <v>1</v>
      </c>
      <c r="S83" s="61" cm="1">
        <f t="array" ref="S83">IF(OR(O83:R83&lt;&gt;1),0,1)</f>
        <v>1</v>
      </c>
      <c r="U83" s="64">
        <f t="shared" si="20"/>
        <v>15</v>
      </c>
      <c r="AA83" s="61">
        <f t="shared" si="6"/>
        <v>0</v>
      </c>
    </row>
    <row r="84" spans="1:27" ht="15.75" x14ac:dyDescent="0.25">
      <c r="A84" s="424">
        <f>'רקדנים ומבצעים'!A80</f>
        <v>72</v>
      </c>
      <c r="B84" s="409" t="str">
        <f>'רקדנים ומבצעים'!B80</f>
        <v>רננה רז</v>
      </c>
      <c r="C84" s="403" t="s">
        <v>474</v>
      </c>
      <c r="D84" s="403">
        <v>6</v>
      </c>
      <c r="E84" s="403">
        <v>0</v>
      </c>
      <c r="F84" s="403">
        <v>1</v>
      </c>
      <c r="G84" s="403">
        <v>0</v>
      </c>
      <c r="H84" s="410">
        <f>סיווג!AB92</f>
        <v>1</v>
      </c>
      <c r="I84" s="411">
        <f t="shared" si="14"/>
        <v>1</v>
      </c>
      <c r="J84" s="436">
        <f t="shared" si="15"/>
        <v>1.4855198948251916E-3</v>
      </c>
      <c r="O84" s="61">
        <f t="shared" si="16"/>
        <v>1</v>
      </c>
      <c r="P84" s="61">
        <f t="shared" si="17"/>
        <v>1</v>
      </c>
      <c r="Q84" s="61">
        <f t="shared" si="18"/>
        <v>1</v>
      </c>
      <c r="R84" s="61">
        <f t="shared" si="19"/>
        <v>1</v>
      </c>
      <c r="S84" s="61" cm="1">
        <f t="array" ref="S84">IF(OR(O84:R84&lt;&gt;1),0,1)</f>
        <v>1</v>
      </c>
      <c r="U84" s="64">
        <f t="shared" si="20"/>
        <v>7</v>
      </c>
      <c r="AA84" s="61">
        <f t="shared" si="6"/>
        <v>0</v>
      </c>
    </row>
    <row r="85" spans="1:27" ht="15.75" x14ac:dyDescent="0.25">
      <c r="A85" s="424">
        <f>'רקדנים ומבצעים'!A81</f>
        <v>73</v>
      </c>
      <c r="B85" s="409" t="str">
        <f>'רקדנים ומבצעים'!B81</f>
        <v>רתם תשח</v>
      </c>
      <c r="C85" s="403" t="s">
        <v>474</v>
      </c>
      <c r="D85" s="403">
        <v>5</v>
      </c>
      <c r="E85" s="403">
        <v>0</v>
      </c>
      <c r="F85" s="403">
        <v>0</v>
      </c>
      <c r="G85" s="403">
        <v>0</v>
      </c>
      <c r="H85" s="410">
        <f>סיווג!AB93</f>
        <v>1</v>
      </c>
      <c r="I85" s="411">
        <f t="shared" si="14"/>
        <v>0</v>
      </c>
      <c r="J85" s="436">
        <f t="shared" si="15"/>
        <v>0</v>
      </c>
      <c r="O85" s="61">
        <f t="shared" si="16"/>
        <v>1</v>
      </c>
      <c r="P85" s="61">
        <f t="shared" si="17"/>
        <v>1</v>
      </c>
      <c r="Q85" s="61">
        <f t="shared" si="18"/>
        <v>1</v>
      </c>
      <c r="R85" s="61">
        <f t="shared" si="19"/>
        <v>1</v>
      </c>
      <c r="S85" s="61" cm="1">
        <f t="array" ref="S85">IF(OR(O85:R85&lt;&gt;1),0,1)</f>
        <v>1</v>
      </c>
      <c r="U85" s="64">
        <f t="shared" si="20"/>
        <v>5</v>
      </c>
      <c r="AA85" s="61">
        <f t="shared" si="6"/>
        <v>0</v>
      </c>
    </row>
    <row r="86" spans="1:27" ht="15.75" x14ac:dyDescent="0.25">
      <c r="A86" s="424">
        <f>'רקדנים ומבצעים'!A82</f>
        <v>74</v>
      </c>
      <c r="B86" s="409" t="str">
        <f>'רקדנים ומבצעים'!B82</f>
        <v/>
      </c>
      <c r="C86" s="403"/>
      <c r="D86" s="403"/>
      <c r="E86" s="403"/>
      <c r="F86" s="403"/>
      <c r="G86" s="403"/>
      <c r="H86" s="410" t="str">
        <f>סיווג!AB94</f>
        <v/>
      </c>
      <c r="I86" s="411" t="str">
        <f t="shared" si="14"/>
        <v/>
      </c>
      <c r="J86" s="436" t="str">
        <f t="shared" si="15"/>
        <v/>
      </c>
      <c r="O86" s="61">
        <f t="shared" si="16"/>
        <v>0</v>
      </c>
      <c r="P86" s="61">
        <f t="shared" si="17"/>
        <v>0</v>
      </c>
      <c r="Q86" s="61">
        <f t="shared" si="18"/>
        <v>0</v>
      </c>
      <c r="R86" s="61">
        <f t="shared" si="19"/>
        <v>0</v>
      </c>
      <c r="S86" s="61" cm="1">
        <f t="array" ref="S86">IF(OR(O86:R86&lt;&gt;1),0,1)</f>
        <v>0</v>
      </c>
      <c r="U86" s="64">
        <f t="shared" si="20"/>
        <v>0</v>
      </c>
      <c r="AA86" s="61" t="str">
        <f t="shared" si="6"/>
        <v/>
      </c>
    </row>
    <row r="87" spans="1:27" ht="15.75" x14ac:dyDescent="0.25">
      <c r="A87" s="424">
        <f>'רקדנים ומבצעים'!A83</f>
        <v>75</v>
      </c>
      <c r="B87" s="409" t="str">
        <f>'רקדנים ומבצעים'!B83</f>
        <v/>
      </c>
      <c r="C87" s="403"/>
      <c r="D87" s="403"/>
      <c r="E87" s="403"/>
      <c r="F87" s="403"/>
      <c r="G87" s="403"/>
      <c r="H87" s="410" t="str">
        <f>סיווג!AB95</f>
        <v/>
      </c>
      <c r="I87" s="411" t="str">
        <f t="shared" si="14"/>
        <v/>
      </c>
      <c r="J87" s="436" t="str">
        <f t="shared" si="15"/>
        <v/>
      </c>
      <c r="O87" s="61">
        <f t="shared" si="16"/>
        <v>0</v>
      </c>
      <c r="P87" s="61">
        <f t="shared" si="17"/>
        <v>0</v>
      </c>
      <c r="Q87" s="61">
        <f t="shared" si="18"/>
        <v>0</v>
      </c>
      <c r="R87" s="61">
        <f t="shared" si="19"/>
        <v>0</v>
      </c>
      <c r="S87" s="61" cm="1">
        <f t="array" ref="S87">IF(OR(O87:R87&lt;&gt;1),0,1)</f>
        <v>0</v>
      </c>
      <c r="U87" s="64">
        <f t="shared" si="20"/>
        <v>0</v>
      </c>
      <c r="AA87" s="61" t="str">
        <f t="shared" si="6"/>
        <v/>
      </c>
    </row>
    <row r="88" spans="1:27" ht="15.75" x14ac:dyDescent="0.25">
      <c r="A88" s="424">
        <f>'רקדנים ומבצעים'!A84</f>
        <v>76</v>
      </c>
      <c r="B88" s="409" t="str">
        <f>'רקדנים ומבצעים'!B84</f>
        <v>שרון שגיא - פלמנקו</v>
      </c>
      <c r="C88" s="403" t="s">
        <v>479</v>
      </c>
      <c r="D88" s="403">
        <v>28</v>
      </c>
      <c r="E88" s="403">
        <v>1</v>
      </c>
      <c r="F88" s="403">
        <v>28</v>
      </c>
      <c r="G88" s="403">
        <v>7</v>
      </c>
      <c r="H88" s="410">
        <f>סיווג!AB96</f>
        <v>1</v>
      </c>
      <c r="I88" s="411">
        <f t="shared" si="14"/>
        <v>39</v>
      </c>
      <c r="J88" s="436">
        <f t="shared" si="15"/>
        <v>5.7935275898182467E-2</v>
      </c>
      <c r="O88" s="61">
        <f t="shared" si="16"/>
        <v>1</v>
      </c>
      <c r="P88" s="61">
        <f t="shared" si="17"/>
        <v>1</v>
      </c>
      <c r="Q88" s="61">
        <f t="shared" si="18"/>
        <v>1</v>
      </c>
      <c r="R88" s="61">
        <f t="shared" si="19"/>
        <v>1</v>
      </c>
      <c r="S88" s="61" cm="1">
        <f t="array" ref="S88">IF(OR(O88:R88&lt;&gt;1),0,1)</f>
        <v>1</v>
      </c>
      <c r="U88" s="64">
        <f t="shared" si="20"/>
        <v>64</v>
      </c>
      <c r="AA88" s="61">
        <f t="shared" si="6"/>
        <v>0</v>
      </c>
    </row>
    <row r="89" spans="1:27" ht="15.75" x14ac:dyDescent="0.25">
      <c r="A89" s="424">
        <f>'רקדנים ומבצעים'!A85</f>
        <v>77</v>
      </c>
      <c r="B89" s="409" t="str">
        <f>'רקדנים ומבצעים'!B85</f>
        <v/>
      </c>
      <c r="C89" s="403"/>
      <c r="D89" s="403"/>
      <c r="E89" s="403"/>
      <c r="F89" s="403"/>
      <c r="G89" s="403"/>
      <c r="H89" s="410" t="str">
        <f>סיווג!AB97</f>
        <v/>
      </c>
      <c r="I89" s="411" t="str">
        <f t="shared" si="14"/>
        <v/>
      </c>
      <c r="J89" s="436" t="str">
        <f t="shared" si="15"/>
        <v/>
      </c>
      <c r="O89" s="61">
        <f t="shared" si="16"/>
        <v>0</v>
      </c>
      <c r="P89" s="61">
        <f t="shared" si="17"/>
        <v>0</v>
      </c>
      <c r="Q89" s="61">
        <f t="shared" si="18"/>
        <v>0</v>
      </c>
      <c r="R89" s="61">
        <f t="shared" si="19"/>
        <v>0</v>
      </c>
      <c r="S89" s="61" cm="1">
        <f t="array" ref="S89">IF(OR(O89:R89&lt;&gt;1),0,1)</f>
        <v>0</v>
      </c>
      <c r="U89" s="64">
        <f t="shared" si="20"/>
        <v>0</v>
      </c>
      <c r="AA89" s="61" t="str">
        <f t="shared" si="6"/>
        <v/>
      </c>
    </row>
    <row r="90" spans="1:27" ht="15.75" x14ac:dyDescent="0.25">
      <c r="A90" s="424">
        <f>'רקדנים ומבצעים'!A86</f>
        <v>78</v>
      </c>
      <c r="B90" s="409" t="str">
        <f>'רקדנים ומבצעים'!B86</f>
        <v>אוליביה קורט מסה</v>
      </c>
      <c r="C90" s="403" t="s">
        <v>1034</v>
      </c>
      <c r="D90" s="403">
        <v>0</v>
      </c>
      <c r="E90" s="403">
        <v>2</v>
      </c>
      <c r="F90" s="403">
        <v>4</v>
      </c>
      <c r="G90" s="403">
        <v>1</v>
      </c>
      <c r="H90" s="410">
        <f>סיווג!AB98</f>
        <v>1</v>
      </c>
      <c r="I90" s="411">
        <f t="shared" si="14"/>
        <v>6.5</v>
      </c>
      <c r="J90" s="436">
        <f t="shared" si="15"/>
        <v>9.6558793163637451E-3</v>
      </c>
      <c r="O90" s="61">
        <f t="shared" si="16"/>
        <v>1</v>
      </c>
      <c r="P90" s="61">
        <f t="shared" si="17"/>
        <v>1</v>
      </c>
      <c r="Q90" s="61">
        <f t="shared" si="18"/>
        <v>1</v>
      </c>
      <c r="R90" s="61">
        <f t="shared" si="19"/>
        <v>1</v>
      </c>
      <c r="S90" s="61" cm="1">
        <f t="array" ref="S90">IF(OR(O90:R90&lt;&gt;1),0,1)</f>
        <v>1</v>
      </c>
      <c r="U90" s="64">
        <f t="shared" si="20"/>
        <v>7</v>
      </c>
      <c r="AA90" s="61">
        <f t="shared" si="6"/>
        <v>0</v>
      </c>
    </row>
    <row r="91" spans="1:27" ht="15.75" x14ac:dyDescent="0.25">
      <c r="A91" s="424">
        <f>'רקדנים ומבצעים'!A87</f>
        <v>79</v>
      </c>
      <c r="B91" s="409" t="str">
        <f>'רקדנים ומבצעים'!B87</f>
        <v/>
      </c>
      <c r="C91" s="403"/>
      <c r="D91" s="403"/>
      <c r="E91" s="403"/>
      <c r="F91" s="403"/>
      <c r="G91" s="403"/>
      <c r="H91" s="410" t="str">
        <f>סיווג!AB99</f>
        <v/>
      </c>
      <c r="I91" s="411" t="str">
        <f t="shared" si="14"/>
        <v/>
      </c>
      <c r="J91" s="436" t="str">
        <f t="shared" si="15"/>
        <v/>
      </c>
      <c r="O91" s="61">
        <f t="shared" si="16"/>
        <v>0</v>
      </c>
      <c r="P91" s="61">
        <f t="shared" si="17"/>
        <v>0</v>
      </c>
      <c r="Q91" s="61">
        <f t="shared" si="18"/>
        <v>0</v>
      </c>
      <c r="R91" s="61">
        <f t="shared" si="19"/>
        <v>0</v>
      </c>
      <c r="S91" s="61" cm="1">
        <f t="array" ref="S91">IF(OR(O91:R91&lt;&gt;1),0,1)</f>
        <v>0</v>
      </c>
      <c r="U91" s="64">
        <f t="shared" si="20"/>
        <v>0</v>
      </c>
      <c r="AA91" s="61" t="str">
        <f t="shared" si="6"/>
        <v/>
      </c>
    </row>
    <row r="92" spans="1:27" ht="15.75" x14ac:dyDescent="0.25">
      <c r="A92" s="424">
        <f>'רקדנים ומבצעים'!A88</f>
        <v>80</v>
      </c>
      <c r="B92" s="409" t="str">
        <f>'רקדנים ומבצעים'!B88</f>
        <v/>
      </c>
      <c r="C92" s="403"/>
      <c r="D92" s="403"/>
      <c r="E92" s="403"/>
      <c r="F92" s="403"/>
      <c r="G92" s="403"/>
      <c r="H92" s="410" t="str">
        <f>סיווג!AB100</f>
        <v/>
      </c>
      <c r="I92" s="411" t="str">
        <f t="shared" si="14"/>
        <v/>
      </c>
      <c r="J92" s="436" t="str">
        <f t="shared" si="15"/>
        <v/>
      </c>
      <c r="O92" s="61">
        <f t="shared" si="16"/>
        <v>0</v>
      </c>
      <c r="P92" s="61">
        <f t="shared" si="17"/>
        <v>0</v>
      </c>
      <c r="Q92" s="61">
        <f t="shared" si="18"/>
        <v>0</v>
      </c>
      <c r="R92" s="61">
        <f t="shared" si="19"/>
        <v>0</v>
      </c>
      <c r="S92" s="61" cm="1">
        <f t="array" ref="S92">IF(OR(O92:R92&lt;&gt;1),0,1)</f>
        <v>0</v>
      </c>
      <c r="U92" s="64">
        <f t="shared" si="20"/>
        <v>0</v>
      </c>
      <c r="AA92" s="61" t="str">
        <f t="shared" si="6"/>
        <v/>
      </c>
    </row>
    <row r="93" spans="1:27" ht="15.75" x14ac:dyDescent="0.25">
      <c r="A93" s="424">
        <f>'רקדנים ומבצעים'!A89</f>
        <v>81</v>
      </c>
      <c r="B93" s="409" t="str">
        <f>'רקדנים ומבצעים'!B89</f>
        <v>דגה פדר</v>
      </c>
      <c r="C93" s="403" t="s">
        <v>483</v>
      </c>
      <c r="D93" s="403">
        <v>0</v>
      </c>
      <c r="E93" s="403">
        <v>0</v>
      </c>
      <c r="F93" s="403">
        <v>1</v>
      </c>
      <c r="G93" s="403">
        <v>4</v>
      </c>
      <c r="H93" s="410">
        <f>סיווג!AB101</f>
        <v>1</v>
      </c>
      <c r="I93" s="411">
        <f t="shared" si="14"/>
        <v>7</v>
      </c>
      <c r="J93" s="436">
        <f t="shared" si="15"/>
        <v>1.039863926377634E-2</v>
      </c>
      <c r="O93" s="61">
        <f t="shared" si="16"/>
        <v>1</v>
      </c>
      <c r="P93" s="61">
        <f t="shared" si="17"/>
        <v>1</v>
      </c>
      <c r="Q93" s="61">
        <f t="shared" si="18"/>
        <v>1</v>
      </c>
      <c r="R93" s="61">
        <f t="shared" si="19"/>
        <v>1</v>
      </c>
      <c r="S93" s="61" cm="1">
        <f t="array" ref="S93">IF(OR(O93:R93&lt;&gt;1),0,1)</f>
        <v>1</v>
      </c>
      <c r="U93" s="64">
        <f t="shared" si="20"/>
        <v>5</v>
      </c>
      <c r="AA93" s="61">
        <f t="shared" si="6"/>
        <v>0</v>
      </c>
    </row>
    <row r="94" spans="1:27" ht="15.75" x14ac:dyDescent="0.25">
      <c r="A94" s="424">
        <f>'רקדנים ומבצעים'!A90</f>
        <v>82</v>
      </c>
      <c r="B94" s="409" t="str">
        <f>'רקדנים ומבצעים'!B90</f>
        <v>דנה חפוטה</v>
      </c>
      <c r="C94" s="403" t="s">
        <v>479</v>
      </c>
      <c r="D94" s="403">
        <v>2</v>
      </c>
      <c r="E94" s="403">
        <v>0</v>
      </c>
      <c r="F94" s="403">
        <v>2</v>
      </c>
      <c r="G94" s="403">
        <v>3</v>
      </c>
      <c r="H94" s="410">
        <f>סיווג!AB102</f>
        <v>1</v>
      </c>
      <c r="I94" s="411">
        <f t="shared" si="14"/>
        <v>6.5</v>
      </c>
      <c r="J94" s="436">
        <f t="shared" si="15"/>
        <v>9.6558793163637451E-3</v>
      </c>
      <c r="O94" s="61">
        <f t="shared" si="16"/>
        <v>1</v>
      </c>
      <c r="P94" s="61">
        <f t="shared" si="17"/>
        <v>1</v>
      </c>
      <c r="Q94" s="61">
        <f t="shared" si="18"/>
        <v>1</v>
      </c>
      <c r="R94" s="61">
        <f t="shared" si="19"/>
        <v>1</v>
      </c>
      <c r="S94" s="61" cm="1">
        <f t="array" ref="S94">IF(OR(O94:R94&lt;&gt;1),0,1)</f>
        <v>1</v>
      </c>
      <c r="U94" s="64">
        <f t="shared" si="20"/>
        <v>7</v>
      </c>
      <c r="AA94" s="61">
        <f t="shared" si="6"/>
        <v>0</v>
      </c>
    </row>
    <row r="95" spans="1:27" ht="15.75" x14ac:dyDescent="0.25">
      <c r="A95" s="424">
        <f>'רקדנים ומבצעים'!A91</f>
        <v>83</v>
      </c>
      <c r="B95" s="409" t="str">
        <f>'רקדנים ומבצעים'!B91</f>
        <v/>
      </c>
      <c r="C95" s="403"/>
      <c r="D95" s="403"/>
      <c r="E95" s="403"/>
      <c r="F95" s="403"/>
      <c r="G95" s="403"/>
      <c r="H95" s="410" t="str">
        <f>סיווג!AB103</f>
        <v/>
      </c>
      <c r="I95" s="411" t="str">
        <f t="shared" si="14"/>
        <v/>
      </c>
      <c r="J95" s="436" t="str">
        <f t="shared" si="15"/>
        <v/>
      </c>
      <c r="O95" s="61">
        <f t="shared" si="16"/>
        <v>0</v>
      </c>
      <c r="P95" s="61">
        <f t="shared" si="17"/>
        <v>0</v>
      </c>
      <c r="Q95" s="61">
        <f t="shared" si="18"/>
        <v>0</v>
      </c>
      <c r="R95" s="61">
        <f t="shared" si="19"/>
        <v>0</v>
      </c>
      <c r="S95" s="61" cm="1">
        <f t="array" ref="S95">IF(OR(O95:R95&lt;&gt;1),0,1)</f>
        <v>0</v>
      </c>
      <c r="U95" s="64">
        <f t="shared" si="20"/>
        <v>0</v>
      </c>
      <c r="AA95" s="61" t="str">
        <f t="shared" si="6"/>
        <v/>
      </c>
    </row>
    <row r="96" spans="1:27" ht="15.75" x14ac:dyDescent="0.25">
      <c r="A96" s="424">
        <f>'רקדנים ומבצעים'!A92</f>
        <v>84</v>
      </c>
      <c r="B96" s="409" t="str">
        <f>'רקדנים ומבצעים'!B92</f>
        <v/>
      </c>
      <c r="C96" s="403"/>
      <c r="D96" s="403"/>
      <c r="E96" s="403"/>
      <c r="F96" s="403"/>
      <c r="G96" s="403"/>
      <c r="H96" s="410" t="str">
        <f>סיווג!AB104</f>
        <v/>
      </c>
      <c r="I96" s="411" t="str">
        <f t="shared" si="14"/>
        <v/>
      </c>
      <c r="J96" s="436" t="str">
        <f t="shared" si="15"/>
        <v/>
      </c>
      <c r="O96" s="61">
        <f t="shared" si="16"/>
        <v>0</v>
      </c>
      <c r="P96" s="61">
        <f t="shared" si="17"/>
        <v>0</v>
      </c>
      <c r="Q96" s="61">
        <f t="shared" si="18"/>
        <v>0</v>
      </c>
      <c r="R96" s="61">
        <f t="shared" si="19"/>
        <v>0</v>
      </c>
      <c r="S96" s="61" cm="1">
        <f t="array" ref="S96">IF(OR(O96:R96&lt;&gt;1),0,1)</f>
        <v>0</v>
      </c>
      <c r="U96" s="64">
        <f t="shared" si="20"/>
        <v>0</v>
      </c>
      <c r="AA96" s="61" t="str">
        <f t="shared" si="6"/>
        <v/>
      </c>
    </row>
    <row r="97" spans="1:27" ht="15.75" x14ac:dyDescent="0.25">
      <c r="A97" s="424">
        <f>'רקדנים ומבצעים'!A93</f>
        <v>85</v>
      </c>
      <c r="B97" s="409" t="str">
        <f>'רקדנים ומבצעים'!B93</f>
        <v>יענק'לה פילצר</v>
      </c>
      <c r="C97" s="403" t="s">
        <v>474</v>
      </c>
      <c r="D97" s="403">
        <v>17</v>
      </c>
      <c r="E97" s="403">
        <v>2</v>
      </c>
      <c r="F97" s="403">
        <v>2</v>
      </c>
      <c r="G97" s="403">
        <v>3</v>
      </c>
      <c r="H97" s="410">
        <f>סיווג!AB105</f>
        <v>1</v>
      </c>
      <c r="I97" s="411">
        <f t="shared" si="14"/>
        <v>7.5</v>
      </c>
      <c r="J97" s="436">
        <f t="shared" si="15"/>
        <v>1.1141399211188936E-2</v>
      </c>
      <c r="O97" s="61">
        <f t="shared" si="16"/>
        <v>1</v>
      </c>
      <c r="P97" s="61">
        <f t="shared" si="17"/>
        <v>1</v>
      </c>
      <c r="Q97" s="61">
        <f t="shared" si="18"/>
        <v>1</v>
      </c>
      <c r="R97" s="61">
        <f t="shared" si="19"/>
        <v>1</v>
      </c>
      <c r="S97" s="61" cm="1">
        <f t="array" ref="S97">IF(OR(O97:R97&lt;&gt;1),0,1)</f>
        <v>1</v>
      </c>
      <c r="U97" s="64">
        <f t="shared" si="20"/>
        <v>24</v>
      </c>
      <c r="AA97" s="61">
        <f t="shared" si="6"/>
        <v>0</v>
      </c>
    </row>
    <row r="98" spans="1:27" ht="15.75" x14ac:dyDescent="0.25">
      <c r="A98" s="424">
        <f>'רקדנים ומבצעים'!A94</f>
        <v>86</v>
      </c>
      <c r="B98" s="409" t="str">
        <f>'רקדנים ומבצעים'!B94</f>
        <v>ענבל פינטו</v>
      </c>
      <c r="C98" s="403" t="s">
        <v>474</v>
      </c>
      <c r="D98" s="403">
        <v>13</v>
      </c>
      <c r="E98" s="403">
        <v>0</v>
      </c>
      <c r="F98" s="403">
        <v>0</v>
      </c>
      <c r="G98" s="403">
        <v>0</v>
      </c>
      <c r="H98" s="410">
        <f>סיווג!AB106</f>
        <v>1</v>
      </c>
      <c r="I98" s="411">
        <f t="shared" si="14"/>
        <v>0</v>
      </c>
      <c r="J98" s="436">
        <f t="shared" si="15"/>
        <v>0</v>
      </c>
      <c r="O98" s="61">
        <f t="shared" si="16"/>
        <v>1</v>
      </c>
      <c r="P98" s="61">
        <f t="shared" si="17"/>
        <v>1</v>
      </c>
      <c r="Q98" s="61">
        <f t="shared" si="18"/>
        <v>1</v>
      </c>
      <c r="R98" s="61">
        <f t="shared" si="19"/>
        <v>1</v>
      </c>
      <c r="S98" s="61" cm="1">
        <f t="array" ref="S98">IF(OR(O98:R98&lt;&gt;1),0,1)</f>
        <v>1</v>
      </c>
      <c r="U98" s="64">
        <f t="shared" si="20"/>
        <v>13</v>
      </c>
      <c r="AA98" s="61">
        <f t="shared" si="6"/>
        <v>0</v>
      </c>
    </row>
    <row r="99" spans="1:27" ht="15.75" x14ac:dyDescent="0.25">
      <c r="A99" s="424">
        <f>'רקדנים ומבצעים'!A95</f>
        <v>87</v>
      </c>
      <c r="B99" s="409" t="str">
        <f>'רקדנים ומבצעים'!B95</f>
        <v>רוני חדש</v>
      </c>
      <c r="C99" s="403" t="s">
        <v>474</v>
      </c>
      <c r="D99" s="403">
        <v>6</v>
      </c>
      <c r="E99" s="403">
        <v>3</v>
      </c>
      <c r="F99" s="403">
        <v>3</v>
      </c>
      <c r="G99" s="403">
        <v>0</v>
      </c>
      <c r="H99" s="410">
        <f>סיווג!AB107</f>
        <v>1</v>
      </c>
      <c r="I99" s="411">
        <f t="shared" si="14"/>
        <v>4.5</v>
      </c>
      <c r="J99" s="436">
        <f t="shared" si="15"/>
        <v>6.6848395267133619E-3</v>
      </c>
      <c r="O99" s="61">
        <f t="shared" si="16"/>
        <v>1</v>
      </c>
      <c r="P99" s="61">
        <f t="shared" si="17"/>
        <v>1</v>
      </c>
      <c r="Q99" s="61">
        <f t="shared" si="18"/>
        <v>1</v>
      </c>
      <c r="R99" s="61">
        <f t="shared" si="19"/>
        <v>1</v>
      </c>
      <c r="S99" s="61" cm="1">
        <f t="array" ref="S99">IF(OR(O99:R99&lt;&gt;1),0,1)</f>
        <v>1</v>
      </c>
      <c r="U99" s="64">
        <f t="shared" si="20"/>
        <v>12</v>
      </c>
      <c r="AA99" s="61">
        <f t="shared" si="6"/>
        <v>0</v>
      </c>
    </row>
    <row r="100" spans="1:27" ht="15.75" x14ac:dyDescent="0.25">
      <c r="A100" s="424">
        <f>'רקדנים ומבצעים'!A96</f>
        <v>88</v>
      </c>
      <c r="B100" s="409" t="str">
        <f>'רקדנים ומבצעים'!B96</f>
        <v>שחר בנימיני</v>
      </c>
      <c r="C100" s="403" t="s">
        <v>474</v>
      </c>
      <c r="D100" s="403">
        <v>6</v>
      </c>
      <c r="E100" s="403">
        <v>0</v>
      </c>
      <c r="F100" s="403">
        <v>0</v>
      </c>
      <c r="G100" s="403">
        <v>3</v>
      </c>
      <c r="H100" s="410">
        <f>סיווג!AB108</f>
        <v>1</v>
      </c>
      <c r="I100" s="411">
        <f t="shared" si="14"/>
        <v>4.5</v>
      </c>
      <c r="J100" s="436">
        <f t="shared" si="15"/>
        <v>6.6848395267133619E-3</v>
      </c>
      <c r="O100" s="61">
        <f t="shared" si="16"/>
        <v>1</v>
      </c>
      <c r="P100" s="61">
        <f t="shared" si="17"/>
        <v>1</v>
      </c>
      <c r="Q100" s="61">
        <f t="shared" si="18"/>
        <v>1</v>
      </c>
      <c r="R100" s="61">
        <f t="shared" si="19"/>
        <v>1</v>
      </c>
      <c r="S100" s="61" cm="1">
        <f t="array" ref="S100">IF(OR(O100:R100&lt;&gt;1),0,1)</f>
        <v>1</v>
      </c>
      <c r="U100" s="64">
        <f t="shared" si="20"/>
        <v>9</v>
      </c>
      <c r="AA100" s="61">
        <f t="shared" si="6"/>
        <v>0</v>
      </c>
    </row>
    <row r="101" spans="1:27" ht="15.75" x14ac:dyDescent="0.25">
      <c r="A101" s="424">
        <f>'רקדנים ומבצעים'!A97</f>
        <v>89</v>
      </c>
      <c r="B101" s="409" t="str">
        <f>'רקדנים ומבצעים'!B97</f>
        <v>רביד אברבאנל</v>
      </c>
      <c r="C101" s="403" t="s">
        <v>474</v>
      </c>
      <c r="D101" s="403">
        <v>6</v>
      </c>
      <c r="E101" s="403">
        <v>1</v>
      </c>
      <c r="F101" s="403">
        <v>2</v>
      </c>
      <c r="G101" s="403">
        <v>2</v>
      </c>
      <c r="H101" s="410">
        <f>סיווג!AB109</f>
        <v>1</v>
      </c>
      <c r="I101" s="411">
        <f t="shared" si="14"/>
        <v>5.5</v>
      </c>
      <c r="J101" s="436">
        <f t="shared" si="15"/>
        <v>8.1703594215385526E-3</v>
      </c>
      <c r="O101" s="61">
        <f t="shared" si="16"/>
        <v>1</v>
      </c>
      <c r="P101" s="61">
        <f t="shared" si="17"/>
        <v>1</v>
      </c>
      <c r="Q101" s="61">
        <f t="shared" si="18"/>
        <v>1</v>
      </c>
      <c r="R101" s="61">
        <f t="shared" si="19"/>
        <v>1</v>
      </c>
      <c r="S101" s="61" cm="1">
        <f t="array" ref="S101">IF(OR(O101:R101&lt;&gt;1),0,1)</f>
        <v>1</v>
      </c>
      <c r="U101" s="64">
        <f t="shared" si="20"/>
        <v>11</v>
      </c>
      <c r="AA101" s="61">
        <f t="shared" si="6"/>
        <v>0</v>
      </c>
    </row>
    <row r="102" spans="1:27" ht="15.75" x14ac:dyDescent="0.25">
      <c r="A102" s="424">
        <f>'רקדנים ומבצעים'!A98</f>
        <v>90</v>
      </c>
      <c r="B102" s="409" t="str">
        <f>'רקדנים ומבצעים'!B98</f>
        <v>שרון פרידמן</v>
      </c>
      <c r="C102" s="403" t="s">
        <v>474</v>
      </c>
      <c r="D102" s="403">
        <v>2</v>
      </c>
      <c r="E102" s="403">
        <v>0</v>
      </c>
      <c r="F102" s="403">
        <v>10</v>
      </c>
      <c r="G102" s="403">
        <v>0</v>
      </c>
      <c r="H102" s="410">
        <f>סיווג!AB110</f>
        <v>1</v>
      </c>
      <c r="I102" s="411">
        <f t="shared" si="14"/>
        <v>10</v>
      </c>
      <c r="J102" s="436">
        <f t="shared" si="15"/>
        <v>1.4855198948251915E-2</v>
      </c>
      <c r="O102" s="61">
        <f t="shared" si="16"/>
        <v>1</v>
      </c>
      <c r="P102" s="61">
        <f t="shared" si="17"/>
        <v>1</v>
      </c>
      <c r="Q102" s="61">
        <f t="shared" si="18"/>
        <v>1</v>
      </c>
      <c r="R102" s="61">
        <f t="shared" si="19"/>
        <v>1</v>
      </c>
      <c r="S102" s="61" cm="1">
        <f t="array" ref="S102">IF(OR(O102:R102&lt;&gt;1),0,1)</f>
        <v>1</v>
      </c>
      <c r="U102" s="64">
        <f t="shared" si="20"/>
        <v>12</v>
      </c>
      <c r="AA102" s="61">
        <f t="shared" si="6"/>
        <v>0</v>
      </c>
    </row>
    <row r="103" spans="1:27" ht="15.75" x14ac:dyDescent="0.25">
      <c r="A103" s="424">
        <f>'רקדנים ומבצעים'!A99</f>
        <v>91</v>
      </c>
      <c r="B103" s="409" t="str">
        <f>'רקדנים ומבצעים'!B99</f>
        <v>מירב כהן</v>
      </c>
      <c r="C103" s="403" t="s">
        <v>558</v>
      </c>
      <c r="D103" s="403">
        <v>4</v>
      </c>
      <c r="E103" s="403">
        <v>0</v>
      </c>
      <c r="F103" s="403">
        <v>0</v>
      </c>
      <c r="G103" s="403">
        <v>1</v>
      </c>
      <c r="H103" s="410">
        <f>סיווג!AB111</f>
        <v>1</v>
      </c>
      <c r="I103" s="411">
        <f t="shared" si="14"/>
        <v>1.5</v>
      </c>
      <c r="J103" s="436">
        <f t="shared" si="15"/>
        <v>2.2282798422377874E-3</v>
      </c>
      <c r="O103" s="61">
        <f t="shared" si="16"/>
        <v>1</v>
      </c>
      <c r="P103" s="61">
        <f t="shared" si="17"/>
        <v>1</v>
      </c>
      <c r="Q103" s="61">
        <f t="shared" si="18"/>
        <v>1</v>
      </c>
      <c r="R103" s="61">
        <f t="shared" si="19"/>
        <v>1</v>
      </c>
      <c r="S103" s="61" cm="1">
        <f t="array" ref="S103">IF(OR(O103:R103&lt;&gt;1),0,1)</f>
        <v>1</v>
      </c>
      <c r="U103" s="64">
        <f t="shared" si="20"/>
        <v>5</v>
      </c>
      <c r="AA103" s="61">
        <f t="shared" si="6"/>
        <v>0</v>
      </c>
    </row>
    <row r="104" spans="1:27" ht="15.75" x14ac:dyDescent="0.25">
      <c r="A104" s="424">
        <f>'רקדנים ומבצעים'!A100</f>
        <v>92</v>
      </c>
      <c r="B104" s="409" t="str">
        <f>'רקדנים ומבצעים'!B100</f>
        <v>קים טייטלבאום</v>
      </c>
      <c r="C104" s="403" t="s">
        <v>474</v>
      </c>
      <c r="D104" s="403">
        <v>6</v>
      </c>
      <c r="E104" s="403">
        <v>0</v>
      </c>
      <c r="F104" s="403">
        <v>0</v>
      </c>
      <c r="G104" s="403">
        <v>1</v>
      </c>
      <c r="H104" s="410">
        <f>סיווג!AB112</f>
        <v>1</v>
      </c>
      <c r="I104" s="411">
        <f t="shared" si="14"/>
        <v>1.5</v>
      </c>
      <c r="J104" s="436">
        <f t="shared" si="15"/>
        <v>2.2282798422377874E-3</v>
      </c>
      <c r="O104" s="61">
        <f t="shared" si="16"/>
        <v>1</v>
      </c>
      <c r="P104" s="61">
        <f t="shared" si="17"/>
        <v>1</v>
      </c>
      <c r="Q104" s="61">
        <f t="shared" si="18"/>
        <v>1</v>
      </c>
      <c r="R104" s="61">
        <f t="shared" si="19"/>
        <v>1</v>
      </c>
      <c r="S104" s="61" cm="1">
        <f t="array" ref="S104">IF(OR(O104:R104&lt;&gt;1),0,1)</f>
        <v>1</v>
      </c>
      <c r="U104" s="64">
        <f t="shared" si="20"/>
        <v>7</v>
      </c>
      <c r="AA104" s="61">
        <f t="shared" si="6"/>
        <v>0</v>
      </c>
    </row>
    <row r="105" spans="1:27" ht="15.75" x14ac:dyDescent="0.25">
      <c r="A105" s="424">
        <f>'רקדנים ומבצעים'!A101</f>
        <v>93</v>
      </c>
      <c r="B105" s="409" t="str">
        <f>'רקדנים ומבצעים'!B101</f>
        <v/>
      </c>
      <c r="C105" s="403"/>
      <c r="D105" s="403"/>
      <c r="E105" s="403"/>
      <c r="F105" s="403"/>
      <c r="G105" s="403"/>
      <c r="H105" s="410" t="str">
        <f>סיווג!AB113</f>
        <v/>
      </c>
      <c r="I105" s="411" t="str">
        <f t="shared" si="14"/>
        <v/>
      </c>
      <c r="J105" s="436" t="str">
        <f t="shared" si="15"/>
        <v/>
      </c>
      <c r="O105" s="61">
        <f t="shared" si="16"/>
        <v>0</v>
      </c>
      <c r="P105" s="61">
        <f t="shared" si="17"/>
        <v>0</v>
      </c>
      <c r="Q105" s="61">
        <f t="shared" si="18"/>
        <v>0</v>
      </c>
      <c r="R105" s="61">
        <f t="shared" si="19"/>
        <v>0</v>
      </c>
      <c r="S105" s="61" cm="1">
        <f t="array" ref="S105">IF(OR(O105:R105&lt;&gt;1),0,1)</f>
        <v>0</v>
      </c>
      <c r="U105" s="64">
        <f t="shared" si="20"/>
        <v>0</v>
      </c>
      <c r="AA105" s="61" t="str">
        <f t="shared" si="6"/>
        <v/>
      </c>
    </row>
    <row r="106" spans="1:27" ht="15.75" x14ac:dyDescent="0.25">
      <c r="A106" s="424">
        <f>'רקדנים ומבצעים'!A102</f>
        <v>94</v>
      </c>
      <c r="B106" s="409" t="str">
        <f>'רקדנים ומבצעים'!B102</f>
        <v>מאי זרחי</v>
      </c>
      <c r="C106" s="403" t="s">
        <v>474</v>
      </c>
      <c r="D106" s="403">
        <v>8</v>
      </c>
      <c r="E106" s="403">
        <v>0</v>
      </c>
      <c r="F106" s="403">
        <v>1</v>
      </c>
      <c r="G106" s="403">
        <v>0</v>
      </c>
      <c r="H106" s="410">
        <f>סיווג!AB114</f>
        <v>1</v>
      </c>
      <c r="I106" s="411">
        <f t="shared" si="14"/>
        <v>1</v>
      </c>
      <c r="J106" s="436">
        <f t="shared" si="15"/>
        <v>1.4855198948251916E-3</v>
      </c>
      <c r="O106" s="61">
        <f t="shared" si="16"/>
        <v>1</v>
      </c>
      <c r="P106" s="61">
        <f t="shared" si="17"/>
        <v>1</v>
      </c>
      <c r="Q106" s="61">
        <f t="shared" si="18"/>
        <v>1</v>
      </c>
      <c r="R106" s="61">
        <f t="shared" si="19"/>
        <v>1</v>
      </c>
      <c r="S106" s="61" cm="1">
        <f t="array" ref="S106">IF(OR(O106:R106&lt;&gt;1),0,1)</f>
        <v>1</v>
      </c>
      <c r="U106" s="64">
        <f t="shared" si="20"/>
        <v>9</v>
      </c>
      <c r="AA106" s="61">
        <f t="shared" si="6"/>
        <v>0</v>
      </c>
    </row>
    <row r="107" spans="1:27" ht="15.75" x14ac:dyDescent="0.25">
      <c r="A107" s="424">
        <f>'רקדנים ומבצעים'!A103</f>
        <v>95</v>
      </c>
      <c r="B107" s="409" t="str">
        <f>'רקדנים ומבצעים'!B103</f>
        <v>דנה מרכוס</v>
      </c>
      <c r="C107" s="403" t="s">
        <v>474</v>
      </c>
      <c r="D107" s="403">
        <v>6</v>
      </c>
      <c r="E107" s="403">
        <v>1</v>
      </c>
      <c r="F107" s="403">
        <v>0</v>
      </c>
      <c r="G107" s="403">
        <v>3</v>
      </c>
      <c r="H107" s="410">
        <f>סיווג!AB115</f>
        <v>1</v>
      </c>
      <c r="I107" s="411">
        <f t="shared" si="14"/>
        <v>5</v>
      </c>
      <c r="J107" s="436">
        <f t="shared" si="15"/>
        <v>7.4275994741259573E-3</v>
      </c>
      <c r="O107" s="61">
        <f t="shared" si="16"/>
        <v>1</v>
      </c>
      <c r="P107" s="61">
        <f t="shared" si="17"/>
        <v>1</v>
      </c>
      <c r="Q107" s="61">
        <f t="shared" si="18"/>
        <v>1</v>
      </c>
      <c r="R107" s="61">
        <f t="shared" si="19"/>
        <v>1</v>
      </c>
      <c r="S107" s="61" cm="1">
        <f t="array" ref="S107">IF(OR(O107:R107&lt;&gt;1),0,1)</f>
        <v>1</v>
      </c>
      <c r="U107" s="64">
        <f t="shared" si="20"/>
        <v>10</v>
      </c>
      <c r="AA107" s="61">
        <f t="shared" si="6"/>
        <v>0</v>
      </c>
    </row>
    <row r="108" spans="1:27" ht="15.75" x14ac:dyDescent="0.25">
      <c r="A108" s="424">
        <f>'רקדנים ומבצעים'!A104</f>
        <v>96</v>
      </c>
      <c r="B108" s="409" t="str">
        <f>'רקדנים ומבצעים'!B104</f>
        <v/>
      </c>
      <c r="C108" s="403"/>
      <c r="D108" s="403"/>
      <c r="E108" s="403"/>
      <c r="F108" s="403"/>
      <c r="G108" s="403"/>
      <c r="H108" s="410" t="str">
        <f>סיווג!AB116</f>
        <v/>
      </c>
      <c r="I108" s="411" t="str">
        <f t="shared" si="14"/>
        <v/>
      </c>
      <c r="J108" s="436" t="str">
        <f t="shared" si="15"/>
        <v/>
      </c>
      <c r="O108" s="61">
        <f t="shared" si="16"/>
        <v>0</v>
      </c>
      <c r="P108" s="61">
        <f t="shared" si="17"/>
        <v>0</v>
      </c>
      <c r="Q108" s="61">
        <f t="shared" si="18"/>
        <v>0</v>
      </c>
      <c r="R108" s="61">
        <f t="shared" si="19"/>
        <v>0</v>
      </c>
      <c r="S108" s="61" cm="1">
        <f t="array" ref="S108">IF(OR(O108:R108&lt;&gt;1),0,1)</f>
        <v>0</v>
      </c>
      <c r="U108" s="64">
        <f t="shared" si="20"/>
        <v>0</v>
      </c>
      <c r="AA108" s="61" t="str">
        <f t="shared" si="6"/>
        <v/>
      </c>
    </row>
    <row r="109" spans="1:27" ht="15.75" x14ac:dyDescent="0.25">
      <c r="A109" s="424">
        <f>'רקדנים ומבצעים'!A105</f>
        <v>97</v>
      </c>
      <c r="B109" s="409" t="str">
        <f>'רקדנים ומבצעים'!B105</f>
        <v/>
      </c>
      <c r="C109" s="403"/>
      <c r="D109" s="403"/>
      <c r="E109" s="403"/>
      <c r="F109" s="403"/>
      <c r="G109" s="403"/>
      <c r="H109" s="410" t="str">
        <f>סיווג!AB117</f>
        <v/>
      </c>
      <c r="I109" s="411" t="str">
        <f>IF(S109&lt;&gt;1,"",(SUMPRODUCT(D109:G109,$AC$13:$AF$13)*H109))</f>
        <v/>
      </c>
      <c r="J109" s="436" t="str">
        <f t="shared" ref="J109:J112" si="21">IF(ISERR(I109/$I$125),"",I109/$I$125)</f>
        <v/>
      </c>
      <c r="O109" s="61">
        <f t="shared" si="16"/>
        <v>0</v>
      </c>
      <c r="P109" s="61">
        <f t="shared" si="17"/>
        <v>0</v>
      </c>
      <c r="Q109" s="61">
        <f t="shared" si="18"/>
        <v>0</v>
      </c>
      <c r="R109" s="61">
        <f t="shared" si="19"/>
        <v>0</v>
      </c>
      <c r="S109" s="61" cm="1">
        <f t="array" ref="S109">IF(OR(O109:R109&lt;&gt;1),0,1)</f>
        <v>0</v>
      </c>
      <c r="U109" s="64">
        <f t="shared" si="20"/>
        <v>0</v>
      </c>
      <c r="AA109" s="61" t="str">
        <f t="shared" si="6"/>
        <v/>
      </c>
    </row>
    <row r="110" spans="1:27" ht="15.75" x14ac:dyDescent="0.25">
      <c r="A110" s="424">
        <f>'רקדנים ומבצעים'!A106</f>
        <v>98</v>
      </c>
      <c r="B110" s="409" t="str">
        <f>'רקדנים ומבצעים'!B106</f>
        <v>שקד מוכיח</v>
      </c>
      <c r="C110" s="403" t="s">
        <v>474</v>
      </c>
      <c r="D110" s="403">
        <v>17</v>
      </c>
      <c r="E110" s="403">
        <v>0</v>
      </c>
      <c r="F110" s="403">
        <v>7</v>
      </c>
      <c r="G110" s="403">
        <v>3</v>
      </c>
      <c r="H110" s="410">
        <f>סיווג!AB118</f>
        <v>1</v>
      </c>
      <c r="I110" s="411">
        <f>IF(S110&lt;&gt;1,"",(SUMPRODUCT(D110:G110,$AC$13:$AF$13)*H110))</f>
        <v>11.5</v>
      </c>
      <c r="J110" s="436">
        <f t="shared" si="21"/>
        <v>1.7083478790489704E-2</v>
      </c>
      <c r="O110" s="61">
        <f t="shared" si="16"/>
        <v>1</v>
      </c>
      <c r="P110" s="61">
        <f t="shared" si="17"/>
        <v>1</v>
      </c>
      <c r="Q110" s="61">
        <f t="shared" si="18"/>
        <v>1</v>
      </c>
      <c r="R110" s="61">
        <f t="shared" si="19"/>
        <v>1</v>
      </c>
      <c r="S110" s="61" cm="1">
        <f t="array" ref="S110">IF(OR(O110:R110&lt;&gt;1),0,1)</f>
        <v>1</v>
      </c>
      <c r="U110" s="64">
        <f t="shared" si="20"/>
        <v>27</v>
      </c>
      <c r="AA110" s="61">
        <f t="shared" si="6"/>
        <v>0</v>
      </c>
    </row>
    <row r="111" spans="1:27" ht="15.75" x14ac:dyDescent="0.25">
      <c r="A111" s="424">
        <f>'רקדנים ומבצעים'!A107</f>
        <v>99</v>
      </c>
      <c r="B111" s="409" t="str">
        <f>'רקדנים ומבצעים'!B107</f>
        <v>שרון הללי אסא</v>
      </c>
      <c r="C111" s="403" t="s">
        <v>559</v>
      </c>
      <c r="D111" s="403">
        <v>3</v>
      </c>
      <c r="E111" s="403">
        <v>6</v>
      </c>
      <c r="F111" s="403">
        <v>5</v>
      </c>
      <c r="G111" s="403">
        <v>4</v>
      </c>
      <c r="H111" s="410">
        <f>סיווג!AB119</f>
        <v>1</v>
      </c>
      <c r="I111" s="411">
        <f>IF(S111&lt;&gt;1,"",(SUMPRODUCT(D111:G111,$AC$13:$AF$13)*H111))</f>
        <v>14</v>
      </c>
      <c r="J111" s="436">
        <f t="shared" si="21"/>
        <v>2.0797278527552681E-2</v>
      </c>
      <c r="O111" s="61">
        <f t="shared" si="16"/>
        <v>1</v>
      </c>
      <c r="P111" s="61">
        <f t="shared" si="17"/>
        <v>1</v>
      </c>
      <c r="Q111" s="61">
        <f t="shared" si="18"/>
        <v>1</v>
      </c>
      <c r="R111" s="61">
        <f t="shared" si="19"/>
        <v>1</v>
      </c>
      <c r="S111" s="61" cm="1">
        <f t="array" ref="S111">IF(OR(O111:R111&lt;&gt;1),0,1)</f>
        <v>1</v>
      </c>
      <c r="U111" s="64">
        <f t="shared" si="20"/>
        <v>18</v>
      </c>
      <c r="AA111" s="61">
        <f t="shared" si="6"/>
        <v>0</v>
      </c>
    </row>
    <row r="112" spans="1:27" ht="15.75" x14ac:dyDescent="0.25">
      <c r="A112" s="424">
        <f>'רקדנים ומבצעים'!A108</f>
        <v>100</v>
      </c>
      <c r="B112" s="409" t="str">
        <f>'רקדנים ומבצעים'!B108</f>
        <v>להקת ג'אם</v>
      </c>
      <c r="C112" s="403" t="s">
        <v>534</v>
      </c>
      <c r="D112" s="403">
        <v>6</v>
      </c>
      <c r="E112" s="403">
        <v>1</v>
      </c>
      <c r="F112" s="403">
        <v>0</v>
      </c>
      <c r="G112" s="403">
        <v>0</v>
      </c>
      <c r="H112" s="410">
        <f>סיווג!AB120</f>
        <v>1</v>
      </c>
      <c r="I112" s="411">
        <f>IF(S112&lt;&gt;1,"",(SUMPRODUCT(D112:G112,$AC$13:$AF$13)*H112))</f>
        <v>0.5</v>
      </c>
      <c r="J112" s="436">
        <f t="shared" si="21"/>
        <v>7.4275994741259581E-4</v>
      </c>
      <c r="O112" s="61">
        <f t="shared" si="16"/>
        <v>1</v>
      </c>
      <c r="P112" s="61">
        <f t="shared" si="17"/>
        <v>1</v>
      </c>
      <c r="Q112" s="61">
        <f t="shared" si="18"/>
        <v>1</v>
      </c>
      <c r="R112" s="61">
        <f t="shared" si="19"/>
        <v>1</v>
      </c>
      <c r="S112" s="61" cm="1">
        <f t="array" ref="S112">IF(OR(O112:R112&lt;&gt;1),0,1)</f>
        <v>1</v>
      </c>
      <c r="U112" s="64">
        <f t="shared" si="20"/>
        <v>7</v>
      </c>
      <c r="AA112" s="61">
        <f t="shared" si="6"/>
        <v>0</v>
      </c>
    </row>
    <row r="113" spans="1:27" ht="15.75" x14ac:dyDescent="0.25">
      <c r="A113" s="424">
        <f>'רקדנים ומבצעים'!A109</f>
        <v>101</v>
      </c>
      <c r="B113" s="409" t="str">
        <f>'רקדנים ומבצעים'!B109</f>
        <v/>
      </c>
      <c r="C113" s="403"/>
      <c r="D113" s="403"/>
      <c r="E113" s="403"/>
      <c r="F113" s="403"/>
      <c r="G113" s="403"/>
      <c r="H113" s="410" t="str">
        <f>סיווג!AB121</f>
        <v/>
      </c>
      <c r="I113" s="411" t="str">
        <f t="shared" ref="I113:I124" si="22">IF(S113&lt;&gt;1,"",(SUMPRODUCT(D113:G113,$AC$13:$AF$13)*H113))</f>
        <v/>
      </c>
      <c r="J113" s="436" t="str">
        <f t="shared" ref="J113:J124" si="23">IF(ISERR(I113/$I$125),"",I113/$I$125)</f>
        <v/>
      </c>
      <c r="O113" s="61">
        <f t="shared" ref="O113:O125" si="24">IF(OR($B113="",ISERR(D113/3)),0,IF(OR(D113&lt;0,D113&lt;&gt;ROUND(D113,0)),0,1))</f>
        <v>0</v>
      </c>
      <c r="P113" s="61">
        <f t="shared" ref="P113:P125" si="25">IF(OR($B113="",ISERR(E113/3)),0,IF(OR(E113&lt;0,E113&lt;&gt;ROUND(E113,0)),0,1))</f>
        <v>0</v>
      </c>
      <c r="Q113" s="61">
        <f t="shared" ref="Q113:Q125" si="26">IF(OR($B113="",ISERR(F113/3)),0,IF(OR(F113&lt;0,F113&lt;&gt;ROUND(F113,0)),0,1))</f>
        <v>0</v>
      </c>
      <c r="R113" s="61">
        <f t="shared" ref="R113:R125" si="27">IF(OR($B113="",ISERR(G113/3)),0,IF(OR(G113&lt;0,G113&lt;&gt;ROUND(G113,0)),0,1))</f>
        <v>0</v>
      </c>
      <c r="S113" s="61" cm="1">
        <f t="array" ref="S113">IF(OR(O113:R113&lt;&gt;1),0,1)</f>
        <v>0</v>
      </c>
      <c r="U113" s="64">
        <f t="shared" ref="U113:U125" si="28">SUM(D113:G113)</f>
        <v>0</v>
      </c>
      <c r="AA113" s="61" t="str">
        <f t="shared" si="6"/>
        <v/>
      </c>
    </row>
    <row r="114" spans="1:27" ht="15.75" x14ac:dyDescent="0.25">
      <c r="A114" s="424">
        <f>'רקדנים ומבצעים'!A110</f>
        <v>102</v>
      </c>
      <c r="B114" s="409" t="str">
        <f>'רקדנים ומבצעים'!B110</f>
        <v/>
      </c>
      <c r="C114" s="403"/>
      <c r="D114" s="403"/>
      <c r="E114" s="403"/>
      <c r="F114" s="403"/>
      <c r="G114" s="403"/>
      <c r="H114" s="410" t="str">
        <f>סיווג!AB122</f>
        <v/>
      </c>
      <c r="I114" s="411" t="str">
        <f t="shared" si="22"/>
        <v/>
      </c>
      <c r="J114" s="436" t="str">
        <f t="shared" si="23"/>
        <v/>
      </c>
      <c r="O114" s="61">
        <f t="shared" si="24"/>
        <v>0</v>
      </c>
      <c r="P114" s="61">
        <f t="shared" si="25"/>
        <v>0</v>
      </c>
      <c r="Q114" s="61">
        <f t="shared" si="26"/>
        <v>0</v>
      </c>
      <c r="R114" s="61">
        <f t="shared" si="27"/>
        <v>0</v>
      </c>
      <c r="S114" s="61" cm="1">
        <f t="array" ref="S114">IF(OR(O114:R114&lt;&gt;1),0,1)</f>
        <v>0</v>
      </c>
      <c r="U114" s="64">
        <f t="shared" si="28"/>
        <v>0</v>
      </c>
      <c r="AA114" s="61" t="str">
        <f t="shared" si="6"/>
        <v/>
      </c>
    </row>
    <row r="115" spans="1:27" ht="15.75" x14ac:dyDescent="0.25">
      <c r="A115" s="424">
        <f>'רקדנים ומבצעים'!A111</f>
        <v>103</v>
      </c>
      <c r="B115" s="409" t="str">
        <f>'רקדנים ומבצעים'!B111</f>
        <v/>
      </c>
      <c r="C115" s="403"/>
      <c r="D115" s="403"/>
      <c r="E115" s="403"/>
      <c r="F115" s="403"/>
      <c r="G115" s="403"/>
      <c r="H115" s="410" t="str">
        <f>סיווג!AB123</f>
        <v/>
      </c>
      <c r="I115" s="411" t="str">
        <f t="shared" si="22"/>
        <v/>
      </c>
      <c r="J115" s="436" t="str">
        <f t="shared" si="23"/>
        <v/>
      </c>
      <c r="O115" s="61">
        <f t="shared" si="24"/>
        <v>0</v>
      </c>
      <c r="P115" s="61">
        <f t="shared" si="25"/>
        <v>0</v>
      </c>
      <c r="Q115" s="61">
        <f t="shared" si="26"/>
        <v>0</v>
      </c>
      <c r="R115" s="61">
        <f t="shared" si="27"/>
        <v>0</v>
      </c>
      <c r="S115" s="61" cm="1">
        <f t="array" ref="S115">IF(OR(O115:R115&lt;&gt;1),0,1)</f>
        <v>0</v>
      </c>
      <c r="U115" s="64">
        <f t="shared" si="28"/>
        <v>0</v>
      </c>
      <c r="AA115" s="61" t="str">
        <f t="shared" si="6"/>
        <v/>
      </c>
    </row>
    <row r="116" spans="1:27" ht="15.75" x14ac:dyDescent="0.25">
      <c r="A116" s="424">
        <f>'רקדנים ומבצעים'!A112</f>
        <v>104</v>
      </c>
      <c r="B116" s="409" t="str">
        <f>'רקדנים ומבצעים'!B112</f>
        <v/>
      </c>
      <c r="C116" s="403"/>
      <c r="D116" s="403"/>
      <c r="E116" s="403"/>
      <c r="F116" s="403"/>
      <c r="G116" s="403"/>
      <c r="H116" s="410" t="str">
        <f>סיווג!AB124</f>
        <v/>
      </c>
      <c r="I116" s="411" t="str">
        <f t="shared" si="22"/>
        <v/>
      </c>
      <c r="J116" s="436" t="str">
        <f t="shared" si="23"/>
        <v/>
      </c>
      <c r="O116" s="61">
        <f t="shared" si="24"/>
        <v>0</v>
      </c>
      <c r="P116" s="61">
        <f t="shared" si="25"/>
        <v>0</v>
      </c>
      <c r="Q116" s="61">
        <f t="shared" si="26"/>
        <v>0</v>
      </c>
      <c r="R116" s="61">
        <f t="shared" si="27"/>
        <v>0</v>
      </c>
      <c r="S116" s="61" cm="1">
        <f t="array" ref="S116">IF(OR(O116:R116&lt;&gt;1),0,1)</f>
        <v>0</v>
      </c>
      <c r="U116" s="64">
        <f t="shared" si="28"/>
        <v>0</v>
      </c>
      <c r="AA116" s="61" t="str">
        <f t="shared" si="6"/>
        <v/>
      </c>
    </row>
    <row r="117" spans="1:27" ht="15.75" x14ac:dyDescent="0.25">
      <c r="A117" s="424">
        <f>'רקדנים ומבצעים'!A113</f>
        <v>105</v>
      </c>
      <c r="B117" s="409" t="str">
        <f>'רקדנים ומבצעים'!B113</f>
        <v>מורן אברג'ל יצחקי</v>
      </c>
      <c r="C117" s="403" t="s">
        <v>1030</v>
      </c>
      <c r="D117" s="403">
        <v>3</v>
      </c>
      <c r="E117" s="403">
        <v>0</v>
      </c>
      <c r="F117" s="403">
        <v>0</v>
      </c>
      <c r="G117" s="403">
        <v>3</v>
      </c>
      <c r="H117" s="410">
        <f>סיווג!AB125</f>
        <v>1</v>
      </c>
      <c r="I117" s="411">
        <f t="shared" si="22"/>
        <v>4.5</v>
      </c>
      <c r="J117" s="436">
        <f t="shared" si="23"/>
        <v>6.6848395267133619E-3</v>
      </c>
      <c r="O117" s="61">
        <f t="shared" si="24"/>
        <v>1</v>
      </c>
      <c r="P117" s="61">
        <f t="shared" si="25"/>
        <v>1</v>
      </c>
      <c r="Q117" s="61">
        <f t="shared" si="26"/>
        <v>1</v>
      </c>
      <c r="R117" s="61">
        <f t="shared" si="27"/>
        <v>1</v>
      </c>
      <c r="S117" s="61" cm="1">
        <f t="array" ref="S117">IF(OR(O117:R117&lt;&gt;1),0,1)</f>
        <v>1</v>
      </c>
      <c r="U117" s="64">
        <f t="shared" si="28"/>
        <v>6</v>
      </c>
      <c r="AA117" s="61">
        <f t="shared" si="6"/>
        <v>0</v>
      </c>
    </row>
    <row r="118" spans="1:27" ht="15.75" x14ac:dyDescent="0.25">
      <c r="A118" s="424">
        <f>'רקדנים ומבצעים'!A114</f>
        <v>106</v>
      </c>
      <c r="B118" s="409" t="str">
        <f>'רקדנים ומבצעים'!B114</f>
        <v>מיכל בן צבי</v>
      </c>
      <c r="C118" s="403" t="s">
        <v>1031</v>
      </c>
      <c r="D118" s="403">
        <v>1</v>
      </c>
      <c r="E118" s="403">
        <v>3</v>
      </c>
      <c r="F118" s="403">
        <v>1</v>
      </c>
      <c r="G118" s="403">
        <v>2</v>
      </c>
      <c r="H118" s="410">
        <f>סיווג!AB126</f>
        <v>1</v>
      </c>
      <c r="I118" s="411">
        <f t="shared" si="22"/>
        <v>5.5</v>
      </c>
      <c r="J118" s="436">
        <f t="shared" si="23"/>
        <v>8.1703594215385526E-3</v>
      </c>
      <c r="O118" s="61">
        <f t="shared" si="24"/>
        <v>1</v>
      </c>
      <c r="P118" s="61">
        <f t="shared" si="25"/>
        <v>1</v>
      </c>
      <c r="Q118" s="61">
        <f t="shared" si="26"/>
        <v>1</v>
      </c>
      <c r="R118" s="61">
        <f t="shared" si="27"/>
        <v>1</v>
      </c>
      <c r="S118" s="61" cm="1">
        <f t="array" ref="S118">IF(OR(O118:R118&lt;&gt;1),0,1)</f>
        <v>1</v>
      </c>
      <c r="U118" s="64">
        <f t="shared" si="28"/>
        <v>7</v>
      </c>
      <c r="AA118" s="61">
        <f t="shared" si="6"/>
        <v>0</v>
      </c>
    </row>
    <row r="119" spans="1:27" ht="15.75" x14ac:dyDescent="0.25">
      <c r="A119" s="424">
        <f>'רקדנים ומבצעים'!A115</f>
        <v>107</v>
      </c>
      <c r="B119" s="409" t="str">
        <f>'רקדנים ומבצעים'!B115</f>
        <v>מיקה קופפר</v>
      </c>
      <c r="C119" s="403" t="s">
        <v>474</v>
      </c>
      <c r="D119" s="403">
        <v>4</v>
      </c>
      <c r="E119" s="403">
        <v>1</v>
      </c>
      <c r="F119" s="403">
        <v>3</v>
      </c>
      <c r="G119" s="403">
        <v>0</v>
      </c>
      <c r="H119" s="410">
        <f>סיווג!AB127</f>
        <v>1</v>
      </c>
      <c r="I119" s="411">
        <f t="shared" si="22"/>
        <v>3.5</v>
      </c>
      <c r="J119" s="436">
        <f t="shared" si="23"/>
        <v>5.1993196318881702E-3</v>
      </c>
      <c r="O119" s="61">
        <f t="shared" si="24"/>
        <v>1</v>
      </c>
      <c r="P119" s="61">
        <f t="shared" si="25"/>
        <v>1</v>
      </c>
      <c r="Q119" s="61">
        <f t="shared" si="26"/>
        <v>1</v>
      </c>
      <c r="R119" s="61">
        <f t="shared" si="27"/>
        <v>1</v>
      </c>
      <c r="S119" s="61" cm="1">
        <f t="array" ref="S119">IF(OR(O119:R119&lt;&gt;1),0,1)</f>
        <v>1</v>
      </c>
      <c r="U119" s="64">
        <f t="shared" si="28"/>
        <v>8</v>
      </c>
      <c r="AA119" s="61">
        <f t="shared" si="6"/>
        <v>0</v>
      </c>
    </row>
    <row r="120" spans="1:27" ht="15.75" x14ac:dyDescent="0.25">
      <c r="A120" s="424">
        <f>'רקדנים ומבצעים'!A116</f>
        <v>108</v>
      </c>
      <c r="B120" s="409" t="str">
        <f>'רקדנים ומבצעים'!B116</f>
        <v/>
      </c>
      <c r="C120" s="403"/>
      <c r="D120" s="403"/>
      <c r="E120" s="403"/>
      <c r="F120" s="403"/>
      <c r="G120" s="403"/>
      <c r="H120" s="410" t="str">
        <f>סיווג!AB128</f>
        <v/>
      </c>
      <c r="I120" s="411" t="str">
        <f t="shared" si="22"/>
        <v/>
      </c>
      <c r="J120" s="436" t="str">
        <f t="shared" si="23"/>
        <v/>
      </c>
      <c r="O120" s="61">
        <f t="shared" si="24"/>
        <v>0</v>
      </c>
      <c r="P120" s="61">
        <f t="shared" si="25"/>
        <v>0</v>
      </c>
      <c r="Q120" s="61">
        <f t="shared" si="26"/>
        <v>0</v>
      </c>
      <c r="R120" s="61">
        <f t="shared" si="27"/>
        <v>0</v>
      </c>
      <c r="S120" s="61" cm="1">
        <f t="array" ref="S120">IF(OR(O120:R120&lt;&gt;1),0,1)</f>
        <v>0</v>
      </c>
      <c r="U120" s="64">
        <f t="shared" si="28"/>
        <v>0</v>
      </c>
      <c r="AA120" s="61" t="str">
        <f t="shared" si="6"/>
        <v/>
      </c>
    </row>
    <row r="121" spans="1:27" ht="15.75" x14ac:dyDescent="0.25">
      <c r="A121" s="424">
        <f>'רקדנים ומבצעים'!A117</f>
        <v>109</v>
      </c>
      <c r="B121" s="409" t="str">
        <f>'רקדנים ומבצעים'!B117</f>
        <v>נועה שילה</v>
      </c>
      <c r="C121" s="403" t="s">
        <v>482</v>
      </c>
      <c r="D121" s="403">
        <v>4</v>
      </c>
      <c r="E121" s="403">
        <v>6</v>
      </c>
      <c r="F121" s="403">
        <v>0</v>
      </c>
      <c r="G121" s="403">
        <v>0</v>
      </c>
      <c r="H121" s="410">
        <f>סיווג!AB129</f>
        <v>1</v>
      </c>
      <c r="I121" s="411">
        <f t="shared" si="22"/>
        <v>3</v>
      </c>
      <c r="J121" s="436">
        <f t="shared" si="23"/>
        <v>4.4565596844755749E-3</v>
      </c>
      <c r="O121" s="61">
        <f t="shared" si="24"/>
        <v>1</v>
      </c>
      <c r="P121" s="61">
        <f t="shared" si="25"/>
        <v>1</v>
      </c>
      <c r="Q121" s="61">
        <f t="shared" si="26"/>
        <v>1</v>
      </c>
      <c r="R121" s="61">
        <f t="shared" si="27"/>
        <v>1</v>
      </c>
      <c r="S121" s="61" cm="1">
        <f t="array" ref="S121">IF(OR(O121:R121&lt;&gt;1),0,1)</f>
        <v>1</v>
      </c>
      <c r="U121" s="64">
        <f t="shared" si="28"/>
        <v>10</v>
      </c>
      <c r="AA121" s="61">
        <f t="shared" si="6"/>
        <v>0</v>
      </c>
    </row>
    <row r="122" spans="1:27" ht="15.75" x14ac:dyDescent="0.25">
      <c r="A122" s="424">
        <f>'רקדנים ומבצעים'!A118</f>
        <v>110</v>
      </c>
      <c r="B122" s="409" t="str">
        <f>'רקדנים ומבצעים'!B118</f>
        <v/>
      </c>
      <c r="C122" s="403"/>
      <c r="D122" s="403"/>
      <c r="E122" s="403"/>
      <c r="F122" s="403"/>
      <c r="G122" s="403"/>
      <c r="H122" s="410" t="str">
        <f>סיווג!AB130</f>
        <v/>
      </c>
      <c r="I122" s="411" t="str">
        <f t="shared" si="22"/>
        <v/>
      </c>
      <c r="J122" s="436" t="str">
        <f t="shared" si="23"/>
        <v/>
      </c>
      <c r="O122" s="61">
        <f t="shared" si="24"/>
        <v>0</v>
      </c>
      <c r="P122" s="61">
        <f t="shared" si="25"/>
        <v>0</v>
      </c>
      <c r="Q122" s="61">
        <f t="shared" si="26"/>
        <v>0</v>
      </c>
      <c r="R122" s="61">
        <f t="shared" si="27"/>
        <v>0</v>
      </c>
      <c r="S122" s="61" cm="1">
        <f t="array" ref="S122">IF(OR(O122:R122&lt;&gt;1),0,1)</f>
        <v>0</v>
      </c>
      <c r="U122" s="64">
        <f t="shared" si="28"/>
        <v>0</v>
      </c>
      <c r="AA122" s="61" t="str">
        <f t="shared" si="6"/>
        <v/>
      </c>
    </row>
    <row r="123" spans="1:27" ht="15.75" x14ac:dyDescent="0.25">
      <c r="A123" s="424">
        <f>'רקדנים ומבצעים'!A119</f>
        <v>111</v>
      </c>
      <c r="B123" s="409" t="str">
        <f>'רקדנים ומבצעים'!B119</f>
        <v>עדי בוטרוס אמנויות הבמה (ע"ר)</v>
      </c>
      <c r="C123" s="403" t="s">
        <v>474</v>
      </c>
      <c r="D123" s="403">
        <v>5</v>
      </c>
      <c r="E123" s="403">
        <v>0</v>
      </c>
      <c r="F123" s="403">
        <v>0</v>
      </c>
      <c r="G123" s="403">
        <v>0</v>
      </c>
      <c r="H123" s="410">
        <f>סיווג!AB131</f>
        <v>1</v>
      </c>
      <c r="I123" s="411">
        <f t="shared" si="22"/>
        <v>0</v>
      </c>
      <c r="J123" s="436">
        <f t="shared" si="23"/>
        <v>0</v>
      </c>
      <c r="O123" s="61">
        <f t="shared" si="24"/>
        <v>1</v>
      </c>
      <c r="P123" s="61">
        <f t="shared" si="25"/>
        <v>1</v>
      </c>
      <c r="Q123" s="61">
        <f t="shared" si="26"/>
        <v>1</v>
      </c>
      <c r="R123" s="61">
        <f t="shared" si="27"/>
        <v>1</v>
      </c>
      <c r="S123" s="61" cm="1">
        <f t="array" ref="S123">IF(OR(O123:R123&lt;&gt;1),0,1)</f>
        <v>1</v>
      </c>
      <c r="U123" s="64">
        <f t="shared" si="28"/>
        <v>5</v>
      </c>
      <c r="AA123" s="61">
        <f t="shared" si="6"/>
        <v>0</v>
      </c>
    </row>
    <row r="124" spans="1:27" ht="15.75" x14ac:dyDescent="0.25">
      <c r="A124" s="424">
        <f>'רקדנים ומבצעים'!A120</f>
        <v>112</v>
      </c>
      <c r="B124" s="409" t="str">
        <f>'רקדנים ומבצעים'!B120</f>
        <v/>
      </c>
      <c r="C124" s="403"/>
      <c r="D124" s="403"/>
      <c r="E124" s="403"/>
      <c r="F124" s="403"/>
      <c r="G124" s="403"/>
      <c r="H124" s="410" t="str">
        <f>סיווג!AB132</f>
        <v/>
      </c>
      <c r="I124" s="411" t="str">
        <f t="shared" si="22"/>
        <v/>
      </c>
      <c r="J124" s="436" t="str">
        <f t="shared" si="23"/>
        <v/>
      </c>
      <c r="O124" s="61">
        <f t="shared" si="24"/>
        <v>0</v>
      </c>
      <c r="P124" s="61">
        <f t="shared" si="25"/>
        <v>0</v>
      </c>
      <c r="Q124" s="61">
        <f t="shared" si="26"/>
        <v>0</v>
      </c>
      <c r="R124" s="61">
        <f t="shared" si="27"/>
        <v>0</v>
      </c>
      <c r="S124" s="61" cm="1">
        <f t="array" ref="S124">IF(OR(O124:R124&lt;&gt;1),0,1)</f>
        <v>0</v>
      </c>
      <c r="U124" s="64">
        <f t="shared" si="28"/>
        <v>0</v>
      </c>
      <c r="AA124" s="61" t="str">
        <f t="shared" si="6"/>
        <v/>
      </c>
    </row>
    <row r="125" spans="1:27" ht="13.5" thickBot="1" x14ac:dyDescent="0.25">
      <c r="A125" s="779" t="s">
        <v>41</v>
      </c>
      <c r="B125" s="780"/>
      <c r="C125" s="780"/>
      <c r="D125" s="780"/>
      <c r="E125" s="780"/>
      <c r="F125" s="780"/>
      <c r="G125" s="781"/>
      <c r="H125" s="77">
        <f>SUM(H13:H124)</f>
        <v>88.33</v>
      </c>
      <c r="I125" s="77">
        <f>SUM(I13:I124)</f>
        <v>673.16499999999996</v>
      </c>
      <c r="J125" s="576">
        <f>SUM(J13:J124)</f>
        <v>1</v>
      </c>
      <c r="O125" s="61">
        <f t="shared" si="24"/>
        <v>0</v>
      </c>
      <c r="P125" s="61">
        <f t="shared" si="25"/>
        <v>0</v>
      </c>
      <c r="Q125" s="61">
        <f t="shared" si="26"/>
        <v>0</v>
      </c>
      <c r="R125" s="61">
        <f t="shared" si="27"/>
        <v>0</v>
      </c>
      <c r="S125" s="61" cm="1">
        <f t="array" ref="S125">IF(OR(O125:R125&lt;&gt;1),0,1)</f>
        <v>0</v>
      </c>
      <c r="U125" s="64">
        <f t="shared" si="28"/>
        <v>0</v>
      </c>
      <c r="AA125" s="61" t="str">
        <f t="shared" si="6"/>
        <v/>
      </c>
    </row>
  </sheetData>
  <sheetProtection algorithmName="SHA-512" hashValue="Rp+kF696JgR8VesH4ppxi8THCom0v6iA86mja1W5EghH40d9r08YJs7HyC5M+MI8UpeYP5gQ3Mi40kZ6jhGdww==" saltValue="Nyq2QYxoND5+A9H2nbyoFQ==" spinCount="100000" sheet="1" scenarios="1" formatColumns="0" formatRows="0" autoFilter="0"/>
  <mergeCells count="10">
    <mergeCell ref="L11:M11"/>
    <mergeCell ref="A10:J10"/>
    <mergeCell ref="A125:G125"/>
    <mergeCell ref="E1:F1"/>
    <mergeCell ref="E2:F2"/>
    <mergeCell ref="G1:H1"/>
    <mergeCell ref="G2:H2"/>
    <mergeCell ref="D11:G11"/>
    <mergeCell ref="A11:C11"/>
    <mergeCell ref="H11:J11"/>
  </mergeCells>
  <conditionalFormatting sqref="A13:B124">
    <cfRule type="containsBlanks" dxfId="182" priority="75">
      <formula>LEN(TRIM(A13))=0</formula>
    </cfRule>
  </conditionalFormatting>
  <conditionalFormatting sqref="C13:C92 C95:C124">
    <cfRule type="expression" dxfId="181" priority="72">
      <formula>AND($B13="",C13&lt;&gt;"")</formula>
    </cfRule>
    <cfRule type="expression" dxfId="180" priority="73">
      <formula>$B13&lt;&gt;""</formula>
    </cfRule>
  </conditionalFormatting>
  <conditionalFormatting sqref="C93">
    <cfRule type="expression" dxfId="179" priority="1245">
      <formula>AND($B94="",C93&lt;&gt;"")</formula>
    </cfRule>
    <cfRule type="expression" dxfId="178" priority="1246">
      <formula>$B94&lt;&gt;""</formula>
    </cfRule>
  </conditionalFormatting>
  <conditionalFormatting sqref="D13:G124">
    <cfRule type="expression" dxfId="177" priority="7">
      <formula>AND($B13="",D13&lt;&gt;"")</formula>
    </cfRule>
    <cfRule type="expression" dxfId="176" priority="8">
      <formula>$B13&lt;&gt;""</formula>
    </cfRule>
  </conditionalFormatting>
  <conditionalFormatting sqref="G1:G2">
    <cfRule type="containsBlanks" dxfId="175" priority="55">
      <formula>LEN(TRIM(G1))=0</formula>
    </cfRule>
  </conditionalFormatting>
  <conditionalFormatting sqref="H13:J124">
    <cfRule type="containsBlanks" dxfId="174" priority="27">
      <formula>LEN(TRIM(H13))=0</formula>
    </cfRule>
  </conditionalFormatting>
  <conditionalFormatting sqref="L13:L16">
    <cfRule type="containsBlanks" dxfId="173" priority="5">
      <formula>LEN(TRIM(L13))=0</formula>
    </cfRule>
  </conditionalFormatting>
  <conditionalFormatting sqref="C94">
    <cfRule type="expression" dxfId="172" priority="1">
      <formula>AND($B94="",C94&lt;&gt;"")</formula>
    </cfRule>
    <cfRule type="expression" dxfId="171" priority="2">
      <formula>$B94&lt;&gt;""</formula>
    </cfRule>
  </conditionalFormatting>
  <dataValidations count="8">
    <dataValidation type="custom" errorStyle="warning" allowBlank="1" showInputMessage="1" showErrorMessage="1" errorTitle="טעות בהזנה" error="יש לוודא כי הוזן שם ללהקה_x000a__x000a_יש להזין מספר שלם שאינו שלילי" sqref="IS65619:IZ65648 SO65619:SV65648 ACK65619:ACR65648 AMG65619:AMN65648 AWC65619:AWJ65648 BFY65619:BGF65648 BPU65619:BQB65648 BZQ65619:BZX65648 CJM65619:CJT65648 CTI65619:CTP65648 DDE65619:DDL65648 DNA65619:DNH65648 DWW65619:DXD65648 EGS65619:EGZ65648 EQO65619:EQV65648 FAK65619:FAR65648 FKG65619:FKN65648 FUC65619:FUJ65648 GDY65619:GEF65648 GNU65619:GOB65648 GXQ65619:GXX65648 HHM65619:HHT65648 HRI65619:HRP65648 IBE65619:IBL65648 ILA65619:ILH65648 IUW65619:IVD65648 JES65619:JEZ65648 JOO65619:JOV65648 JYK65619:JYR65648 KIG65619:KIN65648 KSC65619:KSJ65648 LBY65619:LCF65648 LLU65619:LMB65648 LVQ65619:LVX65648 MFM65619:MFT65648 MPI65619:MPP65648 MZE65619:MZL65648 NJA65619:NJH65648 NSW65619:NTD65648 OCS65619:OCZ65648 OMO65619:OMV65648 OWK65619:OWR65648 PGG65619:PGN65648 PQC65619:PQJ65648 PZY65619:QAF65648 QJU65619:QKB65648 QTQ65619:QTX65648 RDM65619:RDT65648 RNI65619:RNP65648 RXE65619:RXL65648 SHA65619:SHH65648 SQW65619:SRD65648 TAS65619:TAZ65648 TKO65619:TKV65648 TUK65619:TUR65648 UEG65619:UEN65648 UOC65619:UOJ65648 UXY65619:UYF65648 VHU65619:VIB65648 VRQ65619:VRX65648 WBM65619:WBT65648 WLI65619:WLP65648 WVE65619:WVL65648 IS131155:IZ131184 SO131155:SV131184 ACK131155:ACR131184 AMG131155:AMN131184 AWC131155:AWJ131184 BFY131155:BGF131184 BPU131155:BQB131184 BZQ131155:BZX131184 CJM131155:CJT131184 CTI131155:CTP131184 DDE131155:DDL131184 DNA131155:DNH131184 DWW131155:DXD131184 EGS131155:EGZ131184 EQO131155:EQV131184 FAK131155:FAR131184 FKG131155:FKN131184 FUC131155:FUJ131184 GDY131155:GEF131184 GNU131155:GOB131184 GXQ131155:GXX131184 HHM131155:HHT131184 HRI131155:HRP131184 IBE131155:IBL131184 ILA131155:ILH131184 IUW131155:IVD131184 JES131155:JEZ131184 JOO131155:JOV131184 JYK131155:JYR131184 KIG131155:KIN131184 KSC131155:KSJ131184 LBY131155:LCF131184 LLU131155:LMB131184 LVQ131155:LVX131184 MFM131155:MFT131184 MPI131155:MPP131184 MZE131155:MZL131184 NJA131155:NJH131184 NSW131155:NTD131184 OCS131155:OCZ131184 OMO131155:OMV131184 OWK131155:OWR131184 PGG131155:PGN131184 PQC131155:PQJ131184 PZY131155:QAF131184 QJU131155:QKB131184 QTQ131155:QTX131184 RDM131155:RDT131184 RNI131155:RNP131184 RXE131155:RXL131184 SHA131155:SHH131184 SQW131155:SRD131184 TAS131155:TAZ131184 TKO131155:TKV131184 TUK131155:TUR131184 UEG131155:UEN131184 UOC131155:UOJ131184 UXY131155:UYF131184 VHU131155:VIB131184 VRQ131155:VRX131184 WBM131155:WBT131184 WLI131155:WLP131184 WVE131155:WVL131184 IS196691:IZ196720 SO196691:SV196720 ACK196691:ACR196720 AMG196691:AMN196720 AWC196691:AWJ196720 BFY196691:BGF196720 BPU196691:BQB196720 BZQ196691:BZX196720 CJM196691:CJT196720 CTI196691:CTP196720 DDE196691:DDL196720 DNA196691:DNH196720 DWW196691:DXD196720 EGS196691:EGZ196720 EQO196691:EQV196720 FAK196691:FAR196720 FKG196691:FKN196720 FUC196691:FUJ196720 GDY196691:GEF196720 GNU196691:GOB196720 GXQ196691:GXX196720 HHM196691:HHT196720 HRI196691:HRP196720 IBE196691:IBL196720 ILA196691:ILH196720 IUW196691:IVD196720 JES196691:JEZ196720 JOO196691:JOV196720 JYK196691:JYR196720 KIG196691:KIN196720 KSC196691:KSJ196720 LBY196691:LCF196720 LLU196691:LMB196720 LVQ196691:LVX196720 MFM196691:MFT196720 MPI196691:MPP196720 MZE196691:MZL196720 NJA196691:NJH196720 NSW196691:NTD196720 OCS196691:OCZ196720 OMO196691:OMV196720 OWK196691:OWR196720 PGG196691:PGN196720 PQC196691:PQJ196720 PZY196691:QAF196720 QJU196691:QKB196720 QTQ196691:QTX196720 RDM196691:RDT196720 RNI196691:RNP196720 RXE196691:RXL196720 SHA196691:SHH196720 SQW196691:SRD196720 TAS196691:TAZ196720 TKO196691:TKV196720 TUK196691:TUR196720 UEG196691:UEN196720 UOC196691:UOJ196720 UXY196691:UYF196720 VHU196691:VIB196720 VRQ196691:VRX196720 WBM196691:WBT196720 WLI196691:WLP196720 WVE196691:WVL196720 IS262227:IZ262256 SO262227:SV262256 ACK262227:ACR262256 AMG262227:AMN262256 AWC262227:AWJ262256 BFY262227:BGF262256 BPU262227:BQB262256 BZQ262227:BZX262256 CJM262227:CJT262256 CTI262227:CTP262256 DDE262227:DDL262256 DNA262227:DNH262256 DWW262227:DXD262256 EGS262227:EGZ262256 EQO262227:EQV262256 FAK262227:FAR262256 FKG262227:FKN262256 FUC262227:FUJ262256 GDY262227:GEF262256 GNU262227:GOB262256 GXQ262227:GXX262256 HHM262227:HHT262256 HRI262227:HRP262256 IBE262227:IBL262256 ILA262227:ILH262256 IUW262227:IVD262256 JES262227:JEZ262256 JOO262227:JOV262256 JYK262227:JYR262256 KIG262227:KIN262256 KSC262227:KSJ262256 LBY262227:LCF262256 LLU262227:LMB262256 LVQ262227:LVX262256 MFM262227:MFT262256 MPI262227:MPP262256 MZE262227:MZL262256 NJA262227:NJH262256 NSW262227:NTD262256 OCS262227:OCZ262256 OMO262227:OMV262256 OWK262227:OWR262256 PGG262227:PGN262256 PQC262227:PQJ262256 PZY262227:QAF262256 QJU262227:QKB262256 QTQ262227:QTX262256 RDM262227:RDT262256 RNI262227:RNP262256 RXE262227:RXL262256 SHA262227:SHH262256 SQW262227:SRD262256 TAS262227:TAZ262256 TKO262227:TKV262256 TUK262227:TUR262256 UEG262227:UEN262256 UOC262227:UOJ262256 UXY262227:UYF262256 VHU262227:VIB262256 VRQ262227:VRX262256 WBM262227:WBT262256 WLI262227:WLP262256 WVE262227:WVL262256 IS327763:IZ327792 SO327763:SV327792 ACK327763:ACR327792 AMG327763:AMN327792 AWC327763:AWJ327792 BFY327763:BGF327792 BPU327763:BQB327792 BZQ327763:BZX327792 CJM327763:CJT327792 CTI327763:CTP327792 DDE327763:DDL327792 DNA327763:DNH327792 DWW327763:DXD327792 EGS327763:EGZ327792 EQO327763:EQV327792 FAK327763:FAR327792 FKG327763:FKN327792 FUC327763:FUJ327792 GDY327763:GEF327792 GNU327763:GOB327792 GXQ327763:GXX327792 HHM327763:HHT327792 HRI327763:HRP327792 IBE327763:IBL327792 ILA327763:ILH327792 IUW327763:IVD327792 JES327763:JEZ327792 JOO327763:JOV327792 JYK327763:JYR327792 KIG327763:KIN327792 KSC327763:KSJ327792 LBY327763:LCF327792 LLU327763:LMB327792 LVQ327763:LVX327792 MFM327763:MFT327792 MPI327763:MPP327792 MZE327763:MZL327792 NJA327763:NJH327792 NSW327763:NTD327792 OCS327763:OCZ327792 OMO327763:OMV327792 OWK327763:OWR327792 PGG327763:PGN327792 PQC327763:PQJ327792 PZY327763:QAF327792 QJU327763:QKB327792 QTQ327763:QTX327792 RDM327763:RDT327792 RNI327763:RNP327792 RXE327763:RXL327792 SHA327763:SHH327792 SQW327763:SRD327792 TAS327763:TAZ327792 TKO327763:TKV327792 TUK327763:TUR327792 UEG327763:UEN327792 UOC327763:UOJ327792 UXY327763:UYF327792 VHU327763:VIB327792 VRQ327763:VRX327792 WBM327763:WBT327792 WLI327763:WLP327792 WVE327763:WVL327792 IS393299:IZ393328 SO393299:SV393328 ACK393299:ACR393328 AMG393299:AMN393328 AWC393299:AWJ393328 BFY393299:BGF393328 BPU393299:BQB393328 BZQ393299:BZX393328 CJM393299:CJT393328 CTI393299:CTP393328 DDE393299:DDL393328 DNA393299:DNH393328 DWW393299:DXD393328 EGS393299:EGZ393328 EQO393299:EQV393328 FAK393299:FAR393328 FKG393299:FKN393328 FUC393299:FUJ393328 GDY393299:GEF393328 GNU393299:GOB393328 GXQ393299:GXX393328 HHM393299:HHT393328 HRI393299:HRP393328 IBE393299:IBL393328 ILA393299:ILH393328 IUW393299:IVD393328 JES393299:JEZ393328 JOO393299:JOV393328 JYK393299:JYR393328 KIG393299:KIN393328 KSC393299:KSJ393328 LBY393299:LCF393328 LLU393299:LMB393328 LVQ393299:LVX393328 MFM393299:MFT393328 MPI393299:MPP393328 MZE393299:MZL393328 NJA393299:NJH393328 NSW393299:NTD393328 OCS393299:OCZ393328 OMO393299:OMV393328 OWK393299:OWR393328 PGG393299:PGN393328 PQC393299:PQJ393328 PZY393299:QAF393328 QJU393299:QKB393328 QTQ393299:QTX393328 RDM393299:RDT393328 RNI393299:RNP393328 RXE393299:RXL393328 SHA393299:SHH393328 SQW393299:SRD393328 TAS393299:TAZ393328 TKO393299:TKV393328 TUK393299:TUR393328 UEG393299:UEN393328 UOC393299:UOJ393328 UXY393299:UYF393328 VHU393299:VIB393328 VRQ393299:VRX393328 WBM393299:WBT393328 WLI393299:WLP393328 WVE393299:WVL393328 IS458835:IZ458864 SO458835:SV458864 ACK458835:ACR458864 AMG458835:AMN458864 AWC458835:AWJ458864 BFY458835:BGF458864 BPU458835:BQB458864 BZQ458835:BZX458864 CJM458835:CJT458864 CTI458835:CTP458864 DDE458835:DDL458864 DNA458835:DNH458864 DWW458835:DXD458864 EGS458835:EGZ458864 EQO458835:EQV458864 FAK458835:FAR458864 FKG458835:FKN458864 FUC458835:FUJ458864 GDY458835:GEF458864 GNU458835:GOB458864 GXQ458835:GXX458864 HHM458835:HHT458864 HRI458835:HRP458864 IBE458835:IBL458864 ILA458835:ILH458864 IUW458835:IVD458864 JES458835:JEZ458864 JOO458835:JOV458864 JYK458835:JYR458864 KIG458835:KIN458864 KSC458835:KSJ458864 LBY458835:LCF458864 LLU458835:LMB458864 LVQ458835:LVX458864 MFM458835:MFT458864 MPI458835:MPP458864 MZE458835:MZL458864 NJA458835:NJH458864 NSW458835:NTD458864 OCS458835:OCZ458864 OMO458835:OMV458864 OWK458835:OWR458864 PGG458835:PGN458864 PQC458835:PQJ458864 PZY458835:QAF458864 QJU458835:QKB458864 QTQ458835:QTX458864 RDM458835:RDT458864 RNI458835:RNP458864 RXE458835:RXL458864 SHA458835:SHH458864 SQW458835:SRD458864 TAS458835:TAZ458864 TKO458835:TKV458864 TUK458835:TUR458864 UEG458835:UEN458864 UOC458835:UOJ458864 UXY458835:UYF458864 VHU458835:VIB458864 VRQ458835:VRX458864 WBM458835:WBT458864 WLI458835:WLP458864 WVE458835:WVL458864 IS524371:IZ524400 SO524371:SV524400 ACK524371:ACR524400 AMG524371:AMN524400 AWC524371:AWJ524400 BFY524371:BGF524400 BPU524371:BQB524400 BZQ524371:BZX524400 CJM524371:CJT524400 CTI524371:CTP524400 DDE524371:DDL524400 DNA524371:DNH524400 DWW524371:DXD524400 EGS524371:EGZ524400 EQO524371:EQV524400 FAK524371:FAR524400 FKG524371:FKN524400 FUC524371:FUJ524400 GDY524371:GEF524400 GNU524371:GOB524400 GXQ524371:GXX524400 HHM524371:HHT524400 HRI524371:HRP524400 IBE524371:IBL524400 ILA524371:ILH524400 IUW524371:IVD524400 JES524371:JEZ524400 JOO524371:JOV524400 JYK524371:JYR524400 KIG524371:KIN524400 KSC524371:KSJ524400 LBY524371:LCF524400 LLU524371:LMB524400 LVQ524371:LVX524400 MFM524371:MFT524400 MPI524371:MPP524400 MZE524371:MZL524400 NJA524371:NJH524400 NSW524371:NTD524400 OCS524371:OCZ524400 OMO524371:OMV524400 OWK524371:OWR524400 PGG524371:PGN524400 PQC524371:PQJ524400 PZY524371:QAF524400 QJU524371:QKB524400 QTQ524371:QTX524400 RDM524371:RDT524400 RNI524371:RNP524400 RXE524371:RXL524400 SHA524371:SHH524400 SQW524371:SRD524400 TAS524371:TAZ524400 TKO524371:TKV524400 TUK524371:TUR524400 UEG524371:UEN524400 UOC524371:UOJ524400 UXY524371:UYF524400 VHU524371:VIB524400 VRQ524371:VRX524400 WBM524371:WBT524400 WLI524371:WLP524400 WVE524371:WVL524400 IS589907:IZ589936 SO589907:SV589936 ACK589907:ACR589936 AMG589907:AMN589936 AWC589907:AWJ589936 BFY589907:BGF589936 BPU589907:BQB589936 BZQ589907:BZX589936 CJM589907:CJT589936 CTI589907:CTP589936 DDE589907:DDL589936 DNA589907:DNH589936 DWW589907:DXD589936 EGS589907:EGZ589936 EQO589907:EQV589936 FAK589907:FAR589936 FKG589907:FKN589936 FUC589907:FUJ589936 GDY589907:GEF589936 GNU589907:GOB589936 GXQ589907:GXX589936 HHM589907:HHT589936 HRI589907:HRP589936 IBE589907:IBL589936 ILA589907:ILH589936 IUW589907:IVD589936 JES589907:JEZ589936 JOO589907:JOV589936 JYK589907:JYR589936 KIG589907:KIN589936 KSC589907:KSJ589936 LBY589907:LCF589936 LLU589907:LMB589936 LVQ589907:LVX589936 MFM589907:MFT589936 MPI589907:MPP589936 MZE589907:MZL589936 NJA589907:NJH589936 NSW589907:NTD589936 OCS589907:OCZ589936 OMO589907:OMV589936 OWK589907:OWR589936 PGG589907:PGN589936 PQC589907:PQJ589936 PZY589907:QAF589936 QJU589907:QKB589936 QTQ589907:QTX589936 RDM589907:RDT589936 RNI589907:RNP589936 RXE589907:RXL589936 SHA589907:SHH589936 SQW589907:SRD589936 TAS589907:TAZ589936 TKO589907:TKV589936 TUK589907:TUR589936 UEG589907:UEN589936 UOC589907:UOJ589936 UXY589907:UYF589936 VHU589907:VIB589936 VRQ589907:VRX589936 WBM589907:WBT589936 WLI589907:WLP589936 WVE589907:WVL589936 IS655443:IZ655472 SO655443:SV655472 ACK655443:ACR655472 AMG655443:AMN655472 AWC655443:AWJ655472 BFY655443:BGF655472 BPU655443:BQB655472 BZQ655443:BZX655472 CJM655443:CJT655472 CTI655443:CTP655472 DDE655443:DDL655472 DNA655443:DNH655472 DWW655443:DXD655472 EGS655443:EGZ655472 EQO655443:EQV655472 FAK655443:FAR655472 FKG655443:FKN655472 FUC655443:FUJ655472 GDY655443:GEF655472 GNU655443:GOB655472 GXQ655443:GXX655472 HHM655443:HHT655472 HRI655443:HRP655472 IBE655443:IBL655472 ILA655443:ILH655472 IUW655443:IVD655472 JES655443:JEZ655472 JOO655443:JOV655472 JYK655443:JYR655472 KIG655443:KIN655472 KSC655443:KSJ655472 LBY655443:LCF655472 LLU655443:LMB655472 LVQ655443:LVX655472 MFM655443:MFT655472 MPI655443:MPP655472 MZE655443:MZL655472 NJA655443:NJH655472 NSW655443:NTD655472 OCS655443:OCZ655472 OMO655443:OMV655472 OWK655443:OWR655472 PGG655443:PGN655472 PQC655443:PQJ655472 PZY655443:QAF655472 QJU655443:QKB655472 QTQ655443:QTX655472 RDM655443:RDT655472 RNI655443:RNP655472 RXE655443:RXL655472 SHA655443:SHH655472 SQW655443:SRD655472 TAS655443:TAZ655472 TKO655443:TKV655472 TUK655443:TUR655472 UEG655443:UEN655472 UOC655443:UOJ655472 UXY655443:UYF655472 VHU655443:VIB655472 VRQ655443:VRX655472 WBM655443:WBT655472 WLI655443:WLP655472 WVE655443:WVL655472 IS720979:IZ721008 SO720979:SV721008 ACK720979:ACR721008 AMG720979:AMN721008 AWC720979:AWJ721008 BFY720979:BGF721008 BPU720979:BQB721008 BZQ720979:BZX721008 CJM720979:CJT721008 CTI720979:CTP721008 DDE720979:DDL721008 DNA720979:DNH721008 DWW720979:DXD721008 EGS720979:EGZ721008 EQO720979:EQV721008 FAK720979:FAR721008 FKG720979:FKN721008 FUC720979:FUJ721008 GDY720979:GEF721008 GNU720979:GOB721008 GXQ720979:GXX721008 HHM720979:HHT721008 HRI720979:HRP721008 IBE720979:IBL721008 ILA720979:ILH721008 IUW720979:IVD721008 JES720979:JEZ721008 JOO720979:JOV721008 JYK720979:JYR721008 KIG720979:KIN721008 KSC720979:KSJ721008 LBY720979:LCF721008 LLU720979:LMB721008 LVQ720979:LVX721008 MFM720979:MFT721008 MPI720979:MPP721008 MZE720979:MZL721008 NJA720979:NJH721008 NSW720979:NTD721008 OCS720979:OCZ721008 OMO720979:OMV721008 OWK720979:OWR721008 PGG720979:PGN721008 PQC720979:PQJ721008 PZY720979:QAF721008 QJU720979:QKB721008 QTQ720979:QTX721008 RDM720979:RDT721008 RNI720979:RNP721008 RXE720979:RXL721008 SHA720979:SHH721008 SQW720979:SRD721008 TAS720979:TAZ721008 TKO720979:TKV721008 TUK720979:TUR721008 UEG720979:UEN721008 UOC720979:UOJ721008 UXY720979:UYF721008 VHU720979:VIB721008 VRQ720979:VRX721008 WBM720979:WBT721008 WLI720979:WLP721008 WVE720979:WVL721008 IS786515:IZ786544 SO786515:SV786544 ACK786515:ACR786544 AMG786515:AMN786544 AWC786515:AWJ786544 BFY786515:BGF786544 BPU786515:BQB786544 BZQ786515:BZX786544 CJM786515:CJT786544 CTI786515:CTP786544 DDE786515:DDL786544 DNA786515:DNH786544 DWW786515:DXD786544 EGS786515:EGZ786544 EQO786515:EQV786544 FAK786515:FAR786544 FKG786515:FKN786544 FUC786515:FUJ786544 GDY786515:GEF786544 GNU786515:GOB786544 GXQ786515:GXX786544 HHM786515:HHT786544 HRI786515:HRP786544 IBE786515:IBL786544 ILA786515:ILH786544 IUW786515:IVD786544 JES786515:JEZ786544 JOO786515:JOV786544 JYK786515:JYR786544 KIG786515:KIN786544 KSC786515:KSJ786544 LBY786515:LCF786544 LLU786515:LMB786544 LVQ786515:LVX786544 MFM786515:MFT786544 MPI786515:MPP786544 MZE786515:MZL786544 NJA786515:NJH786544 NSW786515:NTD786544 OCS786515:OCZ786544 OMO786515:OMV786544 OWK786515:OWR786544 PGG786515:PGN786544 PQC786515:PQJ786544 PZY786515:QAF786544 QJU786515:QKB786544 QTQ786515:QTX786544 RDM786515:RDT786544 RNI786515:RNP786544 RXE786515:RXL786544 SHA786515:SHH786544 SQW786515:SRD786544 TAS786515:TAZ786544 TKO786515:TKV786544 TUK786515:TUR786544 UEG786515:UEN786544 UOC786515:UOJ786544 UXY786515:UYF786544 VHU786515:VIB786544 VRQ786515:VRX786544 WBM786515:WBT786544 WLI786515:WLP786544 WVE786515:WVL786544 IS852051:IZ852080 SO852051:SV852080 ACK852051:ACR852080 AMG852051:AMN852080 AWC852051:AWJ852080 BFY852051:BGF852080 BPU852051:BQB852080 BZQ852051:BZX852080 CJM852051:CJT852080 CTI852051:CTP852080 DDE852051:DDL852080 DNA852051:DNH852080 DWW852051:DXD852080 EGS852051:EGZ852080 EQO852051:EQV852080 FAK852051:FAR852080 FKG852051:FKN852080 FUC852051:FUJ852080 GDY852051:GEF852080 GNU852051:GOB852080 GXQ852051:GXX852080 HHM852051:HHT852080 HRI852051:HRP852080 IBE852051:IBL852080 ILA852051:ILH852080 IUW852051:IVD852080 JES852051:JEZ852080 JOO852051:JOV852080 JYK852051:JYR852080 KIG852051:KIN852080 KSC852051:KSJ852080 LBY852051:LCF852080 LLU852051:LMB852080 LVQ852051:LVX852080 MFM852051:MFT852080 MPI852051:MPP852080 MZE852051:MZL852080 NJA852051:NJH852080 NSW852051:NTD852080 OCS852051:OCZ852080 OMO852051:OMV852080 OWK852051:OWR852080 PGG852051:PGN852080 PQC852051:PQJ852080 PZY852051:QAF852080 QJU852051:QKB852080 QTQ852051:QTX852080 RDM852051:RDT852080 RNI852051:RNP852080 RXE852051:RXL852080 SHA852051:SHH852080 SQW852051:SRD852080 TAS852051:TAZ852080 TKO852051:TKV852080 TUK852051:TUR852080 UEG852051:UEN852080 UOC852051:UOJ852080 UXY852051:UYF852080 VHU852051:VIB852080 VRQ852051:VRX852080 WBM852051:WBT852080 WLI852051:WLP852080 WVE852051:WVL852080 IS917587:IZ917616 SO917587:SV917616 ACK917587:ACR917616 AMG917587:AMN917616 AWC917587:AWJ917616 BFY917587:BGF917616 BPU917587:BQB917616 BZQ917587:BZX917616 CJM917587:CJT917616 CTI917587:CTP917616 DDE917587:DDL917616 DNA917587:DNH917616 DWW917587:DXD917616 EGS917587:EGZ917616 EQO917587:EQV917616 FAK917587:FAR917616 FKG917587:FKN917616 FUC917587:FUJ917616 GDY917587:GEF917616 GNU917587:GOB917616 GXQ917587:GXX917616 HHM917587:HHT917616 HRI917587:HRP917616 IBE917587:IBL917616 ILA917587:ILH917616 IUW917587:IVD917616 JES917587:JEZ917616 JOO917587:JOV917616 JYK917587:JYR917616 KIG917587:KIN917616 KSC917587:KSJ917616 LBY917587:LCF917616 LLU917587:LMB917616 LVQ917587:LVX917616 MFM917587:MFT917616 MPI917587:MPP917616 MZE917587:MZL917616 NJA917587:NJH917616 NSW917587:NTD917616 OCS917587:OCZ917616 OMO917587:OMV917616 OWK917587:OWR917616 PGG917587:PGN917616 PQC917587:PQJ917616 PZY917587:QAF917616 QJU917587:QKB917616 QTQ917587:QTX917616 RDM917587:RDT917616 RNI917587:RNP917616 RXE917587:RXL917616 SHA917587:SHH917616 SQW917587:SRD917616 TAS917587:TAZ917616 TKO917587:TKV917616 TUK917587:TUR917616 UEG917587:UEN917616 UOC917587:UOJ917616 UXY917587:UYF917616 VHU917587:VIB917616 VRQ917587:VRX917616 WBM917587:WBT917616 WLI917587:WLP917616 WVE917587:WVL917616 IS983123:IZ983152 SO983123:SV983152 ACK983123:ACR983152 AMG983123:AMN983152 AWC983123:AWJ983152 BFY983123:BGF983152 BPU983123:BQB983152 BZQ983123:BZX983152 CJM983123:CJT983152 CTI983123:CTP983152 DDE983123:DDL983152 DNA983123:DNH983152 DWW983123:DXD983152 EGS983123:EGZ983152 EQO983123:EQV983152 FAK983123:FAR983152 FKG983123:FKN983152 FUC983123:FUJ983152 GDY983123:GEF983152 GNU983123:GOB983152 GXQ983123:GXX983152 HHM983123:HHT983152 HRI983123:HRP983152 IBE983123:IBL983152 ILA983123:ILH983152 IUW983123:IVD983152 JES983123:JEZ983152 JOO983123:JOV983152 JYK983123:JYR983152 KIG983123:KIN983152 KSC983123:KSJ983152 LBY983123:LCF983152 LLU983123:LMB983152 LVQ983123:LVX983152 MFM983123:MFT983152 MPI983123:MPP983152 MZE983123:MZL983152 NJA983123:NJH983152 NSW983123:NTD983152 OCS983123:OCZ983152 OMO983123:OMV983152 OWK983123:OWR983152 PGG983123:PGN983152 PQC983123:PQJ983152 PZY983123:QAF983152 QJU983123:QKB983152 QTQ983123:QTX983152 RDM983123:RDT983152 RNI983123:RNP983152 RXE983123:RXL983152 SHA983123:SHH983152 SQW983123:SRD983152 TAS983123:TAZ983152 TKO983123:TKV983152 TUK983123:TUR983152 UEG983123:UEN983152 UOC983123:UOJ983152 UXY983123:UYF983152 VHU983123:VIB983152 VRQ983123:VRX983152 WBM983123:WBT983152 WLI983123:WLP983152 WVE983123:WVL983152 IT13:JA112 SP13:SW112 ACL13:ACS112 AMH13:AMO112 AWD13:AWK112 BFZ13:BGG112 BPV13:BQC112 BZR13:BZY112 CJN13:CJU112 CTJ13:CTQ112 DDF13:DDM112 DNB13:DNI112 DWX13:DXE112 EGT13:EHA112 EQP13:EQW112 FAL13:FAS112 FKH13:FKO112 FUD13:FUK112 GDZ13:GEG112 GNV13:GOC112 GXR13:GXY112 HHN13:HHU112 HRJ13:HRQ112 IBF13:IBM112 ILB13:ILI112 IUX13:IVE112 JET13:JFA112 JOP13:JOW112 JYL13:JYS112 KIH13:KIO112 KSD13:KSK112 LBZ13:LCG112 LLV13:LMC112 LVR13:LVY112 MFN13:MFU112 MPJ13:MPQ112 MZF13:MZM112 NJB13:NJI112 NSX13:NTE112 OCT13:ODA112 OMP13:OMW112 OWL13:OWS112 PGH13:PGO112 PQD13:PQK112 PZZ13:QAG112 QJV13:QKC112 QTR13:QTY112 RDN13:RDU112 RNJ13:RNQ112 RXF13:RXM112 SHB13:SHI112 SQX13:SRE112 TAT13:TBA112 TKP13:TKW112 TUL13:TUS112 UEH13:UEO112 UOD13:UOK112 UXZ13:UYG112 VHV13:VIC112 VRR13:VRY112 WBN13:WBU112 WLJ13:WLQ112 WVF13:WVM112 C65619:C65648 C983123:C983152 C917587:C917616 C852051:C852080 C786515:C786544 C720979:C721008 C655443:C655472 C589907:C589936 C524371:C524400 C458835:C458864 C393299:C393328 C327763:C327792 C262227:C262256 C196691:C196720 C131155:C131184" xr:uid="{00000000-0002-0000-0800-000000000000}">
      <formula1>N13</formula1>
    </dataValidation>
    <dataValidation errorStyle="warning" allowBlank="1" showInputMessage="1" showErrorMessage="1" errorTitle="טעות בהזנה" error="יש לוודא כי הוזן שם ללהקה_x000a__x000a_יש להזין מספר שלם שאינו שלילי" sqref="H13:H124" xr:uid="{00000000-0002-0000-0800-000001000000}"/>
    <dataValidation type="custom" errorStyle="warning" allowBlank="1" showInputMessage="1" showErrorMessage="1" errorTitle="טעות בהזנה" error="יש לוודא כי הוזן שם ללהקה_x000a__x000a_יש להזין מספר שלם שאינו שלילי" sqref="K65619:K65648 K983123:K983152 K917587:K917616 K852051:K852080 K786515:K786544 K720979:K721008 K655443:K655472 K589907:K589936 K524371:K524400 K458835:K458864 K393299:K393328 K327763:K327792 K262227:K262256 K196691:K196720 K131155:K131184" xr:uid="{00000000-0002-0000-0800-000002000000}">
      <formula1>X65619</formula1>
    </dataValidation>
    <dataValidation type="whole" allowBlank="1" showInputMessage="1" showErrorMessage="1" sqref="K13:K112 D13:G124" xr:uid="{00000000-0002-0000-0800-000003000000}">
      <formula1>0</formula1>
      <formula2>9.99999999999999E+36</formula2>
    </dataValidation>
    <dataValidation type="custom" errorStyle="warning" allowBlank="1" showInputMessage="1" showErrorMessage="1" errorTitle="טעות בהזנה" error="יש לוודא כי הוזן שם ללהקה_x000a__x000a_יש להזין מספר שלם שאינו שלילי" sqref="I131155:J131184 I65619:J65648 I983123:J983152 I917587:J917616 I852051:J852080 I786515:J786544 I720979:J721008 I655443:J655472 I589907:J589936 I524371:J524400 I458835:J458864 I393299:J393328 I327763:J327792 I262227:J262256 I196691:J196720" xr:uid="{00000000-0002-0000-0800-000004000000}">
      <formula1>Q65619</formula1>
    </dataValidation>
    <dataValidation type="custom" errorStyle="warning" allowBlank="1" showInputMessage="1" showErrorMessage="1" errorTitle="טעות בהזנה" error="יש לוודא כי הוזן שם ללהקה_x000a__x000a_יש להזין מספר שלם שאינו שלילי" sqref="H131155:H131184 H65619:H65648 H983123:H983152 H917587:H917616 H852051:H852080 H786515:H786544 H720979:H721008 H655443:H655472 H589907:H589936 H524371:H524400 H458835:H458864 H393299:H393328 H327763:H327792 H262227:H262256 H196691:H196720 F131155:F131184 F196691:F196720 F262227:F262256 F327763:F327792 F393299:F393328 F458835:F458864 F524371:F524400 F589907:F589936 F655443:F655472 F720979:F721008 F786515:F786544 F852051:F852080 F917587:F917616 F983123:F983152 F65619:F65648 D65619:D65648 D983123:D983152 D917587:D917616 D852051:D852080 D786515:D786544 D720979:D721008 D655443:D655472 D589907:D589936 D524371:D524400 D458835:D458864 D393299:D393328 D327763:D327792 D262227:D262256 D196691:D196720 D131155:D131184" xr:uid="{00000000-0002-0000-0800-000005000000}">
      <formula1>#REF!</formula1>
    </dataValidation>
    <dataValidation type="custom" errorStyle="warning" allowBlank="1" showInputMessage="1" showErrorMessage="1" errorTitle="טעות בהזנה" error="יש לוודא כי הוזן שם ללהקה_x000a__x000a_יש להזין מספר שלם שאינו שלילי" sqref="G65619:G65648 G983123:G983152 G917587:G917616 G852051:G852080 G786515:G786544 G720979:G721008 G655443:G655472 G589907:G589936 G524371:G524400 G458835:G458864 G393299:G393328 G327763:G327792 G262227:G262256 G196691:G196720 G131155:G131184" xr:uid="{00000000-0002-0000-0800-000006000000}">
      <formula1>P65619</formula1>
    </dataValidation>
    <dataValidation type="custom" errorStyle="warning" allowBlank="1" showInputMessage="1" showErrorMessage="1" errorTitle="טעות בהזנה" error="יש לוודא כי הוזן שם ללהקה_x000a__x000a_יש להזין מספר שלם שאינו שלילי" sqref="E131155:E131184 E65619:E65648 E983123:E983152 E917587:E917616 E852051:E852080 E786515:E786544 E720979:E721008 E655443:E655472 E589907:E589936 E524371:E524400 E458835:E458864 E393299:E393328 E327763:E327792 E262227:E262256 E196691:E196720" xr:uid="{00000000-0002-0000-0800-000007000000}">
      <formula1>O65619</formula1>
    </dataValidation>
  </dataValidations>
  <printOptions horizontalCentered="1"/>
  <pageMargins left="0.27559055118110237" right="0.19685039370078741" top="0.62992125984251968" bottom="0.47244094488188981" header="0.31496062992125984" footer="0.23622047244094491"/>
  <pageSetup paperSize="9" scale="42" orientation="portrait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Worksheet______6">
    <tabColor theme="5" tint="0.39997558519241921"/>
    <pageSetUpPr fitToPage="1"/>
  </sheetPr>
  <dimension ref="A1:L122"/>
  <sheetViews>
    <sheetView rightToLeft="1" view="pageBreakPreview" zoomScale="110" zoomScaleNormal="100" zoomScaleSheetLayoutView="110" workbookViewId="0">
      <pane xSplit="2" ySplit="8" topLeftCell="C9" activePane="bottomRight" state="frozen"/>
      <selection pane="topRight" activeCell="E1" sqref="E1:E2"/>
      <selection pane="bottomLeft" activeCell="E1" sqref="E1:E2"/>
      <selection pane="bottomRight" activeCell="C9" sqref="C9"/>
    </sheetView>
  </sheetViews>
  <sheetFormatPr defaultColWidth="9.140625" defaultRowHeight="12.75" x14ac:dyDescent="0.2"/>
  <cols>
    <col min="1" max="1" width="10" style="1" bestFit="1" customWidth="1"/>
    <col min="2" max="2" width="41.28515625" style="1" bestFit="1" customWidth="1"/>
    <col min="3" max="3" width="21.42578125" style="1" customWidth="1"/>
    <col min="4" max="4" width="20.42578125" style="1" customWidth="1"/>
    <col min="5" max="5" width="22" style="1" bestFit="1" customWidth="1"/>
    <col min="6" max="6" width="16.85546875" style="1" bestFit="1" customWidth="1"/>
    <col min="7" max="7" width="24.42578125" style="1" bestFit="1" customWidth="1"/>
    <col min="8" max="8" width="8.42578125" style="1" customWidth="1"/>
    <col min="9" max="9" width="13" style="1" customWidth="1"/>
    <col min="10" max="10" width="10.28515625" style="1" customWidth="1"/>
    <col min="11" max="13" width="4.85546875" style="1" customWidth="1"/>
    <col min="14" max="16384" width="9.140625" style="1"/>
  </cols>
  <sheetData>
    <row r="1" spans="1:12" ht="18" customHeight="1" x14ac:dyDescent="0.25">
      <c r="B1" s="767" t="str">
        <f>פרמטרים!B56</f>
        <v>מפתח סימול הכנסות עצמיות</v>
      </c>
      <c r="C1" s="768"/>
      <c r="E1" s="769" t="str">
        <f>פרמטרים!C1</f>
        <v>שנת התקציב</v>
      </c>
      <c r="F1" s="770"/>
      <c r="G1" s="773">
        <f>פרמטרים!E1</f>
        <v>2025</v>
      </c>
      <c r="H1" s="774"/>
    </row>
    <row r="2" spans="1:12" ht="19.5" thickBot="1" x14ac:dyDescent="0.25">
      <c r="B2" s="39" t="str">
        <f>פרמטרים!B57</f>
        <v>פרמטר</v>
      </c>
      <c r="C2" s="40" t="str">
        <f>פרמטרים!C57</f>
        <v>ניקוד</v>
      </c>
      <c r="E2" s="771" t="str">
        <f>פרמטרים!C2</f>
        <v>תקציב</v>
      </c>
      <c r="F2" s="772"/>
      <c r="G2" s="775">
        <f>פרמטרים!E2</f>
        <v>8082764</v>
      </c>
      <c r="H2" s="776"/>
    </row>
    <row r="3" spans="1:12" x14ac:dyDescent="0.2">
      <c r="B3" s="57" t="str">
        <f>פרמטרים!B58</f>
        <v>עבור כל 1 ₪ ממכירת כטיסים ומופעים</v>
      </c>
      <c r="C3" s="58">
        <f>פרמטרים!C58</f>
        <v>1.5</v>
      </c>
      <c r="D3" s="32"/>
    </row>
    <row r="4" spans="1:12" x14ac:dyDescent="0.2">
      <c r="B4" s="57" t="str">
        <f>פרמטרים!B59</f>
        <v>עבור כל 1 ₪ מתרומות או מהכנסות עצמיות</v>
      </c>
      <c r="C4" s="49">
        <f>פרמטרים!C59</f>
        <v>1</v>
      </c>
      <c r="D4" s="32"/>
    </row>
    <row r="5" spans="1:12" x14ac:dyDescent="0.2">
      <c r="B5" s="41"/>
      <c r="C5" s="41"/>
      <c r="D5" s="41"/>
    </row>
    <row r="6" spans="1:12" ht="13.5" thickBot="1" x14ac:dyDescent="0.25">
      <c r="B6" s="41"/>
      <c r="C6" s="41"/>
      <c r="D6" s="32"/>
    </row>
    <row r="7" spans="1:12" ht="20.25" thickTop="1" thickBot="1" x14ac:dyDescent="0.35">
      <c r="A7" s="790" t="str">
        <f ca="1">"שיעור יחסי במשתנה "&amp;MID(CELL("filename",G99),FIND("]",CELL("filename",G99),1)+1,99)</f>
        <v>שיעור יחסי במשתנה הכנסות עצמיות</v>
      </c>
      <c r="B7" s="791"/>
      <c r="C7" s="791"/>
      <c r="D7" s="791"/>
      <c r="E7" s="791"/>
      <c r="F7" s="791"/>
      <c r="G7" s="791"/>
    </row>
    <row r="8" spans="1:12" ht="78" customHeight="1" thickTop="1" thickBot="1" x14ac:dyDescent="0.25">
      <c r="A8" s="93" t="s">
        <v>206</v>
      </c>
      <c r="B8" s="52" t="s">
        <v>225</v>
      </c>
      <c r="C8" s="36" t="s">
        <v>234</v>
      </c>
      <c r="D8" s="36" t="s">
        <v>235</v>
      </c>
      <c r="E8" s="36" t="s">
        <v>226</v>
      </c>
      <c r="F8" s="36" t="s">
        <v>236</v>
      </c>
      <c r="G8" s="36" t="s">
        <v>228</v>
      </c>
    </row>
    <row r="9" spans="1:12" ht="15.75" x14ac:dyDescent="0.25">
      <c r="A9" s="9">
        <f>'מיקום ההרצות'!A13</f>
        <v>1</v>
      </c>
      <c r="B9" s="402" t="str">
        <f>'מיקום ההרצות'!B13</f>
        <v>סילביה דוראן</v>
      </c>
      <c r="C9" s="266">
        <v>63870</v>
      </c>
      <c r="D9" s="266">
        <v>4850</v>
      </c>
      <c r="E9" s="404">
        <f>סיווג!AB21</f>
        <v>0.33</v>
      </c>
      <c r="F9" s="413">
        <f>IF(B9="","",IF(ISERR(C9*D9*E9),"",(C9*$C$3+D9*$C$4)*E9))</f>
        <v>33216.15</v>
      </c>
      <c r="G9" s="408">
        <f t="shared" ref="G9:G40" si="0">IF(ISERR(F9/$F$121),"",F9/$F$121)</f>
        <v>2.4380039500902419E-3</v>
      </c>
      <c r="K9" s="28"/>
      <c r="L9" s="28"/>
    </row>
    <row r="10" spans="1:12" ht="15.75" x14ac:dyDescent="0.25">
      <c r="A10" s="9">
        <f>'מיקום ההרצות'!A14</f>
        <v>2</v>
      </c>
      <c r="B10" s="402" t="str">
        <f>'מיקום ההרצות'!B14</f>
        <v>רנה שינפלד</v>
      </c>
      <c r="C10" s="266">
        <v>38946</v>
      </c>
      <c r="D10" s="266">
        <v>0</v>
      </c>
      <c r="E10" s="404">
        <f>סיווג!AB22</f>
        <v>1</v>
      </c>
      <c r="F10" s="413">
        <f t="shared" ref="F10:F73" si="1">IF(B10="","",IF(ISERR(C10*D10*E10),"",(C10*$C$3+D10*$C$4)*E10))</f>
        <v>58419</v>
      </c>
      <c r="G10" s="408">
        <f t="shared" si="0"/>
        <v>4.2878465072057363E-3</v>
      </c>
      <c r="K10" s="28"/>
      <c r="L10" s="28"/>
    </row>
    <row r="11" spans="1:12" ht="15.75" x14ac:dyDescent="0.25">
      <c r="A11" s="9">
        <f>'מיקום ההרצות'!A15</f>
        <v>3</v>
      </c>
      <c r="B11" s="402" t="str">
        <f>'מיקום ההרצות'!B15</f>
        <v>אבי קייזר וסרג'יו אנטוניניו</v>
      </c>
      <c r="C11" s="266">
        <v>20244</v>
      </c>
      <c r="D11" s="266">
        <v>46780</v>
      </c>
      <c r="E11" s="404">
        <f>סיווג!AB23</f>
        <v>1</v>
      </c>
      <c r="F11" s="413">
        <f t="shared" si="1"/>
        <v>77146</v>
      </c>
      <c r="G11" s="408">
        <f t="shared" si="0"/>
        <v>5.6623736565996298E-3</v>
      </c>
      <c r="K11" s="28"/>
      <c r="L11" s="28"/>
    </row>
    <row r="12" spans="1:12" ht="15.75" x14ac:dyDescent="0.25">
      <c r="A12" s="9">
        <f>'מיקום ההרצות'!A16</f>
        <v>4</v>
      </c>
      <c r="B12" s="402" t="str">
        <f>'מיקום ההרצות'!B16</f>
        <v/>
      </c>
      <c r="C12" s="266"/>
      <c r="D12" s="266"/>
      <c r="E12" s="404" t="str">
        <f>סיווג!AB24</f>
        <v/>
      </c>
      <c r="F12" s="413" t="str">
        <f t="shared" si="1"/>
        <v/>
      </c>
      <c r="G12" s="408" t="str">
        <f t="shared" si="0"/>
        <v/>
      </c>
      <c r="K12" s="28"/>
      <c r="L12" s="28"/>
    </row>
    <row r="13" spans="1:12" ht="15.75" x14ac:dyDescent="0.25">
      <c r="A13" s="9">
        <f>'מיקום ההרצות'!A17</f>
        <v>5</v>
      </c>
      <c r="B13" s="402" t="str">
        <f>'מיקום ההרצות'!B17</f>
        <v>אדוה ירמיהו</v>
      </c>
      <c r="C13" s="266">
        <v>106635</v>
      </c>
      <c r="D13" s="266">
        <v>20839</v>
      </c>
      <c r="E13" s="404">
        <f>סיווג!AB25</f>
        <v>1</v>
      </c>
      <c r="F13" s="413">
        <f t="shared" si="1"/>
        <v>180791.5</v>
      </c>
      <c r="G13" s="408">
        <f t="shared" si="0"/>
        <v>1.3269761581120627E-2</v>
      </c>
      <c r="K13" s="28"/>
      <c r="L13" s="28"/>
    </row>
    <row r="14" spans="1:12" ht="15.75" x14ac:dyDescent="0.25">
      <c r="A14" s="9">
        <f>'מיקום ההרצות'!A18</f>
        <v>6</v>
      </c>
      <c r="B14" s="402" t="str">
        <f>'מיקום ההרצות'!B18</f>
        <v>אהרונה ישראל</v>
      </c>
      <c r="C14" s="266">
        <v>31226</v>
      </c>
      <c r="D14" s="266">
        <v>10250</v>
      </c>
      <c r="E14" s="404">
        <f>סיווג!AB26</f>
        <v>1</v>
      </c>
      <c r="F14" s="413">
        <f t="shared" si="1"/>
        <v>57089</v>
      </c>
      <c r="G14" s="408">
        <f t="shared" si="0"/>
        <v>4.1902269681074363E-3</v>
      </c>
      <c r="K14" s="28"/>
      <c r="L14" s="28"/>
    </row>
    <row r="15" spans="1:12" ht="15.75" x14ac:dyDescent="0.25">
      <c r="A15" s="9">
        <f>'מיקום ההרצות'!A19</f>
        <v>7</v>
      </c>
      <c r="B15" s="402" t="str">
        <f>'מיקום ההרצות'!B19</f>
        <v>אופיר יודילביץ</v>
      </c>
      <c r="C15" s="266">
        <v>144560</v>
      </c>
      <c r="D15" s="266">
        <v>30755</v>
      </c>
      <c r="E15" s="404">
        <f>סיווג!AB27</f>
        <v>1</v>
      </c>
      <c r="F15" s="413">
        <f t="shared" si="1"/>
        <v>247595</v>
      </c>
      <c r="G15" s="408">
        <f t="shared" si="0"/>
        <v>1.8173014874468998E-2</v>
      </c>
      <c r="K15" s="28"/>
      <c r="L15" s="28"/>
    </row>
    <row r="16" spans="1:12" ht="15.75" x14ac:dyDescent="0.25">
      <c r="A16" s="9">
        <f>'מיקום ההרצות'!A20</f>
        <v>8</v>
      </c>
      <c r="B16" s="402" t="str">
        <f>'מיקום ההרצות'!B20</f>
        <v>אור מרין ואורן נחום</v>
      </c>
      <c r="C16" s="266">
        <v>206965</v>
      </c>
      <c r="D16" s="266">
        <v>960</v>
      </c>
      <c r="E16" s="404">
        <f>סיווג!AB28</f>
        <v>1</v>
      </c>
      <c r="F16" s="413">
        <f t="shared" si="1"/>
        <v>311407.5</v>
      </c>
      <c r="G16" s="408">
        <f t="shared" si="0"/>
        <v>2.2856734302070737E-2</v>
      </c>
      <c r="K16" s="28"/>
      <c r="L16" s="28"/>
    </row>
    <row r="17" spans="1:12" ht="15.75" x14ac:dyDescent="0.25">
      <c r="A17" s="9">
        <f>'מיקום ההרצות'!A21</f>
        <v>9</v>
      </c>
      <c r="B17" s="402" t="str">
        <f>'מיקום ההרצות'!B21</f>
        <v>אורי שפיר</v>
      </c>
      <c r="C17" s="266">
        <v>85844</v>
      </c>
      <c r="D17" s="266">
        <v>7476</v>
      </c>
      <c r="E17" s="404">
        <f>סיווג!AB29</f>
        <v>1</v>
      </c>
      <c r="F17" s="413">
        <f t="shared" si="1"/>
        <v>136242</v>
      </c>
      <c r="G17" s="408">
        <f t="shared" si="0"/>
        <v>9.9999107111508924E-3</v>
      </c>
      <c r="K17" s="28"/>
      <c r="L17" s="28"/>
    </row>
    <row r="18" spans="1:12" ht="15.75" x14ac:dyDescent="0.25">
      <c r="A18" s="9">
        <f>'מיקום ההרצות'!A22</f>
        <v>10</v>
      </c>
      <c r="B18" s="402" t="str">
        <f>'מיקום ההרצות'!B22</f>
        <v>אורלי פורטל</v>
      </c>
      <c r="C18" s="266">
        <v>149871</v>
      </c>
      <c r="D18" s="266">
        <v>13133</v>
      </c>
      <c r="E18" s="404">
        <f>סיווג!AB30</f>
        <v>1</v>
      </c>
      <c r="F18" s="413">
        <f t="shared" si="1"/>
        <v>237939.5</v>
      </c>
      <c r="G18" s="408">
        <f t="shared" si="0"/>
        <v>1.7464319040060242E-2</v>
      </c>
      <c r="K18" s="28"/>
      <c r="L18" s="28"/>
    </row>
    <row r="19" spans="1:12" ht="15.75" x14ac:dyDescent="0.25">
      <c r="A19" s="9">
        <f>'מיקום ההרצות'!A23</f>
        <v>11</v>
      </c>
      <c r="B19" s="402" t="str">
        <f>'מיקום ההרצות'!B23</f>
        <v/>
      </c>
      <c r="C19" s="266"/>
      <c r="D19" s="266"/>
      <c r="E19" s="404" t="str">
        <f>סיווג!AB31</f>
        <v/>
      </c>
      <c r="F19" s="413" t="str">
        <f t="shared" si="1"/>
        <v/>
      </c>
      <c r="G19" s="408" t="str">
        <f t="shared" si="0"/>
        <v/>
      </c>
      <c r="K19" s="28"/>
      <c r="L19" s="28"/>
    </row>
    <row r="20" spans="1:12" ht="15.75" x14ac:dyDescent="0.25">
      <c r="A20" s="9">
        <f>'מיקום ההרצות'!A24</f>
        <v>12</v>
      </c>
      <c r="B20" s="402" t="str">
        <f>'מיקום ההרצות'!B24</f>
        <v>אורין יוחנן</v>
      </c>
      <c r="C20" s="266">
        <v>60891</v>
      </c>
      <c r="D20" s="266">
        <v>4380</v>
      </c>
      <c r="E20" s="404">
        <f>סיווג!AB32</f>
        <v>1</v>
      </c>
      <c r="F20" s="413">
        <f t="shared" si="1"/>
        <v>95716.5</v>
      </c>
      <c r="G20" s="408">
        <f t="shared" si="0"/>
        <v>7.0254139955657898E-3</v>
      </c>
      <c r="K20" s="28"/>
      <c r="L20" s="28"/>
    </row>
    <row r="21" spans="1:12" ht="15.75" x14ac:dyDescent="0.25">
      <c r="A21" s="9">
        <f>'מיקום ההרצות'!A25</f>
        <v>13</v>
      </c>
      <c r="B21" s="402" t="str">
        <f>'מיקום ההרצות'!B25</f>
        <v>איריס ארז</v>
      </c>
      <c r="C21" s="266">
        <v>50059</v>
      </c>
      <c r="D21" s="266">
        <v>25828</v>
      </c>
      <c r="E21" s="404">
        <f>סיווג!AB33</f>
        <v>1</v>
      </c>
      <c r="F21" s="413">
        <f t="shared" si="1"/>
        <v>100916.5</v>
      </c>
      <c r="G21" s="408">
        <f t="shared" si="0"/>
        <v>7.4070843739952362E-3</v>
      </c>
      <c r="K21" s="28"/>
      <c r="L21" s="28"/>
    </row>
    <row r="22" spans="1:12" ht="15.75" x14ac:dyDescent="0.25">
      <c r="A22" s="9">
        <f>'מיקום ההרצות'!A26</f>
        <v>14</v>
      </c>
      <c r="B22" s="402" t="str">
        <f>'מיקום ההרצות'!B26</f>
        <v/>
      </c>
      <c r="C22" s="266"/>
      <c r="D22" s="266"/>
      <c r="E22" s="404" t="str">
        <f>סיווג!AB34</f>
        <v/>
      </c>
      <c r="F22" s="413" t="str">
        <f t="shared" si="1"/>
        <v/>
      </c>
      <c r="G22" s="408" t="str">
        <f t="shared" si="0"/>
        <v/>
      </c>
      <c r="K22" s="28"/>
      <c r="L22" s="28"/>
    </row>
    <row r="23" spans="1:12" ht="15.75" x14ac:dyDescent="0.25">
      <c r="A23" s="9">
        <f>'מיקום ההרצות'!A27</f>
        <v>15</v>
      </c>
      <c r="B23" s="402" t="str">
        <f>'מיקום ההרצות'!B27</f>
        <v>ענבל אושמן</v>
      </c>
      <c r="C23" s="266">
        <v>170808</v>
      </c>
      <c r="D23" s="266">
        <v>9930</v>
      </c>
      <c r="E23" s="404">
        <f>סיווג!AB35</f>
        <v>1</v>
      </c>
      <c r="F23" s="413">
        <f t="shared" si="1"/>
        <v>266142</v>
      </c>
      <c r="G23" s="408">
        <f t="shared" si="0"/>
        <v>1.9534330356917255E-2</v>
      </c>
      <c r="K23" s="28"/>
      <c r="L23" s="28"/>
    </row>
    <row r="24" spans="1:12" ht="15.75" x14ac:dyDescent="0.25">
      <c r="A24" s="9">
        <f>'מיקום ההרצות'!A28</f>
        <v>16</v>
      </c>
      <c r="B24" s="402" t="str">
        <f>'מיקום ההרצות'!B28</f>
        <v>אנדריאה מרטיני</v>
      </c>
      <c r="C24" s="266">
        <v>178404</v>
      </c>
      <c r="D24" s="266">
        <v>5760</v>
      </c>
      <c r="E24" s="404">
        <f>סיווג!AB36</f>
        <v>1</v>
      </c>
      <c r="F24" s="413">
        <f t="shared" si="1"/>
        <v>273366</v>
      </c>
      <c r="G24" s="408">
        <f t="shared" si="0"/>
        <v>2.0064558590335395E-2</v>
      </c>
      <c r="K24" s="28"/>
      <c r="L24" s="28"/>
    </row>
    <row r="25" spans="1:12" ht="15.75" x14ac:dyDescent="0.25">
      <c r="A25" s="9">
        <f>'מיקום ההרצות'!A29</f>
        <v>17</v>
      </c>
      <c r="B25" s="402" t="str">
        <f>'מיקום ההרצות'!B29</f>
        <v>אפרת רובין</v>
      </c>
      <c r="C25" s="266">
        <v>18152</v>
      </c>
      <c r="D25" s="266">
        <v>33599</v>
      </c>
      <c r="E25" s="404">
        <f>סיווג!AB37</f>
        <v>1</v>
      </c>
      <c r="F25" s="413">
        <f t="shared" si="1"/>
        <v>60827</v>
      </c>
      <c r="G25" s="408">
        <f t="shared" si="0"/>
        <v>4.4645892516784495E-3</v>
      </c>
      <c r="K25" s="28"/>
      <c r="L25" s="28"/>
    </row>
    <row r="26" spans="1:12" ht="15.75" x14ac:dyDescent="0.25">
      <c r="A26" s="9">
        <f>'מיקום ההרצות'!A30</f>
        <v>18</v>
      </c>
      <c r="B26" s="402" t="str">
        <f>'מיקום ההרצות'!B30</f>
        <v>שרון צוקרמן</v>
      </c>
      <c r="C26" s="266">
        <v>85390</v>
      </c>
      <c r="D26" s="266">
        <v>44227</v>
      </c>
      <c r="E26" s="404">
        <f>סיווג!AB38</f>
        <v>1</v>
      </c>
      <c r="F26" s="413">
        <f t="shared" si="1"/>
        <v>172312</v>
      </c>
      <c r="G26" s="408">
        <f t="shared" si="0"/>
        <v>1.2647381970756686E-2</v>
      </c>
      <c r="K26" s="28"/>
      <c r="L26" s="28"/>
    </row>
    <row r="27" spans="1:12" ht="15.75" x14ac:dyDescent="0.25">
      <c r="A27" s="9">
        <f>'מיקום ההרצות'!A31</f>
        <v>19</v>
      </c>
      <c r="B27" s="402" t="str">
        <f>'מיקום ההרצות'!B31</f>
        <v>בשמת נוסן</v>
      </c>
      <c r="C27" s="266">
        <v>37470</v>
      </c>
      <c r="D27" s="266">
        <v>6500</v>
      </c>
      <c r="E27" s="404">
        <f>סיווג!AB39</f>
        <v>1</v>
      </c>
      <c r="F27" s="413">
        <f t="shared" si="1"/>
        <v>62705</v>
      </c>
      <c r="G27" s="408">
        <f t="shared" si="0"/>
        <v>4.602430976811238E-3</v>
      </c>
      <c r="K27" s="28"/>
      <c r="L27" s="28"/>
    </row>
    <row r="28" spans="1:12" ht="15.75" x14ac:dyDescent="0.25">
      <c r="A28" s="9">
        <f>'מיקום ההרצות'!A32</f>
        <v>20</v>
      </c>
      <c r="B28" s="402" t="str">
        <f>'מיקום ההרצות'!B32</f>
        <v>גיל קרר</v>
      </c>
      <c r="C28" s="266">
        <v>146423</v>
      </c>
      <c r="D28" s="266">
        <v>12180</v>
      </c>
      <c r="E28" s="404">
        <f>סיווג!AB40</f>
        <v>1</v>
      </c>
      <c r="F28" s="413">
        <f t="shared" si="1"/>
        <v>231814.5</v>
      </c>
      <c r="G28" s="408">
        <f t="shared" si="0"/>
        <v>1.7014755373160176E-2</v>
      </c>
      <c r="K28" s="28"/>
      <c r="L28" s="28"/>
    </row>
    <row r="29" spans="1:12" ht="15.75" x14ac:dyDescent="0.25">
      <c r="A29" s="9">
        <f>'מיקום ההרצות'!A33</f>
        <v>21</v>
      </c>
      <c r="B29" s="402" t="str">
        <f>'מיקום ההרצות'!B33</f>
        <v>דינה תלם</v>
      </c>
      <c r="C29" s="266">
        <v>111186</v>
      </c>
      <c r="D29" s="266">
        <v>11450</v>
      </c>
      <c r="E29" s="404">
        <f>סיווג!AB41</f>
        <v>1</v>
      </c>
      <c r="F29" s="413">
        <f t="shared" si="1"/>
        <v>178229</v>
      </c>
      <c r="G29" s="408">
        <f t="shared" si="0"/>
        <v>1.3081678822519578E-2</v>
      </c>
      <c r="K29" s="28"/>
      <c r="L29" s="28"/>
    </row>
    <row r="30" spans="1:12" ht="15.75" x14ac:dyDescent="0.25">
      <c r="A30" s="9">
        <f>'מיקום ההרצות'!A34</f>
        <v>22</v>
      </c>
      <c r="B30" s="402" t="str">
        <f>'מיקום ההרצות'!B34</f>
        <v>דנה יהלומי</v>
      </c>
      <c r="C30" s="266">
        <v>142711</v>
      </c>
      <c r="D30" s="266">
        <v>15638</v>
      </c>
      <c r="E30" s="404">
        <f>סיווג!AB42</f>
        <v>1</v>
      </c>
      <c r="F30" s="413">
        <f t="shared" si="1"/>
        <v>229704.5</v>
      </c>
      <c r="G30" s="408">
        <f t="shared" si="0"/>
        <v>1.6859885277297457E-2</v>
      </c>
      <c r="K30" s="28"/>
      <c r="L30" s="28"/>
    </row>
    <row r="31" spans="1:12" ht="15.75" x14ac:dyDescent="0.25">
      <c r="A31" s="9">
        <f>'מיקום ההרצות'!A35</f>
        <v>23</v>
      </c>
      <c r="B31" s="402" t="str">
        <f>'מיקום ההרצות'!B35</f>
        <v>דנה רוטנברג</v>
      </c>
      <c r="C31" s="266">
        <v>90423</v>
      </c>
      <c r="D31" s="266">
        <v>43941</v>
      </c>
      <c r="E31" s="404">
        <f>סיווג!AB43</f>
        <v>1</v>
      </c>
      <c r="F31" s="413">
        <f t="shared" si="1"/>
        <v>179575.5</v>
      </c>
      <c r="G31" s="408">
        <f t="shared" si="0"/>
        <v>1.3180509431087895E-2</v>
      </c>
      <c r="K31" s="28"/>
      <c r="L31" s="28"/>
    </row>
    <row r="32" spans="1:12" ht="15.75" x14ac:dyDescent="0.25">
      <c r="A32" s="9">
        <f>'מיקום ההרצות'!A36</f>
        <v>24</v>
      </c>
      <c r="B32" s="402" t="str">
        <f>'מיקום ההרצות'!B36</f>
        <v>דפי אלטבב</v>
      </c>
      <c r="C32" s="266">
        <v>146897</v>
      </c>
      <c r="D32" s="266">
        <v>13332</v>
      </c>
      <c r="E32" s="404">
        <f>סיווג!AB44</f>
        <v>1</v>
      </c>
      <c r="F32" s="413">
        <f t="shared" si="1"/>
        <v>233677.5</v>
      </c>
      <c r="G32" s="408">
        <f t="shared" si="0"/>
        <v>1.7151496126047494E-2</v>
      </c>
      <c r="K32" s="28"/>
      <c r="L32" s="28"/>
    </row>
    <row r="33" spans="1:12" ht="15.75" x14ac:dyDescent="0.25">
      <c r="A33" s="9">
        <f>'מיקום ההרצות'!A37</f>
        <v>25</v>
      </c>
      <c r="B33" s="402" t="str">
        <f>'מיקום ההרצות'!B37</f>
        <v>הלל קוגן</v>
      </c>
      <c r="C33" s="266">
        <v>102501</v>
      </c>
      <c r="D33" s="266">
        <v>34120</v>
      </c>
      <c r="E33" s="404">
        <f>סיווג!AB45</f>
        <v>1</v>
      </c>
      <c r="F33" s="413">
        <f t="shared" si="1"/>
        <v>187871.5</v>
      </c>
      <c r="G33" s="408">
        <f t="shared" si="0"/>
        <v>1.3789420480982258E-2</v>
      </c>
      <c r="K33" s="28"/>
      <c r="L33" s="28"/>
    </row>
    <row r="34" spans="1:12" ht="15.75" x14ac:dyDescent="0.25">
      <c r="A34" s="9">
        <f>'מיקום ההרצות'!A38</f>
        <v>26</v>
      </c>
      <c r="B34" s="402" t="str">
        <f>'מיקום ההרצות'!B38</f>
        <v>אנאבל דביר</v>
      </c>
      <c r="C34" s="266">
        <v>171078</v>
      </c>
      <c r="D34" s="266">
        <v>5730</v>
      </c>
      <c r="E34" s="404">
        <f>סיווג!AB46</f>
        <v>1</v>
      </c>
      <c r="F34" s="413">
        <f t="shared" si="1"/>
        <v>262347</v>
      </c>
      <c r="G34" s="408">
        <f t="shared" si="0"/>
        <v>1.9255784378813458E-2</v>
      </c>
      <c r="K34" s="28"/>
      <c r="L34" s="28"/>
    </row>
    <row r="35" spans="1:12" ht="15.75" x14ac:dyDescent="0.25">
      <c r="A35" s="9">
        <f>'מיקום ההרצות'!A39</f>
        <v>27</v>
      </c>
      <c r="B35" s="402" t="str">
        <f>'מיקום ההרצות'!B39</f>
        <v>יוסי ברג ועודד גרף</v>
      </c>
      <c r="C35" s="266">
        <v>181611</v>
      </c>
      <c r="D35" s="266">
        <v>15058</v>
      </c>
      <c r="E35" s="404">
        <f>סיווג!AB47</f>
        <v>1</v>
      </c>
      <c r="F35" s="413">
        <f t="shared" si="1"/>
        <v>287474.5</v>
      </c>
      <c r="G35" s="408">
        <f t="shared" si="0"/>
        <v>2.110009638534921E-2</v>
      </c>
      <c r="K35" s="28"/>
      <c r="L35" s="28"/>
    </row>
    <row r="36" spans="1:12" ht="15.75" x14ac:dyDescent="0.25">
      <c r="A36" s="9">
        <f>'מיקום ההרצות'!A40</f>
        <v>28</v>
      </c>
      <c r="B36" s="402" t="str">
        <f>'מיקום ההרצות'!B40</f>
        <v>נדין בומר</v>
      </c>
      <c r="C36" s="266">
        <v>153991</v>
      </c>
      <c r="D36" s="266">
        <v>0</v>
      </c>
      <c r="E36" s="404">
        <f>סיווג!AB48</f>
        <v>1</v>
      </c>
      <c r="F36" s="413">
        <f t="shared" si="1"/>
        <v>230986.5</v>
      </c>
      <c r="G36" s="408">
        <f t="shared" si="0"/>
        <v>1.6953981705210255E-2</v>
      </c>
      <c r="K36" s="28"/>
      <c r="L36" s="28"/>
    </row>
    <row r="37" spans="1:12" ht="15.75" x14ac:dyDescent="0.25">
      <c r="A37" s="9">
        <f>'מיקום ההרצות'!A41</f>
        <v>29</v>
      </c>
      <c r="B37" s="402" t="str">
        <f>'מיקום ההרצות'!B41</f>
        <v xml:space="preserve">להקת בלט פאנוב </v>
      </c>
      <c r="C37" s="266">
        <v>158333</v>
      </c>
      <c r="D37" s="266">
        <v>11130</v>
      </c>
      <c r="E37" s="404">
        <f>סיווג!AB49</f>
        <v>1</v>
      </c>
      <c r="F37" s="413">
        <f t="shared" si="1"/>
        <v>248629.5</v>
      </c>
      <c r="G37" s="408">
        <f t="shared" si="0"/>
        <v>1.8248945260331547E-2</v>
      </c>
      <c r="K37" s="28"/>
      <c r="L37" s="28"/>
    </row>
    <row r="38" spans="1:12" ht="15.75" x14ac:dyDescent="0.25">
      <c r="A38" s="9">
        <f>'מיקום ההרצות'!A42</f>
        <v>30</v>
      </c>
      <c r="B38" s="402" t="str">
        <f>'מיקום ההרצות'!B42</f>
        <v/>
      </c>
      <c r="C38" s="266"/>
      <c r="D38" s="266"/>
      <c r="E38" s="404" t="str">
        <f>סיווג!AB50</f>
        <v/>
      </c>
      <c r="F38" s="413" t="str">
        <f t="shared" si="1"/>
        <v/>
      </c>
      <c r="G38" s="408" t="str">
        <f t="shared" si="0"/>
        <v/>
      </c>
      <c r="K38" s="28"/>
      <c r="L38" s="28"/>
    </row>
    <row r="39" spans="1:12" ht="15.75" x14ac:dyDescent="0.25">
      <c r="A39" s="9">
        <f>'מיקום ההרצות'!A43</f>
        <v>31</v>
      </c>
      <c r="B39" s="402" t="str">
        <f>'מיקום ההרצות'!B43</f>
        <v/>
      </c>
      <c r="C39" s="266"/>
      <c r="D39" s="266"/>
      <c r="E39" s="404" t="str">
        <f>סיווג!AB51</f>
        <v/>
      </c>
      <c r="F39" s="413" t="str">
        <f t="shared" si="1"/>
        <v/>
      </c>
      <c r="G39" s="408" t="str">
        <f t="shared" si="0"/>
        <v/>
      </c>
      <c r="K39" s="28"/>
      <c r="L39" s="28"/>
    </row>
    <row r="40" spans="1:12" ht="15.75" x14ac:dyDescent="0.25">
      <c r="A40" s="9">
        <f>'מיקום ההרצות'!A44</f>
        <v>32</v>
      </c>
      <c r="B40" s="402" t="str">
        <f>'מיקום ההרצות'!B44</f>
        <v>מיכל סממה</v>
      </c>
      <c r="C40" s="266">
        <v>35271</v>
      </c>
      <c r="D40" s="266">
        <v>15628</v>
      </c>
      <c r="E40" s="404">
        <f>סיווג!AB52</f>
        <v>1</v>
      </c>
      <c r="F40" s="413">
        <f t="shared" si="1"/>
        <v>68534.5</v>
      </c>
      <c r="G40" s="408">
        <f t="shared" si="0"/>
        <v>5.0303054904755565E-3</v>
      </c>
      <c r="K40" s="28"/>
      <c r="L40" s="28"/>
    </row>
    <row r="41" spans="1:12" ht="15.75" x14ac:dyDescent="0.25">
      <c r="A41" s="9">
        <f>'מיקום ההרצות'!A45</f>
        <v>33</v>
      </c>
      <c r="B41" s="402" t="str">
        <f>'מיקום ההרצות'!B45</f>
        <v>מאיה ברינר</v>
      </c>
      <c r="C41" s="266">
        <v>44484</v>
      </c>
      <c r="D41" s="266">
        <v>8983</v>
      </c>
      <c r="E41" s="404">
        <f>סיווג!AB53</f>
        <v>1</v>
      </c>
      <c r="F41" s="413">
        <f t="shared" si="1"/>
        <v>75709</v>
      </c>
      <c r="G41" s="408">
        <f t="shared" ref="G41:G72" si="2">IF(ISERR(F41/$F$121),"",F41/$F$121)</f>
        <v>5.5569005154836463E-3</v>
      </c>
      <c r="K41" s="28"/>
      <c r="L41" s="28"/>
    </row>
    <row r="42" spans="1:12" ht="15.75" x14ac:dyDescent="0.25">
      <c r="A42" s="9">
        <f>'מיקום ההרצות'!A46</f>
        <v>34</v>
      </c>
      <c r="B42" s="402" t="str">
        <f>'מיקום ההרצות'!B46</f>
        <v>מאיה מכלל גלפנד</v>
      </c>
      <c r="C42" s="266">
        <v>18417</v>
      </c>
      <c r="D42" s="266">
        <v>5700</v>
      </c>
      <c r="E42" s="404">
        <f>סיווג!AB54</f>
        <v>1</v>
      </c>
      <c r="F42" s="413">
        <f t="shared" si="1"/>
        <v>33325.5</v>
      </c>
      <c r="G42" s="408">
        <f t="shared" si="2"/>
        <v>2.4460300377597147E-3</v>
      </c>
      <c r="K42" s="28"/>
      <c r="L42" s="28"/>
    </row>
    <row r="43" spans="1:12" ht="15.75" x14ac:dyDescent="0.25">
      <c r="A43" s="9">
        <f>'מיקום ההרצות'!A47</f>
        <v>35</v>
      </c>
      <c r="B43" s="402" t="str">
        <f>'מיקום ההרצות'!B47</f>
        <v>מיה שטרן ותומר שרעבי</v>
      </c>
      <c r="C43" s="266">
        <v>67346</v>
      </c>
      <c r="D43" s="266">
        <v>1800</v>
      </c>
      <c r="E43" s="404">
        <f>סיווג!AB55</f>
        <v>1</v>
      </c>
      <c r="F43" s="413">
        <f t="shared" si="1"/>
        <v>102819</v>
      </c>
      <c r="G43" s="408">
        <f t="shared" si="2"/>
        <v>7.5467243537956251E-3</v>
      </c>
      <c r="K43" s="28"/>
      <c r="L43" s="28"/>
    </row>
    <row r="44" spans="1:12" ht="15.75" x14ac:dyDescent="0.25">
      <c r="A44" s="9">
        <f>'מיקום ההרצות'!A48</f>
        <v>36</v>
      </c>
      <c r="B44" s="402" t="str">
        <f>'מיקום ההרצות'!B48</f>
        <v>מיכאל גטמן</v>
      </c>
      <c r="C44" s="266">
        <v>139499</v>
      </c>
      <c r="D44" s="266">
        <v>43735</v>
      </c>
      <c r="E44" s="404">
        <f>סיווג!AB56</f>
        <v>1</v>
      </c>
      <c r="F44" s="413">
        <f t="shared" si="1"/>
        <v>252983.5</v>
      </c>
      <c r="G44" s="408">
        <f t="shared" si="2"/>
        <v>1.8568520804116511E-2</v>
      </c>
      <c r="K44" s="28"/>
      <c r="L44" s="28"/>
    </row>
    <row r="45" spans="1:12" ht="15.75" x14ac:dyDescent="0.25">
      <c r="A45" s="9">
        <f>'מיקום ההרצות'!A49</f>
        <v>37</v>
      </c>
      <c r="B45" s="402" t="str">
        <f>'מיקום ההרצות'!B49</f>
        <v>מיכל הרמן</v>
      </c>
      <c r="C45" s="266">
        <v>22329</v>
      </c>
      <c r="D45" s="266">
        <v>9506</v>
      </c>
      <c r="E45" s="404">
        <f>סיווג!AB57</f>
        <v>1</v>
      </c>
      <c r="F45" s="413">
        <f t="shared" si="1"/>
        <v>42999.5</v>
      </c>
      <c r="G45" s="408">
        <f t="shared" si="2"/>
        <v>3.156083737937881E-3</v>
      </c>
      <c r="K45" s="28"/>
      <c r="L45" s="28"/>
    </row>
    <row r="46" spans="1:12" ht="15.75" x14ac:dyDescent="0.25">
      <c r="A46" s="9">
        <f>'מיקום ההרצות'!A50</f>
        <v>38</v>
      </c>
      <c r="B46" s="402" t="str">
        <f>'מיקום ההרצות'!B50</f>
        <v>מירב דגן</v>
      </c>
      <c r="C46" s="266">
        <v>60185</v>
      </c>
      <c r="D46" s="266">
        <v>7315</v>
      </c>
      <c r="E46" s="404">
        <f>סיווג!AB58</f>
        <v>1</v>
      </c>
      <c r="F46" s="413">
        <f t="shared" si="1"/>
        <v>97592.5</v>
      </c>
      <c r="G46" s="408">
        <f t="shared" si="2"/>
        <v>7.1631089243991827E-3</v>
      </c>
      <c r="K46" s="28"/>
      <c r="L46" s="28"/>
    </row>
    <row r="47" spans="1:12" ht="15.75" x14ac:dyDescent="0.25">
      <c r="A47" s="9">
        <f>'מיקום ההרצות'!A51</f>
        <v>39</v>
      </c>
      <c r="B47" s="402" t="str">
        <f>'מיקום ההרצות'!B51</f>
        <v>תמר לם ודיוויד קרן</v>
      </c>
      <c r="C47" s="266">
        <v>21389</v>
      </c>
      <c r="D47" s="266">
        <v>4540</v>
      </c>
      <c r="E47" s="404">
        <f>סיווג!AB59</f>
        <v>1</v>
      </c>
      <c r="F47" s="413">
        <f t="shared" si="1"/>
        <v>36623.5</v>
      </c>
      <c r="G47" s="408">
        <f t="shared" si="2"/>
        <v>2.6880971354636212E-3</v>
      </c>
      <c r="K47" s="28"/>
      <c r="L47" s="28"/>
    </row>
    <row r="48" spans="1:12" ht="15.75" x14ac:dyDescent="0.25">
      <c r="A48" s="9">
        <f>'מיקום ההרצות'!A52</f>
        <v>40</v>
      </c>
      <c r="B48" s="402" t="str">
        <f>'מיקום ההרצות'!B52</f>
        <v>סיגל ברגמן</v>
      </c>
      <c r="C48" s="266">
        <v>24317</v>
      </c>
      <c r="D48" s="266">
        <v>53145</v>
      </c>
      <c r="E48" s="404">
        <f>סיווג!AB60</f>
        <v>1</v>
      </c>
      <c r="F48" s="413">
        <f t="shared" si="1"/>
        <v>89620.5</v>
      </c>
      <c r="G48" s="408">
        <f t="shared" si="2"/>
        <v>6.5779788750069618E-3</v>
      </c>
      <c r="K48" s="28"/>
      <c r="L48" s="28"/>
    </row>
    <row r="49" spans="1:12" ht="15.75" x14ac:dyDescent="0.25">
      <c r="A49" s="9">
        <f>'מיקום ההרצות'!A53</f>
        <v>41</v>
      </c>
      <c r="B49" s="402" t="str">
        <f>'מיקום ההרצות'!B53</f>
        <v>מעין ליבמן שרון</v>
      </c>
      <c r="C49" s="266">
        <v>32341</v>
      </c>
      <c r="D49" s="266">
        <v>15330</v>
      </c>
      <c r="E49" s="404">
        <f>סיווג!AB61</f>
        <v>1</v>
      </c>
      <c r="F49" s="413">
        <f t="shared" si="1"/>
        <v>63841.5</v>
      </c>
      <c r="G49" s="408">
        <f t="shared" si="2"/>
        <v>4.6858479739429817E-3</v>
      </c>
      <c r="K49" s="28"/>
      <c r="L49" s="28"/>
    </row>
    <row r="50" spans="1:12" ht="15.75" x14ac:dyDescent="0.25">
      <c r="A50" s="9">
        <f>'מיקום ההרצות'!A54</f>
        <v>42</v>
      </c>
      <c r="B50" s="402" t="str">
        <f>'מיקום ההרצות'!B54</f>
        <v>אודליה קופרברג</v>
      </c>
      <c r="C50" s="266">
        <v>23393</v>
      </c>
      <c r="D50" s="266">
        <v>49600</v>
      </c>
      <c r="E50" s="404">
        <f>סיווג!AB62</f>
        <v>1</v>
      </c>
      <c r="F50" s="413">
        <f t="shared" si="1"/>
        <v>84689.5</v>
      </c>
      <c r="G50" s="408">
        <f t="shared" si="2"/>
        <v>6.21605259884627E-3</v>
      </c>
      <c r="K50" s="28"/>
      <c r="L50" s="28"/>
    </row>
    <row r="51" spans="1:12" ht="15.75" x14ac:dyDescent="0.25">
      <c r="A51" s="9">
        <f>'מיקום ההרצות'!A55</f>
        <v>43</v>
      </c>
      <c r="B51" s="402" t="str">
        <f>'מיקום ההרצות'!B55</f>
        <v>נועה צוק</v>
      </c>
      <c r="C51" s="266">
        <v>165313</v>
      </c>
      <c r="D51" s="266">
        <v>23000</v>
      </c>
      <c r="E51" s="404">
        <f>סיווג!AB63</f>
        <v>1</v>
      </c>
      <c r="F51" s="413">
        <f t="shared" si="1"/>
        <v>270969.5</v>
      </c>
      <c r="G51" s="408">
        <f t="shared" si="2"/>
        <v>1.9888659924584207E-2</v>
      </c>
      <c r="K51" s="28"/>
      <c r="L51" s="28"/>
    </row>
    <row r="52" spans="1:12" ht="15.75" x14ac:dyDescent="0.25">
      <c r="A52" s="9">
        <f>'מיקום ההרצות'!A56</f>
        <v>44</v>
      </c>
      <c r="B52" s="402" t="str">
        <f>'מיקום ההרצות'!B56</f>
        <v>נטע פולברמכר</v>
      </c>
      <c r="C52" s="266">
        <v>37909</v>
      </c>
      <c r="D52" s="266">
        <v>11357</v>
      </c>
      <c r="E52" s="404">
        <f>סיווג!AB64</f>
        <v>1</v>
      </c>
      <c r="F52" s="413">
        <f t="shared" si="1"/>
        <v>68220.5</v>
      </c>
      <c r="G52" s="408">
        <f t="shared" si="2"/>
        <v>5.0072584714703945E-3</v>
      </c>
      <c r="K52" s="28"/>
      <c r="L52" s="28"/>
    </row>
    <row r="53" spans="1:12" ht="15.75" x14ac:dyDescent="0.25">
      <c r="A53" s="9">
        <f>'מיקום ההרצות'!A57</f>
        <v>45</v>
      </c>
      <c r="B53" s="402" t="str">
        <f>'מיקום ההרצות'!B57</f>
        <v>ניב שינפלד ואורן לאור</v>
      </c>
      <c r="C53" s="266">
        <v>230957</v>
      </c>
      <c r="D53" s="266">
        <v>0</v>
      </c>
      <c r="E53" s="404">
        <f>סיווג!AB65</f>
        <v>1</v>
      </c>
      <c r="F53" s="413">
        <f t="shared" si="1"/>
        <v>346435.5</v>
      </c>
      <c r="G53" s="408">
        <f t="shared" si="2"/>
        <v>2.5427724689691247E-2</v>
      </c>
      <c r="K53" s="28"/>
      <c r="L53" s="28"/>
    </row>
    <row r="54" spans="1:12" ht="15.75" x14ac:dyDescent="0.25">
      <c r="A54" s="9">
        <f>'מיקום ההרצות'!A58</f>
        <v>46</v>
      </c>
      <c r="B54" s="402" t="str">
        <f>'מיקום ההרצות'!B58</f>
        <v>נימה יעקובי</v>
      </c>
      <c r="C54" s="266">
        <v>73711</v>
      </c>
      <c r="D54" s="266">
        <v>10177</v>
      </c>
      <c r="E54" s="404">
        <f>סיווג!AB66</f>
        <v>1</v>
      </c>
      <c r="F54" s="413">
        <f t="shared" si="1"/>
        <v>120743.5</v>
      </c>
      <c r="G54" s="408">
        <f t="shared" si="2"/>
        <v>8.8623494880568972E-3</v>
      </c>
      <c r="K54" s="28"/>
      <c r="L54" s="28"/>
    </row>
    <row r="55" spans="1:12" ht="15.75" x14ac:dyDescent="0.25">
      <c r="A55" s="9">
        <f>'מיקום ההרצות'!A59</f>
        <v>47</v>
      </c>
      <c r="B55" s="402" t="str">
        <f>'מיקום ההרצות'!B59</f>
        <v>נמרוד פריד</v>
      </c>
      <c r="C55" s="266">
        <v>41087</v>
      </c>
      <c r="D55" s="266">
        <v>7039</v>
      </c>
      <c r="E55" s="404">
        <f>סיווג!AB67</f>
        <v>1</v>
      </c>
      <c r="F55" s="413">
        <f t="shared" si="1"/>
        <v>68669.5</v>
      </c>
      <c r="G55" s="408">
        <f t="shared" si="2"/>
        <v>5.0402142406847832E-3</v>
      </c>
      <c r="K55" s="28"/>
      <c r="L55" s="28"/>
    </row>
    <row r="56" spans="1:12" ht="15.75" x14ac:dyDescent="0.25">
      <c r="A56" s="9">
        <f>'מיקום ההרצות'!A60</f>
        <v>48</v>
      </c>
      <c r="B56" s="402" t="str">
        <f>'מיקום ההרצות'!B60</f>
        <v>נעה דר</v>
      </c>
      <c r="C56" s="266">
        <v>166333</v>
      </c>
      <c r="D56" s="266">
        <v>59140</v>
      </c>
      <c r="E56" s="404">
        <f>סיווג!AB68</f>
        <v>1</v>
      </c>
      <c r="F56" s="413">
        <f t="shared" si="1"/>
        <v>308639.5</v>
      </c>
      <c r="G56" s="408">
        <f t="shared" si="2"/>
        <v>2.2653568223706757E-2</v>
      </c>
      <c r="K56" s="28"/>
      <c r="L56" s="28"/>
    </row>
    <row r="57" spans="1:12" ht="15.75" x14ac:dyDescent="0.25">
      <c r="A57" s="9">
        <f>'מיקום ההרצות'!A61</f>
        <v>49</v>
      </c>
      <c r="B57" s="402" t="str">
        <f>'מיקום ההרצות'!B61</f>
        <v>נעה שדור</v>
      </c>
      <c r="C57" s="266">
        <v>27258</v>
      </c>
      <c r="D57" s="266">
        <v>0</v>
      </c>
      <c r="E57" s="404">
        <f>סיווג!AB69</f>
        <v>1</v>
      </c>
      <c r="F57" s="413">
        <f t="shared" si="1"/>
        <v>40887</v>
      </c>
      <c r="G57" s="408">
        <f t="shared" si="2"/>
        <v>3.0010301467009184E-3</v>
      </c>
      <c r="K57" s="28"/>
      <c r="L57" s="28"/>
    </row>
    <row r="58" spans="1:12" ht="15.75" x14ac:dyDescent="0.25">
      <c r="A58" s="9">
        <f>'מיקום ההרצות'!A62</f>
        <v>50</v>
      </c>
      <c r="B58" s="402" t="str">
        <f>'מיקום ההרצות'!B62</f>
        <v>סאלי אן פרילנד</v>
      </c>
      <c r="C58" s="266">
        <v>59738</v>
      </c>
      <c r="D58" s="266">
        <v>5400</v>
      </c>
      <c r="E58" s="404">
        <f>סיווג!AB70</f>
        <v>1</v>
      </c>
      <c r="F58" s="413">
        <f t="shared" si="1"/>
        <v>95007</v>
      </c>
      <c r="G58" s="408">
        <f t="shared" si="2"/>
        <v>6.9733380083550796E-3</v>
      </c>
      <c r="K58" s="28"/>
      <c r="L58" s="28"/>
    </row>
    <row r="59" spans="1:12" ht="15.75" x14ac:dyDescent="0.25">
      <c r="A59" s="9">
        <f>'מיקום ההרצות'!A63</f>
        <v>51</v>
      </c>
      <c r="B59" s="402" t="str">
        <f>'מיקום ההרצות'!B63</f>
        <v>סהר עזימי</v>
      </c>
      <c r="C59" s="266">
        <v>91484</v>
      </c>
      <c r="D59" s="266">
        <v>21097</v>
      </c>
      <c r="E59" s="404">
        <f>סיווג!AB71</f>
        <v>1</v>
      </c>
      <c r="F59" s="413">
        <f t="shared" si="1"/>
        <v>158323</v>
      </c>
      <c r="G59" s="408">
        <f t="shared" si="2"/>
        <v>1.1620615254631778E-2</v>
      </c>
      <c r="K59" s="28"/>
      <c r="L59" s="28"/>
    </row>
    <row r="60" spans="1:12" ht="15.75" x14ac:dyDescent="0.25">
      <c r="A60" s="9">
        <f>'מיקום ההרצות'!A64</f>
        <v>52</v>
      </c>
      <c r="B60" s="402" t="str">
        <f>'מיקום ההרצות'!B64</f>
        <v>עדו פדר</v>
      </c>
      <c r="C60" s="266">
        <v>80275</v>
      </c>
      <c r="D60" s="266">
        <v>37392</v>
      </c>
      <c r="E60" s="404">
        <f>סיווג!AB72</f>
        <v>1</v>
      </c>
      <c r="F60" s="413">
        <f t="shared" si="1"/>
        <v>157804.5</v>
      </c>
      <c r="G60" s="408">
        <f t="shared" si="2"/>
        <v>1.1582558314013381E-2</v>
      </c>
      <c r="K60" s="28"/>
      <c r="L60" s="28"/>
    </row>
    <row r="61" spans="1:12" ht="15.75" x14ac:dyDescent="0.25">
      <c r="A61" s="9">
        <f>'מיקום ההרצות'!A65</f>
        <v>53</v>
      </c>
      <c r="B61" s="402" t="str">
        <f>'מיקום ההרצות'!B65</f>
        <v>עודד רונן</v>
      </c>
      <c r="C61" s="266">
        <v>101815</v>
      </c>
      <c r="D61" s="266">
        <v>9728</v>
      </c>
      <c r="E61" s="404">
        <f>סיווג!AB73</f>
        <v>1</v>
      </c>
      <c r="F61" s="413">
        <f t="shared" si="1"/>
        <v>162450.5</v>
      </c>
      <c r="G61" s="408">
        <f t="shared" si="2"/>
        <v>1.1923566117510151E-2</v>
      </c>
      <c r="K61" s="28"/>
      <c r="L61" s="28"/>
    </row>
    <row r="62" spans="1:12" ht="15.75" x14ac:dyDescent="0.25">
      <c r="A62" s="9">
        <f>'מיקום ההרצות'!A66</f>
        <v>54</v>
      </c>
      <c r="B62" s="402" t="str">
        <f>'מיקום ההרצות'!B66</f>
        <v>עידן כהן</v>
      </c>
      <c r="C62" s="266">
        <v>17282</v>
      </c>
      <c r="D62" s="266">
        <v>22230</v>
      </c>
      <c r="E62" s="404">
        <f>סיווג!AB74</f>
        <v>1</v>
      </c>
      <c r="F62" s="413">
        <f t="shared" si="1"/>
        <v>48153</v>
      </c>
      <c r="G62" s="408">
        <f t="shared" si="2"/>
        <v>3.5343411024063719E-3</v>
      </c>
      <c r="K62" s="28"/>
      <c r="L62" s="28"/>
    </row>
    <row r="63" spans="1:12" ht="15.75" x14ac:dyDescent="0.25">
      <c r="A63" s="9">
        <f>'מיקום ההרצות'!A67</f>
        <v>55</v>
      </c>
      <c r="B63" s="402" t="str">
        <f>'מיקום ההרצות'!B67</f>
        <v>עידן שרעבי</v>
      </c>
      <c r="C63" s="266">
        <v>70251</v>
      </c>
      <c r="D63" s="266">
        <v>15566</v>
      </c>
      <c r="E63" s="404">
        <f>סיווג!AB75</f>
        <v>1</v>
      </c>
      <c r="F63" s="413">
        <f t="shared" si="1"/>
        <v>120942.5</v>
      </c>
      <c r="G63" s="408">
        <f t="shared" si="2"/>
        <v>8.8769557198467922E-3</v>
      </c>
      <c r="K63" s="28"/>
      <c r="L63" s="28"/>
    </row>
    <row r="64" spans="1:12" ht="15.75" x14ac:dyDescent="0.25">
      <c r="A64" s="9">
        <f>'מיקום ההרצות'!A68</f>
        <v>56</v>
      </c>
      <c r="B64" s="402" t="str">
        <f>'מיקום ההרצות'!B68</f>
        <v>ענת גריגוריו</v>
      </c>
      <c r="C64" s="266">
        <v>103066</v>
      </c>
      <c r="D64" s="266">
        <v>15080</v>
      </c>
      <c r="E64" s="404">
        <f>סיווג!AB76</f>
        <v>1</v>
      </c>
      <c r="F64" s="413">
        <f t="shared" si="1"/>
        <v>169679</v>
      </c>
      <c r="G64" s="408">
        <f t="shared" si="2"/>
        <v>1.245412464260193E-2</v>
      </c>
      <c r="K64" s="28"/>
      <c r="L64" s="28"/>
    </row>
    <row r="65" spans="1:12" ht="15.75" x14ac:dyDescent="0.25">
      <c r="A65" s="9">
        <f>'מיקום ההרצות'!A69</f>
        <v>57</v>
      </c>
      <c r="B65" s="402" t="str">
        <f>'מיקום ההרצות'!B69</f>
        <v>ענת דניאלי</v>
      </c>
      <c r="C65" s="266">
        <v>74756</v>
      </c>
      <c r="D65" s="266">
        <v>58225</v>
      </c>
      <c r="E65" s="404">
        <f>סיווג!AB77</f>
        <v>1</v>
      </c>
      <c r="F65" s="413">
        <f t="shared" si="1"/>
        <v>170359</v>
      </c>
      <c r="G65" s="408">
        <f t="shared" si="2"/>
        <v>1.2504035384396551E-2</v>
      </c>
      <c r="K65" s="28"/>
      <c r="L65" s="28"/>
    </row>
    <row r="66" spans="1:12" ht="15.75" x14ac:dyDescent="0.25">
      <c r="A66" s="9">
        <f>'מיקום ההרצות'!A70</f>
        <v>58</v>
      </c>
      <c r="B66" s="402" t="str">
        <f>'מיקום ההרצות'!B70</f>
        <v>ענת כץ וארז מעיין</v>
      </c>
      <c r="C66" s="266">
        <v>12330</v>
      </c>
      <c r="D66" s="266">
        <v>35881</v>
      </c>
      <c r="E66" s="404">
        <f>סיווג!AB78</f>
        <v>1</v>
      </c>
      <c r="F66" s="413">
        <f t="shared" si="1"/>
        <v>54376</v>
      </c>
      <c r="G66" s="408">
        <f t="shared" si="2"/>
        <v>3.9910977879768416E-3</v>
      </c>
      <c r="K66" s="28"/>
      <c r="L66" s="28"/>
    </row>
    <row r="67" spans="1:12" ht="15.75" x14ac:dyDescent="0.25">
      <c r="A67" s="9">
        <f>'מיקום ההרצות'!A71</f>
        <v>59</v>
      </c>
      <c r="B67" s="402" t="str">
        <f>'מיקום ההרצות'!B71</f>
        <v>ענת שמגר</v>
      </c>
      <c r="C67" s="266">
        <v>10507</v>
      </c>
      <c r="D67" s="266">
        <v>30000</v>
      </c>
      <c r="E67" s="404">
        <f>סיווג!AB79</f>
        <v>1</v>
      </c>
      <c r="F67" s="413">
        <f t="shared" si="1"/>
        <v>45760.5</v>
      </c>
      <c r="G67" s="408">
        <f t="shared" si="2"/>
        <v>3.3587360292539775E-3</v>
      </c>
      <c r="K67" s="28"/>
      <c r="L67" s="28"/>
    </row>
    <row r="68" spans="1:12" ht="15.75" x14ac:dyDescent="0.25">
      <c r="A68" s="9">
        <f>'מיקום ההרצות'!A72</f>
        <v>60</v>
      </c>
      <c r="B68" s="402" t="str">
        <f>'מיקום ההרצות'!B72</f>
        <v>ק.ט.מ.ו.ן קבוצת מחול בירושלים</v>
      </c>
      <c r="C68" s="266">
        <v>47224</v>
      </c>
      <c r="D68" s="266">
        <v>259079</v>
      </c>
      <c r="E68" s="404">
        <f>סיווג!AB80</f>
        <v>1</v>
      </c>
      <c r="F68" s="413">
        <f t="shared" si="1"/>
        <v>329915</v>
      </c>
      <c r="G68" s="408">
        <f t="shared" si="2"/>
        <v>2.4215150557605924E-2</v>
      </c>
      <c r="K68" s="28"/>
      <c r="L68" s="28"/>
    </row>
    <row r="69" spans="1:12" ht="15.75" x14ac:dyDescent="0.25">
      <c r="A69" s="9">
        <f>'מיקום ההרצות'!A73</f>
        <v>61</v>
      </c>
      <c r="B69" s="402" t="str">
        <f>'מיקום ההרצות'!B73</f>
        <v>רונית זיו</v>
      </c>
      <c r="C69" s="266">
        <v>84798</v>
      </c>
      <c r="D69" s="266">
        <v>2007</v>
      </c>
      <c r="E69" s="404">
        <f>סיווג!AB81</f>
        <v>1</v>
      </c>
      <c r="F69" s="413">
        <f t="shared" si="1"/>
        <v>129204</v>
      </c>
      <c r="G69" s="408">
        <f t="shared" si="2"/>
        <v>9.4833345335765765E-3</v>
      </c>
      <c r="K69" s="28"/>
      <c r="L69" s="28"/>
    </row>
    <row r="70" spans="1:12" ht="15.75" x14ac:dyDescent="0.25">
      <c r="A70" s="9">
        <f>'מיקום ההרצות'!A74</f>
        <v>62</v>
      </c>
      <c r="B70" s="402" t="str">
        <f>'מיקום ההרצות'!B74</f>
        <v>טלי זבילביץ</v>
      </c>
      <c r="C70" s="266">
        <v>5058</v>
      </c>
      <c r="D70" s="266">
        <v>5266</v>
      </c>
      <c r="E70" s="404">
        <f>סיווג!AB82</f>
        <v>1</v>
      </c>
      <c r="F70" s="413">
        <f t="shared" si="1"/>
        <v>12853</v>
      </c>
      <c r="G70" s="408">
        <f t="shared" si="2"/>
        <v>9.4338641806801439E-4</v>
      </c>
      <c r="K70" s="28"/>
      <c r="L70" s="28"/>
    </row>
    <row r="71" spans="1:12" ht="15.75" x14ac:dyDescent="0.25">
      <c r="A71" s="9">
        <f>'מיקום ההרצות'!A75</f>
        <v>63</v>
      </c>
      <c r="B71" s="402" t="str">
        <f>'מיקום ההרצות'!B75</f>
        <v>רייצ'ל ארדוס</v>
      </c>
      <c r="C71" s="266">
        <v>135648</v>
      </c>
      <c r="D71" s="266">
        <v>15102</v>
      </c>
      <c r="E71" s="404">
        <f>סיווג!AB83</f>
        <v>1</v>
      </c>
      <c r="F71" s="413">
        <f t="shared" si="1"/>
        <v>218574</v>
      </c>
      <c r="G71" s="408">
        <f t="shared" si="2"/>
        <v>1.6042927172084196E-2</v>
      </c>
      <c r="K71" s="28"/>
      <c r="L71" s="28"/>
    </row>
    <row r="72" spans="1:12" ht="15.75" x14ac:dyDescent="0.25">
      <c r="A72" s="9">
        <f>'מיקום ההרצות'!A76</f>
        <v>64</v>
      </c>
      <c r="B72" s="402" t="str">
        <f>'מיקום ההרצות'!B76</f>
        <v>שירה אביתר</v>
      </c>
      <c r="C72" s="266">
        <v>4500</v>
      </c>
      <c r="D72" s="266">
        <v>6251</v>
      </c>
      <c r="E72" s="404">
        <f>סיווג!AB84</f>
        <v>1</v>
      </c>
      <c r="F72" s="413">
        <f t="shared" si="1"/>
        <v>13001</v>
      </c>
      <c r="G72" s="408">
        <f t="shared" si="2"/>
        <v>9.5424934422331403E-4</v>
      </c>
      <c r="K72" s="28"/>
      <c r="L72" s="28"/>
    </row>
    <row r="73" spans="1:12" ht="15.75" x14ac:dyDescent="0.25">
      <c r="A73" s="9">
        <f>'מיקום ההרצות'!A77</f>
        <v>65</v>
      </c>
      <c r="B73" s="402" t="str">
        <f>'מיקום ההרצות'!B77</f>
        <v>שלומית פונדמינסקי</v>
      </c>
      <c r="C73" s="62">
        <v>123327</v>
      </c>
      <c r="D73" s="62">
        <v>11360</v>
      </c>
      <c r="E73" s="404">
        <f>סיווג!AB85</f>
        <v>1</v>
      </c>
      <c r="F73" s="413">
        <f t="shared" si="1"/>
        <v>196350.5</v>
      </c>
      <c r="G73" s="408">
        <f t="shared" ref="G73:G104" si="3">IF(ISERR(F73/$F$121),"",F73/$F$121)</f>
        <v>1.441176339227135E-2</v>
      </c>
      <c r="K73" s="28"/>
      <c r="L73" s="28"/>
    </row>
    <row r="74" spans="1:12" ht="15.75" x14ac:dyDescent="0.25">
      <c r="A74" s="9">
        <f>'מיקום ההרצות'!A78</f>
        <v>66</v>
      </c>
      <c r="B74" s="402" t="str">
        <f>'מיקום ההרצות'!B78</f>
        <v/>
      </c>
      <c r="C74" s="62"/>
      <c r="D74" s="62"/>
      <c r="E74" s="404" t="str">
        <f>סיווג!AB86</f>
        <v/>
      </c>
      <c r="F74" s="413" t="str">
        <f t="shared" ref="F74:F108" si="4">IF(B74="","",IF(ISERR(C74*D74*E74),"",(C74*$C$3+D74*$C$4)*E74))</f>
        <v/>
      </c>
      <c r="G74" s="408" t="str">
        <f t="shared" si="3"/>
        <v/>
      </c>
      <c r="K74" s="28"/>
      <c r="L74" s="28"/>
    </row>
    <row r="75" spans="1:12" ht="15.75" x14ac:dyDescent="0.25">
      <c r="A75" s="9">
        <f>'מיקום ההרצות'!A79</f>
        <v>67</v>
      </c>
      <c r="B75" s="402" t="str">
        <f>'מיקום ההרצות'!B79</f>
        <v>שרון וזנה</v>
      </c>
      <c r="C75" s="62">
        <v>119663</v>
      </c>
      <c r="D75" s="62">
        <v>9625</v>
      </c>
      <c r="E75" s="404">
        <f>סיווג!AB87</f>
        <v>1</v>
      </c>
      <c r="F75" s="413">
        <f t="shared" si="4"/>
        <v>189119.5</v>
      </c>
      <c r="G75" s="408">
        <f t="shared" si="3"/>
        <v>1.3881021371805325E-2</v>
      </c>
      <c r="K75" s="28"/>
      <c r="L75" s="28"/>
    </row>
    <row r="76" spans="1:12" ht="15.75" x14ac:dyDescent="0.25">
      <c r="A76" s="9">
        <f>'מיקום ההרצות'!A80</f>
        <v>68</v>
      </c>
      <c r="B76" s="402" t="str">
        <f>'מיקום ההרצות'!B80</f>
        <v>שרונה פלורסהיים</v>
      </c>
      <c r="C76" s="62">
        <v>177689</v>
      </c>
      <c r="D76" s="62">
        <v>18788</v>
      </c>
      <c r="E76" s="404">
        <f>סיווג!AB88</f>
        <v>1</v>
      </c>
      <c r="F76" s="413">
        <f t="shared" si="4"/>
        <v>285321.5</v>
      </c>
      <c r="G76" s="408">
        <f t="shared" si="3"/>
        <v>2.0942070169049479E-2</v>
      </c>
      <c r="K76" s="28"/>
      <c r="L76" s="28"/>
    </row>
    <row r="77" spans="1:12" ht="15.75" x14ac:dyDescent="0.25">
      <c r="A77" s="9">
        <f>'מיקום ההרצות'!A81</f>
        <v>69</v>
      </c>
      <c r="B77" s="402" t="str">
        <f>'מיקום ההרצות'!B81</f>
        <v>תמי ליבוביץ</v>
      </c>
      <c r="C77" s="62">
        <v>16650</v>
      </c>
      <c r="D77" s="62">
        <v>39209</v>
      </c>
      <c r="E77" s="404">
        <f>סיווג!AB89</f>
        <v>1</v>
      </c>
      <c r="F77" s="413">
        <f t="shared" si="4"/>
        <v>64184</v>
      </c>
      <c r="G77" s="408">
        <f t="shared" si="3"/>
        <v>4.7109868402145363E-3</v>
      </c>
      <c r="K77" s="28"/>
      <c r="L77" s="28"/>
    </row>
    <row r="78" spans="1:12" ht="15.75" x14ac:dyDescent="0.25">
      <c r="A78" s="9">
        <f>'מיקום ההרצות'!A82</f>
        <v>70</v>
      </c>
      <c r="B78" s="402" t="str">
        <f>'מיקום ההרצות'!B82</f>
        <v>תמר בורר</v>
      </c>
      <c r="C78" s="62">
        <v>49091</v>
      </c>
      <c r="D78" s="62">
        <v>8940</v>
      </c>
      <c r="E78" s="404">
        <f>סיווג!AB90</f>
        <v>1</v>
      </c>
      <c r="F78" s="413">
        <f t="shared" si="4"/>
        <v>82576.5</v>
      </c>
      <c r="G78" s="408">
        <f t="shared" si="3"/>
        <v>6.060962308534458E-3</v>
      </c>
      <c r="K78" s="28"/>
      <c r="L78" s="28"/>
    </row>
    <row r="79" spans="1:12" ht="15.75" x14ac:dyDescent="0.25">
      <c r="A79" s="9">
        <f>'מיקום ההרצות'!A83</f>
        <v>71</v>
      </c>
      <c r="B79" s="402" t="str">
        <f>'מיקום ההרצות'!B83</f>
        <v>תמי ורונן יצחקי</v>
      </c>
      <c r="C79" s="62">
        <v>148420</v>
      </c>
      <c r="D79" s="62">
        <v>29426</v>
      </c>
      <c r="E79" s="404">
        <f>סיווג!AB91</f>
        <v>1</v>
      </c>
      <c r="F79" s="413">
        <f t="shared" si="4"/>
        <v>252056</v>
      </c>
      <c r="G79" s="408">
        <f t="shared" si="3"/>
        <v>1.8500444020271643E-2</v>
      </c>
      <c r="K79" s="28"/>
      <c r="L79" s="28"/>
    </row>
    <row r="80" spans="1:12" ht="15.75" x14ac:dyDescent="0.25">
      <c r="A80" s="9">
        <f>'מיקום ההרצות'!A84</f>
        <v>72</v>
      </c>
      <c r="B80" s="402" t="str">
        <f>'מיקום ההרצות'!B84</f>
        <v>רננה רז</v>
      </c>
      <c r="C80" s="62">
        <v>78883</v>
      </c>
      <c r="D80" s="62">
        <v>702623</v>
      </c>
      <c r="E80" s="404">
        <f>סיווג!AB92</f>
        <v>1</v>
      </c>
      <c r="F80" s="413">
        <f t="shared" si="4"/>
        <v>820947.5</v>
      </c>
      <c r="G80" s="408">
        <f t="shared" si="3"/>
        <v>6.0256027499174608E-2</v>
      </c>
      <c r="K80" s="28"/>
      <c r="L80" s="28"/>
    </row>
    <row r="81" spans="1:12" ht="15.75" x14ac:dyDescent="0.25">
      <c r="A81" s="9">
        <f>'מיקום ההרצות'!A85</f>
        <v>73</v>
      </c>
      <c r="B81" s="402" t="str">
        <f>'מיקום ההרצות'!B85</f>
        <v>רתם תשח</v>
      </c>
      <c r="C81" s="62">
        <v>29825</v>
      </c>
      <c r="D81" s="62">
        <v>37000</v>
      </c>
      <c r="E81" s="404">
        <f>סיווג!AB93</f>
        <v>1</v>
      </c>
      <c r="F81" s="413">
        <f t="shared" si="4"/>
        <v>81737.5</v>
      </c>
      <c r="G81" s="408">
        <f t="shared" si="3"/>
        <v>5.9993812609378605E-3</v>
      </c>
      <c r="K81" s="28"/>
      <c r="L81" s="28"/>
    </row>
    <row r="82" spans="1:12" ht="15.75" x14ac:dyDescent="0.25">
      <c r="A82" s="9">
        <f>'מיקום ההרצות'!A86</f>
        <v>74</v>
      </c>
      <c r="B82" s="402" t="str">
        <f>'מיקום ההרצות'!B86</f>
        <v/>
      </c>
      <c r="C82" s="62"/>
      <c r="D82" s="62"/>
      <c r="E82" s="404" t="str">
        <f>סיווג!AB94</f>
        <v/>
      </c>
      <c r="F82" s="413" t="str">
        <f t="shared" si="4"/>
        <v/>
      </c>
      <c r="G82" s="408" t="str">
        <f t="shared" si="3"/>
        <v/>
      </c>
      <c r="K82" s="28"/>
      <c r="L82" s="28"/>
    </row>
    <row r="83" spans="1:12" ht="15.75" x14ac:dyDescent="0.25">
      <c r="A83" s="9">
        <f>'מיקום ההרצות'!A87</f>
        <v>75</v>
      </c>
      <c r="B83" s="402" t="str">
        <f>'מיקום ההרצות'!B87</f>
        <v/>
      </c>
      <c r="C83" s="62"/>
      <c r="D83" s="62"/>
      <c r="E83" s="404" t="str">
        <f>סיווג!AB95</f>
        <v/>
      </c>
      <c r="F83" s="413" t="str">
        <f t="shared" si="4"/>
        <v/>
      </c>
      <c r="G83" s="408" t="str">
        <f t="shared" si="3"/>
        <v/>
      </c>
      <c r="K83" s="28"/>
      <c r="L83" s="28"/>
    </row>
    <row r="84" spans="1:12" ht="15.75" x14ac:dyDescent="0.25">
      <c r="A84" s="9">
        <f>'מיקום ההרצות'!A88</f>
        <v>76</v>
      </c>
      <c r="B84" s="402" t="str">
        <f>'מיקום ההרצות'!B88</f>
        <v>שרון שגיא - פלמנקו</v>
      </c>
      <c r="C84" s="62">
        <v>102826</v>
      </c>
      <c r="D84" s="62">
        <v>117441</v>
      </c>
      <c r="E84" s="404">
        <f>סיווג!AB96</f>
        <v>1</v>
      </c>
      <c r="F84" s="413">
        <f t="shared" si="4"/>
        <v>271680</v>
      </c>
      <c r="G84" s="408">
        <f t="shared" si="3"/>
        <v>1.9940809309944615E-2</v>
      </c>
      <c r="K84" s="28"/>
      <c r="L84" s="28"/>
    </row>
    <row r="85" spans="1:12" ht="15.75" x14ac:dyDescent="0.25">
      <c r="A85" s="9">
        <f>'מיקום ההרצות'!A89</f>
        <v>77</v>
      </c>
      <c r="B85" s="402" t="str">
        <f>'מיקום ההרצות'!B89</f>
        <v/>
      </c>
      <c r="C85" s="62"/>
      <c r="D85" s="62"/>
      <c r="E85" s="404" t="str">
        <f>סיווג!AB97</f>
        <v/>
      </c>
      <c r="F85" s="413" t="str">
        <f t="shared" si="4"/>
        <v/>
      </c>
      <c r="G85" s="408" t="str">
        <f t="shared" si="3"/>
        <v/>
      </c>
      <c r="K85" s="28"/>
      <c r="L85" s="28"/>
    </row>
    <row r="86" spans="1:12" ht="15.75" x14ac:dyDescent="0.25">
      <c r="A86" s="9">
        <f>'מיקום ההרצות'!A90</f>
        <v>78</v>
      </c>
      <c r="B86" s="402" t="str">
        <f>'מיקום ההרצות'!B90</f>
        <v>אוליביה קורט מסה</v>
      </c>
      <c r="C86" s="62">
        <v>139879</v>
      </c>
      <c r="D86" s="62">
        <v>39290</v>
      </c>
      <c r="E86" s="404">
        <f>סיווג!AB98</f>
        <v>1</v>
      </c>
      <c r="F86" s="413">
        <f t="shared" si="4"/>
        <v>249108.5</v>
      </c>
      <c r="G86" s="408">
        <f t="shared" si="3"/>
        <v>1.8284102974036875E-2</v>
      </c>
      <c r="K86" s="28"/>
      <c r="L86" s="28"/>
    </row>
    <row r="87" spans="1:12" ht="15.75" x14ac:dyDescent="0.25">
      <c r="A87" s="9">
        <f>'מיקום ההרצות'!A91</f>
        <v>79</v>
      </c>
      <c r="B87" s="402" t="str">
        <f>'מיקום ההרצות'!B91</f>
        <v/>
      </c>
      <c r="C87" s="62"/>
      <c r="D87" s="62"/>
      <c r="E87" s="404" t="str">
        <f>סיווג!AB99</f>
        <v/>
      </c>
      <c r="F87" s="413" t="str">
        <f t="shared" si="4"/>
        <v/>
      </c>
      <c r="G87" s="408" t="str">
        <f t="shared" si="3"/>
        <v/>
      </c>
      <c r="K87" s="28"/>
      <c r="L87" s="28"/>
    </row>
    <row r="88" spans="1:12" ht="15.75" x14ac:dyDescent="0.25">
      <c r="A88" s="9">
        <f>'מיקום ההרצות'!A92</f>
        <v>80</v>
      </c>
      <c r="B88" s="402" t="str">
        <f>'מיקום ההרצות'!B92</f>
        <v/>
      </c>
      <c r="C88" s="62"/>
      <c r="D88" s="62"/>
      <c r="E88" s="404" t="str">
        <f>סיווג!AB100</f>
        <v/>
      </c>
      <c r="F88" s="413" t="str">
        <f t="shared" si="4"/>
        <v/>
      </c>
      <c r="G88" s="408" t="str">
        <f t="shared" si="3"/>
        <v/>
      </c>
      <c r="K88" s="28"/>
      <c r="L88" s="28"/>
    </row>
    <row r="89" spans="1:12" ht="15.75" x14ac:dyDescent="0.25">
      <c r="A89" s="9">
        <f>'מיקום ההרצות'!A93</f>
        <v>81</v>
      </c>
      <c r="B89" s="402" t="str">
        <f>'מיקום ההרצות'!B93</f>
        <v>דגה פדר</v>
      </c>
      <c r="C89" s="62">
        <v>22120</v>
      </c>
      <c r="D89" s="62">
        <v>0</v>
      </c>
      <c r="E89" s="404">
        <f>סיווג!AB101</f>
        <v>1</v>
      </c>
      <c r="F89" s="413">
        <f t="shared" si="4"/>
        <v>33180</v>
      </c>
      <c r="G89" s="408">
        <f t="shared" si="3"/>
        <v>2.4353506069786602E-3</v>
      </c>
      <c r="K89" s="28"/>
      <c r="L89" s="28"/>
    </row>
    <row r="90" spans="1:12" ht="15.75" x14ac:dyDescent="0.25">
      <c r="A90" s="9">
        <f>'מיקום ההרצות'!A94</f>
        <v>82</v>
      </c>
      <c r="B90" s="402" t="str">
        <f>'מיקום ההרצות'!B94</f>
        <v>דנה חפוטה</v>
      </c>
      <c r="C90" s="62">
        <v>11200</v>
      </c>
      <c r="D90" s="62">
        <v>15400</v>
      </c>
      <c r="E90" s="404">
        <f>סיווג!AB102</f>
        <v>1</v>
      </c>
      <c r="F90" s="413">
        <f t="shared" si="4"/>
        <v>32200</v>
      </c>
      <c r="G90" s="408">
        <f t="shared" si="3"/>
        <v>2.363420420274649E-3</v>
      </c>
      <c r="K90" s="28"/>
      <c r="L90" s="28"/>
    </row>
    <row r="91" spans="1:12" ht="15.75" x14ac:dyDescent="0.25">
      <c r="A91" s="9">
        <f>'מיקום ההרצות'!A95</f>
        <v>83</v>
      </c>
      <c r="B91" s="402" t="str">
        <f>'מיקום ההרצות'!B95</f>
        <v/>
      </c>
      <c r="C91" s="62"/>
      <c r="D91" s="62"/>
      <c r="E91" s="404" t="str">
        <f>סיווג!AB103</f>
        <v/>
      </c>
      <c r="F91" s="413" t="str">
        <f t="shared" si="4"/>
        <v/>
      </c>
      <c r="G91" s="408" t="str">
        <f t="shared" si="3"/>
        <v/>
      </c>
      <c r="K91" s="28"/>
      <c r="L91" s="28"/>
    </row>
    <row r="92" spans="1:12" ht="15.75" x14ac:dyDescent="0.25">
      <c r="A92" s="9">
        <f>'מיקום ההרצות'!A96</f>
        <v>84</v>
      </c>
      <c r="B92" s="402" t="str">
        <f>'מיקום ההרצות'!B96</f>
        <v/>
      </c>
      <c r="C92" s="62"/>
      <c r="D92" s="62"/>
      <c r="E92" s="404" t="str">
        <f>סיווג!AB104</f>
        <v/>
      </c>
      <c r="F92" s="413" t="str">
        <f t="shared" si="4"/>
        <v/>
      </c>
      <c r="G92" s="408" t="str">
        <f t="shared" si="3"/>
        <v/>
      </c>
      <c r="K92" s="28"/>
      <c r="L92" s="28"/>
    </row>
    <row r="93" spans="1:12" ht="15.75" x14ac:dyDescent="0.25">
      <c r="A93" s="9">
        <f>'מיקום ההרצות'!A97</f>
        <v>85</v>
      </c>
      <c r="B93" s="402" t="str">
        <f>'מיקום ההרצות'!B97</f>
        <v>יענק'לה פילצר</v>
      </c>
      <c r="C93" s="62">
        <v>116428</v>
      </c>
      <c r="D93" s="62">
        <v>47865</v>
      </c>
      <c r="E93" s="404">
        <f>סיווג!AB105</f>
        <v>1</v>
      </c>
      <c r="F93" s="413">
        <f t="shared" si="4"/>
        <v>222507</v>
      </c>
      <c r="G93" s="408">
        <f t="shared" si="3"/>
        <v>1.6331602094846315E-2</v>
      </c>
      <c r="K93" s="28"/>
      <c r="L93" s="28"/>
    </row>
    <row r="94" spans="1:12" ht="15.75" x14ac:dyDescent="0.25">
      <c r="A94" s="9">
        <f>'מיקום ההרצות'!A98</f>
        <v>86</v>
      </c>
      <c r="B94" s="402" t="str">
        <f>'מיקום ההרצות'!B98</f>
        <v>ענבל פינטו</v>
      </c>
      <c r="C94" s="62">
        <v>176260</v>
      </c>
      <c r="D94" s="62">
        <v>0</v>
      </c>
      <c r="E94" s="404">
        <f>סיווג!AB106</f>
        <v>1</v>
      </c>
      <c r="F94" s="413">
        <f t="shared" si="4"/>
        <v>264390</v>
      </c>
      <c r="G94" s="408">
        <f t="shared" si="3"/>
        <v>1.9405736798646413E-2</v>
      </c>
      <c r="K94" s="28"/>
      <c r="L94" s="28"/>
    </row>
    <row r="95" spans="1:12" ht="15.75" x14ac:dyDescent="0.25">
      <c r="A95" s="9">
        <f>'מיקום ההרצות'!A99</f>
        <v>87</v>
      </c>
      <c r="B95" s="402" t="str">
        <f>'מיקום ההרצות'!B99</f>
        <v>רוני חדש</v>
      </c>
      <c r="C95" s="62">
        <v>84798</v>
      </c>
      <c r="D95" s="62">
        <v>19169</v>
      </c>
      <c r="E95" s="404">
        <f>סיווג!AB107</f>
        <v>1</v>
      </c>
      <c r="F95" s="413">
        <f t="shared" si="4"/>
        <v>146366</v>
      </c>
      <c r="G95" s="408">
        <f t="shared" si="3"/>
        <v>1.0742993578693145E-2</v>
      </c>
      <c r="K95" s="28"/>
      <c r="L95" s="28"/>
    </row>
    <row r="96" spans="1:12" ht="15.75" x14ac:dyDescent="0.25">
      <c r="A96" s="9">
        <f>'מיקום ההרצות'!A100</f>
        <v>88</v>
      </c>
      <c r="B96" s="402" t="str">
        <f>'מיקום ההרצות'!B100</f>
        <v>שחר בנימיני</v>
      </c>
      <c r="C96" s="62">
        <v>46107</v>
      </c>
      <c r="D96" s="62">
        <v>9970</v>
      </c>
      <c r="E96" s="404">
        <f>סיווג!AB108</f>
        <v>1</v>
      </c>
      <c r="F96" s="413">
        <f t="shared" si="4"/>
        <v>79130.5</v>
      </c>
      <c r="G96" s="408">
        <f t="shared" si="3"/>
        <v>5.8080322846752516E-3</v>
      </c>
      <c r="K96" s="28"/>
      <c r="L96" s="28"/>
    </row>
    <row r="97" spans="1:12" ht="15.75" x14ac:dyDescent="0.25">
      <c r="A97" s="9">
        <f>'מיקום ההרצות'!A101</f>
        <v>89</v>
      </c>
      <c r="B97" s="402" t="str">
        <f>'מיקום ההרצות'!B101</f>
        <v>רביד אברבאנל</v>
      </c>
      <c r="C97" s="62">
        <v>42732</v>
      </c>
      <c r="D97" s="62">
        <v>43492</v>
      </c>
      <c r="E97" s="404">
        <f>סיווג!AB109</f>
        <v>1</v>
      </c>
      <c r="F97" s="413">
        <f t="shared" si="4"/>
        <v>107590</v>
      </c>
      <c r="G97" s="408">
        <f t="shared" si="3"/>
        <v>7.8969069260046432E-3</v>
      </c>
      <c r="K97" s="28"/>
      <c r="L97" s="28"/>
    </row>
    <row r="98" spans="1:12" ht="15.75" x14ac:dyDescent="0.25">
      <c r="A98" s="9">
        <f>'מיקום ההרצות'!A102</f>
        <v>90</v>
      </c>
      <c r="B98" s="402" t="str">
        <f>'מיקום ההרצות'!B102</f>
        <v>שרון פרידמן</v>
      </c>
      <c r="C98" s="62">
        <v>109291</v>
      </c>
      <c r="D98" s="62">
        <v>3478</v>
      </c>
      <c r="E98" s="404">
        <f>סיווג!AB110</f>
        <v>1</v>
      </c>
      <c r="F98" s="413">
        <f t="shared" si="4"/>
        <v>167414.5</v>
      </c>
      <c r="G98" s="408">
        <f t="shared" si="3"/>
        <v>1.2287914532610876E-2</v>
      </c>
      <c r="K98" s="28"/>
      <c r="L98" s="28"/>
    </row>
    <row r="99" spans="1:12" ht="15.75" x14ac:dyDescent="0.25">
      <c r="A99" s="9">
        <f>'מיקום ההרצות'!A103</f>
        <v>91</v>
      </c>
      <c r="B99" s="402" t="str">
        <f>'מיקום ההרצות'!B103</f>
        <v>מירב כהן</v>
      </c>
      <c r="C99" s="62">
        <v>9942</v>
      </c>
      <c r="D99" s="62">
        <v>6455</v>
      </c>
      <c r="E99" s="404">
        <f>סיווג!AB111</f>
        <v>1</v>
      </c>
      <c r="F99" s="413">
        <f t="shared" si="4"/>
        <v>21368</v>
      </c>
      <c r="G99" s="408">
        <f t="shared" si="3"/>
        <v>1.5683716627462329E-3</v>
      </c>
      <c r="K99" s="28"/>
      <c r="L99" s="28"/>
    </row>
    <row r="100" spans="1:12" ht="15.75" x14ac:dyDescent="0.25">
      <c r="A100" s="9">
        <f>'מיקום ההרצות'!A104</f>
        <v>92</v>
      </c>
      <c r="B100" s="402" t="str">
        <f>'מיקום ההרצות'!B104</f>
        <v>קים טייטלבאום</v>
      </c>
      <c r="C100" s="62">
        <v>57748</v>
      </c>
      <c r="D100" s="62">
        <v>2900</v>
      </c>
      <c r="E100" s="404">
        <f>סיווג!AB112</f>
        <v>1</v>
      </c>
      <c r="F100" s="413">
        <f t="shared" si="4"/>
        <v>89522</v>
      </c>
      <c r="G100" s="408">
        <f t="shared" si="3"/>
        <v>6.5707491572617122E-3</v>
      </c>
      <c r="K100" s="28"/>
      <c r="L100" s="28"/>
    </row>
    <row r="101" spans="1:12" ht="15.75" x14ac:dyDescent="0.25">
      <c r="A101" s="9">
        <f>'מיקום ההרצות'!A105</f>
        <v>93</v>
      </c>
      <c r="B101" s="402" t="str">
        <f>'מיקום ההרצות'!B105</f>
        <v/>
      </c>
      <c r="C101" s="62"/>
      <c r="D101" s="62"/>
      <c r="E101" s="404" t="str">
        <f>סיווג!AB113</f>
        <v/>
      </c>
      <c r="F101" s="413" t="str">
        <f t="shared" si="4"/>
        <v/>
      </c>
      <c r="G101" s="408" t="str">
        <f t="shared" si="3"/>
        <v/>
      </c>
      <c r="K101" s="28"/>
      <c r="L101" s="28"/>
    </row>
    <row r="102" spans="1:12" ht="15.75" x14ac:dyDescent="0.25">
      <c r="A102" s="9">
        <f>'מיקום ההרצות'!A106</f>
        <v>94</v>
      </c>
      <c r="B102" s="402" t="str">
        <f>'מיקום ההרצות'!B106</f>
        <v>מאי זרחי</v>
      </c>
      <c r="C102" s="62">
        <v>13978</v>
      </c>
      <c r="D102" s="62">
        <v>28835</v>
      </c>
      <c r="E102" s="404">
        <f>סיווג!AB114</f>
        <v>1</v>
      </c>
      <c r="F102" s="413">
        <f t="shared" si="4"/>
        <v>49802</v>
      </c>
      <c r="G102" s="408">
        <f t="shared" si="3"/>
        <v>3.6553746512583249E-3</v>
      </c>
      <c r="K102" s="28"/>
      <c r="L102" s="28"/>
    </row>
    <row r="103" spans="1:12" ht="15.75" x14ac:dyDescent="0.25">
      <c r="A103" s="9">
        <f>'מיקום ההרצות'!A107</f>
        <v>95</v>
      </c>
      <c r="B103" s="402" t="str">
        <f>'מיקום ההרצות'!B107</f>
        <v>דנה מרכוס</v>
      </c>
      <c r="C103" s="62">
        <v>42502</v>
      </c>
      <c r="D103" s="62">
        <v>0</v>
      </c>
      <c r="E103" s="404">
        <f>סיווג!AB115</f>
        <v>1</v>
      </c>
      <c r="F103" s="413">
        <f t="shared" si="4"/>
        <v>63753</v>
      </c>
      <c r="G103" s="408">
        <f t="shared" si="3"/>
        <v>4.6793522376947115E-3</v>
      </c>
      <c r="K103" s="28"/>
      <c r="L103" s="28"/>
    </row>
    <row r="104" spans="1:12" ht="15.75" x14ac:dyDescent="0.25">
      <c r="A104" s="9">
        <f>'מיקום ההרצות'!A108</f>
        <v>96</v>
      </c>
      <c r="B104" s="402" t="str">
        <f>'מיקום ההרצות'!B108</f>
        <v/>
      </c>
      <c r="C104" s="62"/>
      <c r="D104" s="62"/>
      <c r="E104" s="404" t="str">
        <f>סיווג!AB116</f>
        <v/>
      </c>
      <c r="F104" s="413" t="str">
        <f t="shared" si="4"/>
        <v/>
      </c>
      <c r="G104" s="408" t="str">
        <f t="shared" si="3"/>
        <v/>
      </c>
      <c r="K104" s="28"/>
      <c r="L104" s="28"/>
    </row>
    <row r="105" spans="1:12" ht="15.75" x14ac:dyDescent="0.25">
      <c r="A105" s="9">
        <f>'מיקום ההרצות'!A109</f>
        <v>97</v>
      </c>
      <c r="B105" s="402" t="str">
        <f>'מיקום ההרצות'!B109</f>
        <v/>
      </c>
      <c r="C105" s="62"/>
      <c r="D105" s="62"/>
      <c r="E105" s="404" t="str">
        <f>סיווג!AB117</f>
        <v/>
      </c>
      <c r="F105" s="413" t="str">
        <f t="shared" si="4"/>
        <v/>
      </c>
      <c r="G105" s="408" t="str">
        <f t="shared" ref="G105:G108" si="5">IF(ISERR(F105/$F$121),"",F105/$F$121)</f>
        <v/>
      </c>
      <c r="K105" s="28"/>
      <c r="L105" s="28"/>
    </row>
    <row r="106" spans="1:12" ht="15.75" x14ac:dyDescent="0.25">
      <c r="A106" s="9">
        <f>'מיקום ההרצות'!A110</f>
        <v>98</v>
      </c>
      <c r="B106" s="402" t="str">
        <f>'מיקום ההרצות'!B110</f>
        <v>שקד מוכיח</v>
      </c>
      <c r="C106" s="62">
        <v>92471</v>
      </c>
      <c r="D106" s="62">
        <v>32446</v>
      </c>
      <c r="E106" s="404">
        <f>סיווג!AB118</f>
        <v>1</v>
      </c>
      <c r="F106" s="413">
        <f t="shared" si="4"/>
        <v>171152.5</v>
      </c>
      <c r="G106" s="408">
        <f t="shared" si="5"/>
        <v>1.256227681618189E-2</v>
      </c>
      <c r="K106" s="28"/>
      <c r="L106" s="28"/>
    </row>
    <row r="107" spans="1:12" ht="15.75" x14ac:dyDescent="0.25">
      <c r="A107" s="9">
        <f>'מיקום ההרצות'!A111</f>
        <v>99</v>
      </c>
      <c r="B107" s="402" t="str">
        <f>'מיקום ההרצות'!B111</f>
        <v>שרון הללי אסא</v>
      </c>
      <c r="C107" s="62">
        <v>59126</v>
      </c>
      <c r="D107" s="62">
        <v>6417</v>
      </c>
      <c r="E107" s="404">
        <f>סיווג!AB119</f>
        <v>1</v>
      </c>
      <c r="F107" s="413">
        <f t="shared" si="4"/>
        <v>95106</v>
      </c>
      <c r="G107" s="408">
        <f t="shared" si="5"/>
        <v>6.9806044251751794E-3</v>
      </c>
      <c r="K107" s="28"/>
      <c r="L107" s="28"/>
    </row>
    <row r="108" spans="1:12" ht="15.75" x14ac:dyDescent="0.25">
      <c r="A108" s="9">
        <f>'מיקום ההרצות'!A112</f>
        <v>100</v>
      </c>
      <c r="B108" s="402" t="str">
        <f>'מיקום ההרצות'!B112</f>
        <v>להקת ג'אם</v>
      </c>
      <c r="C108" s="62">
        <v>37272</v>
      </c>
      <c r="D108" s="62">
        <v>37000</v>
      </c>
      <c r="E108" s="404">
        <f>סיווג!AB120</f>
        <v>1</v>
      </c>
      <c r="F108" s="413">
        <f t="shared" si="4"/>
        <v>92908</v>
      </c>
      <c r="G108" s="408">
        <f t="shared" si="5"/>
        <v>6.81927529213904E-3</v>
      </c>
      <c r="K108" s="28"/>
      <c r="L108" s="28"/>
    </row>
    <row r="109" spans="1:12" ht="15.75" x14ac:dyDescent="0.25">
      <c r="A109" s="9">
        <f>'מיקום ההרצות'!A113</f>
        <v>101</v>
      </c>
      <c r="B109" s="402" t="str">
        <f>'מיקום ההרצות'!B113</f>
        <v/>
      </c>
      <c r="C109" s="62"/>
      <c r="D109" s="62"/>
      <c r="E109" s="404" t="str">
        <f>סיווג!AB121</f>
        <v/>
      </c>
      <c r="F109" s="413" t="str">
        <f t="shared" ref="F109:F120" si="6">IF(B109="","",IF(ISERR(C109*D109*E109),"",(C109*$C$3+D109*$C$4)*E109))</f>
        <v/>
      </c>
      <c r="G109" s="408" t="str">
        <f t="shared" ref="G109:G120" si="7">IF(ISERR(F109/$F$121),"",F109/$F$121)</f>
        <v/>
      </c>
    </row>
    <row r="110" spans="1:12" ht="15.75" x14ac:dyDescent="0.25">
      <c r="A110" s="9">
        <f>'מיקום ההרצות'!A114</f>
        <v>102</v>
      </c>
      <c r="B110" s="402" t="str">
        <f>'מיקום ההרצות'!B114</f>
        <v/>
      </c>
      <c r="C110" s="62"/>
      <c r="D110" s="62"/>
      <c r="E110" s="404" t="str">
        <f>סיווג!AB122</f>
        <v/>
      </c>
      <c r="F110" s="413" t="str">
        <f t="shared" si="6"/>
        <v/>
      </c>
      <c r="G110" s="408" t="str">
        <f t="shared" si="7"/>
        <v/>
      </c>
    </row>
    <row r="111" spans="1:12" ht="15.75" x14ac:dyDescent="0.25">
      <c r="A111" s="9">
        <f>'מיקום ההרצות'!A115</f>
        <v>103</v>
      </c>
      <c r="B111" s="402" t="str">
        <f>'מיקום ההרצות'!B115</f>
        <v/>
      </c>
      <c r="C111" s="62"/>
      <c r="D111" s="62"/>
      <c r="E111" s="404" t="str">
        <f>סיווג!AB123</f>
        <v/>
      </c>
      <c r="F111" s="413" t="str">
        <f t="shared" si="6"/>
        <v/>
      </c>
      <c r="G111" s="408" t="str">
        <f t="shared" si="7"/>
        <v/>
      </c>
    </row>
    <row r="112" spans="1:12" ht="15.75" x14ac:dyDescent="0.25">
      <c r="A112" s="9">
        <f>'מיקום ההרצות'!A116</f>
        <v>104</v>
      </c>
      <c r="B112" s="402" t="str">
        <f>'מיקום ההרצות'!B116</f>
        <v/>
      </c>
      <c r="C112" s="62"/>
      <c r="D112" s="62"/>
      <c r="E112" s="404" t="str">
        <f>סיווג!AB124</f>
        <v/>
      </c>
      <c r="F112" s="413" t="str">
        <f t="shared" si="6"/>
        <v/>
      </c>
      <c r="G112" s="408" t="str">
        <f t="shared" si="7"/>
        <v/>
      </c>
    </row>
    <row r="113" spans="1:7" ht="15.75" x14ac:dyDescent="0.25">
      <c r="A113" s="9">
        <f>'מיקום ההרצות'!A117</f>
        <v>105</v>
      </c>
      <c r="B113" s="402" t="str">
        <f>'מיקום ההרצות'!B117</f>
        <v>מורן אברג'ל יצחקי</v>
      </c>
      <c r="C113" s="62">
        <v>29046</v>
      </c>
      <c r="D113" s="62">
        <v>20466</v>
      </c>
      <c r="E113" s="404">
        <f>סיווג!AB125</f>
        <v>1</v>
      </c>
      <c r="F113" s="413">
        <f t="shared" si="6"/>
        <v>64035</v>
      </c>
      <c r="G113" s="408">
        <f t="shared" si="7"/>
        <v>4.7000505159095389E-3</v>
      </c>
    </row>
    <row r="114" spans="1:7" ht="15.75" x14ac:dyDescent="0.25">
      <c r="A114" s="9">
        <f>'מיקום ההרצות'!A118</f>
        <v>106</v>
      </c>
      <c r="B114" s="402" t="str">
        <f>'מיקום ההרצות'!B118</f>
        <v>מיכל בן צבי</v>
      </c>
      <c r="C114" s="62">
        <v>66385</v>
      </c>
      <c r="D114" s="62">
        <v>11573</v>
      </c>
      <c r="E114" s="404">
        <f>סיווג!AB126</f>
        <v>1</v>
      </c>
      <c r="F114" s="413">
        <f t="shared" si="6"/>
        <v>111150.5</v>
      </c>
      <c r="G114" s="408">
        <f t="shared" si="7"/>
        <v>8.1582410380042665E-3</v>
      </c>
    </row>
    <row r="115" spans="1:7" ht="15.75" x14ac:dyDescent="0.25">
      <c r="A115" s="9">
        <f>'מיקום ההרצות'!A119</f>
        <v>107</v>
      </c>
      <c r="B115" s="402" t="str">
        <f>'מיקום ההרצות'!B119</f>
        <v>מיקה קופפר</v>
      </c>
      <c r="C115" s="62">
        <v>21140</v>
      </c>
      <c r="D115" s="62">
        <v>8175</v>
      </c>
      <c r="E115" s="404">
        <f>סיווג!AB127</f>
        <v>1</v>
      </c>
      <c r="F115" s="413">
        <f t="shared" si="6"/>
        <v>39885</v>
      </c>
      <c r="G115" s="408">
        <f t="shared" si="7"/>
        <v>2.9274852007035519E-3</v>
      </c>
    </row>
    <row r="116" spans="1:7" ht="15.75" x14ac:dyDescent="0.25">
      <c r="A116" s="9">
        <f>'מיקום ההרצות'!A120</f>
        <v>108</v>
      </c>
      <c r="B116" s="402" t="str">
        <f>'מיקום ההרצות'!B120</f>
        <v/>
      </c>
      <c r="C116" s="62"/>
      <c r="D116" s="62"/>
      <c r="E116" s="404" t="str">
        <f>סיווג!AB128</f>
        <v/>
      </c>
      <c r="F116" s="413" t="str">
        <f t="shared" si="6"/>
        <v/>
      </c>
      <c r="G116" s="408" t="str">
        <f t="shared" si="7"/>
        <v/>
      </c>
    </row>
    <row r="117" spans="1:7" ht="15.75" x14ac:dyDescent="0.25">
      <c r="A117" s="9">
        <f>'מיקום ההרצות'!A121</f>
        <v>109</v>
      </c>
      <c r="B117" s="402" t="str">
        <f>'מיקום ההרצות'!B121</f>
        <v>נועה שילה</v>
      </c>
      <c r="C117" s="62">
        <v>46079</v>
      </c>
      <c r="D117" s="62">
        <v>22463</v>
      </c>
      <c r="E117" s="404">
        <f>סיווג!AB129</f>
        <v>1</v>
      </c>
      <c r="F117" s="413">
        <f t="shared" si="6"/>
        <v>91581.5</v>
      </c>
      <c r="G117" s="408">
        <f t="shared" si="7"/>
        <v>6.721912646564682E-3</v>
      </c>
    </row>
    <row r="118" spans="1:7" ht="15.75" x14ac:dyDescent="0.25">
      <c r="A118" s="9">
        <f>'מיקום ההרצות'!A122</f>
        <v>110</v>
      </c>
      <c r="B118" s="402" t="str">
        <f>'מיקום ההרצות'!B122</f>
        <v/>
      </c>
      <c r="C118" s="62"/>
      <c r="D118" s="62"/>
      <c r="E118" s="404" t="str">
        <f>סיווג!AB130</f>
        <v/>
      </c>
      <c r="F118" s="413" t="str">
        <f t="shared" si="6"/>
        <v/>
      </c>
      <c r="G118" s="408" t="str">
        <f t="shared" si="7"/>
        <v/>
      </c>
    </row>
    <row r="119" spans="1:7" ht="15.75" x14ac:dyDescent="0.25">
      <c r="A119" s="9">
        <f>'מיקום ההרצות'!A123</f>
        <v>111</v>
      </c>
      <c r="B119" s="402" t="str">
        <f>'מיקום ההרצות'!B123</f>
        <v>עדי בוטרוס אמנויות הבמה (ע"ר)</v>
      </c>
      <c r="C119" s="62">
        <v>324235</v>
      </c>
      <c r="D119" s="62">
        <v>0</v>
      </c>
      <c r="E119" s="404">
        <f>סיווג!AB131</f>
        <v>1</v>
      </c>
      <c r="F119" s="413">
        <f t="shared" si="6"/>
        <v>486352.5</v>
      </c>
      <c r="G119" s="408">
        <f t="shared" si="7"/>
        <v>3.5697373600982178E-2</v>
      </c>
    </row>
    <row r="120" spans="1:7" ht="16.5" thickBot="1" x14ac:dyDescent="0.3">
      <c r="A120" s="9">
        <f>'מיקום ההרצות'!A124</f>
        <v>112</v>
      </c>
      <c r="B120" s="402" t="str">
        <f>'מיקום ההרצות'!B124</f>
        <v/>
      </c>
      <c r="C120" s="62"/>
      <c r="D120" s="62"/>
      <c r="E120" s="404" t="str">
        <f>סיווג!AB132</f>
        <v/>
      </c>
      <c r="F120" s="413" t="str">
        <f t="shared" si="6"/>
        <v/>
      </c>
      <c r="G120" s="408" t="str">
        <f t="shared" si="7"/>
        <v/>
      </c>
    </row>
    <row r="121" spans="1:7" ht="17.25" thickTop="1" thickBot="1" x14ac:dyDescent="0.3">
      <c r="A121" s="787" t="s">
        <v>41</v>
      </c>
      <c r="B121" s="788"/>
      <c r="C121" s="788"/>
      <c r="D121" s="788"/>
      <c r="E121" s="789"/>
      <c r="F121" s="33">
        <f>SUM(F9:F120)</f>
        <v>13624321.65</v>
      </c>
      <c r="G121" s="35">
        <f>SUM(G9:G120)</f>
        <v>0.99999999999999967</v>
      </c>
    </row>
    <row r="122" spans="1:7" ht="13.5" thickTop="1" x14ac:dyDescent="0.2"/>
  </sheetData>
  <sheetProtection algorithmName="SHA-512" hashValue="ilW/bjIyYYdXz6oeMNQle+RkCoC4ncexmmOdaFb2M4ZnzmOVjU1Y1UlLiVD4ghbdTcJCPbVN4QenqBXOHLelhg==" saltValue="Gf+2tPyCl0kMaza8jZJE9w==" spinCount="100000" sheet="1" scenarios="1" formatColumns="0" formatRows="0" autoFilter="0"/>
  <mergeCells count="7">
    <mergeCell ref="A121:E121"/>
    <mergeCell ref="B1:C1"/>
    <mergeCell ref="E1:F1"/>
    <mergeCell ref="G1:H1"/>
    <mergeCell ref="E2:F2"/>
    <mergeCell ref="G2:H2"/>
    <mergeCell ref="A7:G7"/>
  </mergeCells>
  <conditionalFormatting sqref="A9:B120">
    <cfRule type="containsBlanks" dxfId="170" priority="66">
      <formula>LEN(TRIM(A9))=0</formula>
    </cfRule>
  </conditionalFormatting>
  <conditionalFormatting sqref="C9:C59">
    <cfRule type="expression" dxfId="169" priority="4">
      <formula>$B9&lt;&gt;""</formula>
    </cfRule>
  </conditionalFormatting>
  <conditionalFormatting sqref="C9:C120">
    <cfRule type="expression" dxfId="168" priority="3">
      <formula>AND($C9="",C9&lt;&gt;"")</formula>
    </cfRule>
  </conditionalFormatting>
  <conditionalFormatting sqref="C60:D88">
    <cfRule type="expression" dxfId="167" priority="20">
      <formula>$B60&lt;&gt;""</formula>
    </cfRule>
  </conditionalFormatting>
  <conditionalFormatting sqref="C89:D120">
    <cfRule type="expression" dxfId="166" priority="6">
      <formula>$B89&lt;&gt;""</formula>
    </cfRule>
  </conditionalFormatting>
  <conditionalFormatting sqref="D9:D10">
    <cfRule type="expression" dxfId="165" priority="41">
      <formula>AND($B9="",D9&lt;&gt;"")</formula>
    </cfRule>
    <cfRule type="expression" dxfId="164" priority="42">
      <formula>$B9&lt;&gt;""</formula>
    </cfRule>
  </conditionalFormatting>
  <conditionalFormatting sqref="D11">
    <cfRule type="expression" dxfId="163" priority="39">
      <formula>AND($C11="",D11&lt;&gt;"")</formula>
    </cfRule>
    <cfRule type="expression" dxfId="162" priority="40">
      <formula>$B11&lt;&gt;""</formula>
    </cfRule>
  </conditionalFormatting>
  <conditionalFormatting sqref="D12:D19 D21:D22 D24 D27:D31 D34:D39 D41:D49">
    <cfRule type="expression" dxfId="161" priority="45">
      <formula>AND($B12="",D12&lt;&gt;"")</formula>
    </cfRule>
    <cfRule type="expression" dxfId="160" priority="46">
      <formula>$B12&lt;&gt;""</formula>
    </cfRule>
  </conditionalFormatting>
  <conditionalFormatting sqref="D20">
    <cfRule type="expression" dxfId="159" priority="29">
      <formula>AND($C20="",D20&lt;&gt;"")</formula>
    </cfRule>
    <cfRule type="expression" dxfId="158" priority="30">
      <formula>$B20&lt;&gt;""</formula>
    </cfRule>
  </conditionalFormatting>
  <conditionalFormatting sqref="D23">
    <cfRule type="expression" dxfId="157" priority="17">
      <formula>AND($C23="",D23&lt;&gt;"")</formula>
    </cfRule>
    <cfRule type="expression" dxfId="156" priority="18">
      <formula>$B23&lt;&gt;""</formula>
    </cfRule>
  </conditionalFormatting>
  <conditionalFormatting sqref="D25:D26">
    <cfRule type="expression" dxfId="155" priority="9">
      <formula>AND($C25="",D25&lt;&gt;"")</formula>
    </cfRule>
    <cfRule type="expression" dxfId="154" priority="10">
      <formula>$B25&lt;&gt;""</formula>
    </cfRule>
  </conditionalFormatting>
  <conditionalFormatting sqref="D32:D33">
    <cfRule type="expression" dxfId="153" priority="13">
      <formula>AND($C32="",D32&lt;&gt;"")</formula>
    </cfRule>
    <cfRule type="expression" dxfId="152" priority="14">
      <formula>$B32&lt;&gt;""</formula>
    </cfRule>
  </conditionalFormatting>
  <conditionalFormatting sqref="D40">
    <cfRule type="expression" dxfId="151" priority="11">
      <formula>AND($C40="",D40&lt;&gt;"")</formula>
    </cfRule>
    <cfRule type="expression" dxfId="150" priority="12">
      <formula>$B40&lt;&gt;""</formula>
    </cfRule>
  </conditionalFormatting>
  <conditionalFormatting sqref="D50">
    <cfRule type="expression" dxfId="149" priority="21">
      <formula>AND($C50="",D50&lt;&gt;"")</formula>
    </cfRule>
  </conditionalFormatting>
  <conditionalFormatting sqref="D50:D58">
    <cfRule type="expression" dxfId="148" priority="22">
      <formula>$B50&lt;&gt;""</formula>
    </cfRule>
  </conditionalFormatting>
  <conditionalFormatting sqref="D51:D59">
    <cfRule type="expression" dxfId="147" priority="1">
      <formula>AND($B51="",D51&lt;&gt;"")</formula>
    </cfRule>
  </conditionalFormatting>
  <conditionalFormatting sqref="D59">
    <cfRule type="expression" dxfId="146" priority="2">
      <formula>$B59&lt;&gt;""</formula>
    </cfRule>
  </conditionalFormatting>
  <conditionalFormatting sqref="D60">
    <cfRule type="expression" dxfId="145" priority="19">
      <formula>AND($C60="",D60&lt;&gt;"")</formula>
    </cfRule>
  </conditionalFormatting>
  <conditionalFormatting sqref="D61:D120">
    <cfRule type="expression" dxfId="144" priority="5">
      <formula>AND($B61="",D61&lt;&gt;"")</formula>
    </cfRule>
  </conditionalFormatting>
  <conditionalFormatting sqref="E9:G120">
    <cfRule type="containsBlanks" dxfId="143" priority="69">
      <formula>LEN(TRIM(E9))=0</formula>
    </cfRule>
  </conditionalFormatting>
  <conditionalFormatting sqref="G1:G2">
    <cfRule type="containsBlanks" dxfId="142" priority="67">
      <formula>LEN(TRIM(G1))=0</formula>
    </cfRule>
  </conditionalFormatting>
  <dataValidations count="1">
    <dataValidation type="whole" allowBlank="1" showInputMessage="1" showErrorMessage="1" sqref="C9:D120" xr:uid="{00000000-0002-0000-0900-000000000000}">
      <formula1>0</formula1>
      <formula2>9.99999999999999E+34</formula2>
    </dataValidation>
  </dataValidations>
  <printOptions horizontalCentered="1"/>
  <pageMargins left="0.27559055118110237" right="0.19685039370078741" top="0.62992125984251968" bottom="0.47244094488188981" header="0.31496062992125984" footer="0.23622047244094491"/>
  <pageSetup paperSize="9" scale="39" orientation="portrait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Worksheet______20">
    <tabColor theme="5" tint="0.39997558519241921"/>
    <pageSetUpPr fitToPage="1"/>
  </sheetPr>
  <dimension ref="A1:L126"/>
  <sheetViews>
    <sheetView rightToLeft="1" view="pageBreakPreview" zoomScale="90" zoomScaleNormal="100" zoomScaleSheetLayoutView="90" workbookViewId="0">
      <selection sqref="A1:D1"/>
    </sheetView>
  </sheetViews>
  <sheetFormatPr defaultColWidth="9.140625" defaultRowHeight="12.75" x14ac:dyDescent="0.2"/>
  <cols>
    <col min="1" max="1" width="13.140625" style="1" customWidth="1"/>
    <col min="2" max="2" width="35.7109375" style="1" customWidth="1"/>
    <col min="3" max="3" width="22.7109375" style="1" bestFit="1" customWidth="1"/>
    <col min="4" max="4" width="17" style="1" customWidth="1"/>
    <col min="5" max="5" width="24.28515625" style="1" customWidth="1"/>
    <col min="6" max="6" width="18.140625" style="1" customWidth="1"/>
    <col min="7" max="7" width="24.42578125" style="1" bestFit="1" customWidth="1"/>
    <col min="8" max="8" width="8.42578125" style="1" customWidth="1"/>
    <col min="9" max="9" width="13" style="1" customWidth="1"/>
    <col min="10" max="10" width="10.28515625" style="1" customWidth="1"/>
    <col min="11" max="11" width="10.140625" style="1" hidden="1" customWidth="1"/>
    <col min="12" max="12" width="4.85546875" style="1" hidden="1" customWidth="1"/>
    <col min="13" max="13" width="4.85546875" style="1" customWidth="1"/>
    <col min="14" max="16384" width="9.140625" style="1"/>
  </cols>
  <sheetData>
    <row r="1" spans="1:12" ht="33" customHeight="1" x14ac:dyDescent="0.25">
      <c r="A1" s="796" t="str">
        <f>פרמטרים!B66</f>
        <v>מפתח סימול וניקוד רמה אומנותית</v>
      </c>
      <c r="B1" s="796"/>
      <c r="C1" s="796"/>
      <c r="D1" s="797"/>
      <c r="E1" s="769" t="str">
        <f>פרמטרים!C1</f>
        <v>שנת התקציב</v>
      </c>
      <c r="F1" s="770"/>
      <c r="G1" s="773">
        <f>פרמטרים!E1</f>
        <v>2025</v>
      </c>
      <c r="H1" s="774"/>
    </row>
    <row r="2" spans="1:12" ht="44.25" customHeight="1" thickBot="1" x14ac:dyDescent="0.25">
      <c r="A2" s="792" t="str">
        <f>פרמטרים!B67</f>
        <v>יוצר בראשית דרכו / יוצר מנוסה</v>
      </c>
      <c r="B2" s="793"/>
      <c r="C2" s="794" t="str">
        <f>פרמטרים!D67</f>
        <v>יוצר ותיק</v>
      </c>
      <c r="D2" s="795"/>
      <c r="E2" s="771" t="str">
        <f>פרמטרים!C2</f>
        <v>תקציב</v>
      </c>
      <c r="F2" s="772"/>
      <c r="G2" s="775">
        <f>פרמטרים!E2</f>
        <v>8082764</v>
      </c>
      <c r="H2" s="776"/>
    </row>
    <row r="3" spans="1:12" ht="63.75" customHeight="1" x14ac:dyDescent="0.2">
      <c r="A3" s="688" t="str">
        <f>פרמטרים!B68</f>
        <v>קיבל ברמה אומנותית:</v>
      </c>
      <c r="B3" s="799" t="str">
        <f>פרמטרים!C68</f>
        <v>ניקוד</v>
      </c>
      <c r="C3" s="688" t="str">
        <f>פרמטרים!D68</f>
        <v>קיבל ברמה אומנותית</v>
      </c>
      <c r="D3" s="675" t="str">
        <f>פרמטרים!E68</f>
        <v>ניקוד</v>
      </c>
      <c r="K3" s="34" t="str">
        <f t="shared" ref="K3:L5" si="0">B3</f>
        <v>ניקוד</v>
      </c>
      <c r="L3" s="34" t="str">
        <f t="shared" si="0"/>
        <v>קיבל ברמה אומנותית</v>
      </c>
    </row>
    <row r="4" spans="1:12" x14ac:dyDescent="0.2">
      <c r="A4" s="798"/>
      <c r="B4" s="800"/>
      <c r="C4" s="798"/>
      <c r="D4" s="801"/>
      <c r="K4" s="34">
        <f t="shared" si="0"/>
        <v>0</v>
      </c>
      <c r="L4" s="34">
        <f t="shared" si="0"/>
        <v>0</v>
      </c>
    </row>
    <row r="5" spans="1:12" ht="15.75" x14ac:dyDescent="0.2">
      <c r="A5" s="493">
        <f>פרמטרים!B70</f>
        <v>5</v>
      </c>
      <c r="B5" s="497">
        <f>פרמטרים!C70</f>
        <v>8</v>
      </c>
      <c r="C5" s="493">
        <f>פרמטרים!D70</f>
        <v>5</v>
      </c>
      <c r="D5" s="496">
        <f>פרמטרים!E70</f>
        <v>8</v>
      </c>
      <c r="K5" s="34">
        <f t="shared" si="0"/>
        <v>8</v>
      </c>
      <c r="L5" s="34">
        <f t="shared" si="0"/>
        <v>5</v>
      </c>
    </row>
    <row r="6" spans="1:12" ht="15.75" x14ac:dyDescent="0.2">
      <c r="A6" s="493">
        <f>פרמטרים!B71</f>
        <v>4.99</v>
      </c>
      <c r="B6" s="497">
        <f>פרמטרים!C71</f>
        <v>5</v>
      </c>
      <c r="C6" s="493">
        <f>פרמטרים!D71</f>
        <v>4.99</v>
      </c>
      <c r="D6" s="496">
        <f>פרמטרים!E71</f>
        <v>5</v>
      </c>
      <c r="K6" s="34"/>
      <c r="L6" s="34"/>
    </row>
    <row r="7" spans="1:12" ht="15.75" x14ac:dyDescent="0.2">
      <c r="A7" s="585">
        <f>פרמטרים!B72</f>
        <v>4</v>
      </c>
      <c r="B7" s="497">
        <f>פרמטרים!C72</f>
        <v>3</v>
      </c>
      <c r="C7" s="585">
        <f>פרמטרים!D72</f>
        <v>4</v>
      </c>
      <c r="D7" s="496">
        <f>פרמטרים!E72</f>
        <v>3</v>
      </c>
      <c r="K7" s="34"/>
      <c r="L7" s="34"/>
    </row>
    <row r="8" spans="1:12" ht="15.75" x14ac:dyDescent="0.2">
      <c r="A8" s="493">
        <f>פרמטרים!B73</f>
        <v>3.5</v>
      </c>
      <c r="B8" s="497">
        <f>פרמטרים!C73</f>
        <v>2</v>
      </c>
      <c r="C8" s="493">
        <f>פרמטרים!D73</f>
        <v>3.5</v>
      </c>
      <c r="D8" s="496">
        <f>פרמטרים!E73</f>
        <v>2</v>
      </c>
      <c r="K8" s="34"/>
      <c r="L8" s="34"/>
    </row>
    <row r="9" spans="1:12" ht="15.75" x14ac:dyDescent="0.2">
      <c r="A9" s="493">
        <f>פרמטרים!B74</f>
        <v>2.99</v>
      </c>
      <c r="B9" s="497">
        <f>פרמטרים!C74</f>
        <v>0</v>
      </c>
      <c r="C9" s="493">
        <f>פרמטרים!D74</f>
        <v>1.99</v>
      </c>
      <c r="D9" s="496">
        <f>פרמטרים!E74</f>
        <v>0</v>
      </c>
      <c r="K9" s="34"/>
      <c r="L9" s="34"/>
    </row>
    <row r="10" spans="1:12" x14ac:dyDescent="0.2">
      <c r="B10" s="41"/>
      <c r="C10" s="41"/>
      <c r="D10" s="32"/>
      <c r="K10" s="34"/>
      <c r="L10" s="34"/>
    </row>
    <row r="11" spans="1:12" ht="19.5" thickBot="1" x14ac:dyDescent="0.35">
      <c r="A11" s="805" t="str">
        <f ca="1">"שיעור יחסי במשתנה "&amp;MID(CELL("filename",G88),FIND("]",CELL("filename",G88),1)+1,99)</f>
        <v>שיעור יחסי במשתנה רמה אומנותית</v>
      </c>
      <c r="B11" s="806"/>
      <c r="C11" s="806"/>
      <c r="D11" s="806"/>
      <c r="E11" s="806"/>
      <c r="F11" s="806"/>
      <c r="G11" s="806"/>
    </row>
    <row r="12" spans="1:12" ht="54.75" customHeight="1" thickBot="1" x14ac:dyDescent="0.25">
      <c r="A12" s="464" t="s">
        <v>206</v>
      </c>
      <c r="B12" s="36" t="s">
        <v>225</v>
      </c>
      <c r="C12" s="36" t="s">
        <v>46</v>
      </c>
      <c r="D12" s="36" t="s">
        <v>237</v>
      </c>
      <c r="E12" s="36" t="s">
        <v>226</v>
      </c>
      <c r="F12" s="36" t="s">
        <v>238</v>
      </c>
      <c r="G12" s="31" t="s">
        <v>228</v>
      </c>
    </row>
    <row r="13" spans="1:12" ht="15.75" x14ac:dyDescent="0.25">
      <c r="A13" s="583">
        <f>'הכנסות עצמיות'!A9</f>
        <v>1</v>
      </c>
      <c r="B13" s="584" t="str">
        <f>'הכנסות עצמיות'!B9</f>
        <v>סילביה דוראן</v>
      </c>
      <c r="C13" s="584" t="str">
        <f>IF(סיווג!Y21="אינו עומד בתנאי סף","",סיווג!Y21)</f>
        <v>יוצר ותיק</v>
      </c>
      <c r="D13" s="584">
        <f>IF(B13="","",סיווג!M21)</f>
        <v>3.3</v>
      </c>
      <c r="E13" s="584">
        <f>סיווג!AB21</f>
        <v>0.33</v>
      </c>
      <c r="F13" s="253">
        <f>IF(D13="","",IF(C13=פרמטרים!$B$8,IF(D13&lt;$C$9,0,INDEX($D$5:$D$10,MATCH(D13,$C$5:$C$10,-1))),IF(D13&lt;$A$9,0,INDEX($B$5:$B$10,MATCH(D13,$A$5:$A$10,-1))))*E13)</f>
        <v>0.66</v>
      </c>
      <c r="G13" s="492">
        <f t="shared" ref="G13:G44" si="1">IF(ISERR(F13/$F$125),"",F13/$F$125)</f>
        <v>2.3855996530036871E-3</v>
      </c>
      <c r="K13" s="28"/>
      <c r="L13" s="28"/>
    </row>
    <row r="14" spans="1:12" ht="15.75" x14ac:dyDescent="0.25">
      <c r="A14" s="583">
        <f>'הכנסות עצמיות'!A10</f>
        <v>2</v>
      </c>
      <c r="B14" s="584" t="str">
        <f>'הכנסות עצמיות'!B10</f>
        <v>רנה שינפלד</v>
      </c>
      <c r="C14" s="404" t="str">
        <f>IF(סיווג!Y22="אינו עומד בתנאי סף","",סיווג!Y22)</f>
        <v>יוצר מנוסה</v>
      </c>
      <c r="D14" s="404">
        <f>IF(B14="","",סיווג!M22)</f>
        <v>4.3</v>
      </c>
      <c r="E14" s="404">
        <f>סיווג!AB22</f>
        <v>1</v>
      </c>
      <c r="F14" s="253">
        <f>IF(D14="","",IF(C14=פרמטרים!$B$8,IF(D14&lt;$C$9,0,INDEX($D$5:$D$10,MATCH(D14,$C$5:$C$10,-1))),IF(D14&lt;$A$9,0,INDEX($B$5:$B$10,MATCH(D14,$A$5:$A$10,-1))))*E14)</f>
        <v>5</v>
      </c>
      <c r="G14" s="492">
        <f t="shared" si="1"/>
        <v>1.8072724643967326E-2</v>
      </c>
      <c r="K14" s="28"/>
      <c r="L14" s="28"/>
    </row>
    <row r="15" spans="1:12" ht="15.75" x14ac:dyDescent="0.25">
      <c r="A15" s="583">
        <f>'הכנסות עצמיות'!A11</f>
        <v>3</v>
      </c>
      <c r="B15" s="584" t="str">
        <f>'הכנסות עצמיות'!B11</f>
        <v>אבי קייזר וסרג'יו אנטוניניו</v>
      </c>
      <c r="C15" s="404" t="str">
        <f>IF(סיווג!Y23="אינו עומד בתנאי סף","",סיווג!Y23)</f>
        <v>יוצר מנוסה</v>
      </c>
      <c r="D15" s="404">
        <f>IF(B15="","",סיווג!M23)</f>
        <v>3.07</v>
      </c>
      <c r="E15" s="404">
        <f>סיווג!AB23</f>
        <v>1</v>
      </c>
      <c r="F15" s="253">
        <f>IF(D15="","",IF(C15=פרמטרים!$B$8,IF(D15&lt;$C$9,0,INDEX($D$5:$D$10,MATCH(D15,$C$5:$C$10,-1))),IF(D15&lt;$A$9,0,INDEX($B$5:$B$10,MATCH(D15,$A$5:$A$10,-1))))*E15)</f>
        <v>2</v>
      </c>
      <c r="G15" s="492">
        <f t="shared" si="1"/>
        <v>7.2290898575869305E-3</v>
      </c>
      <c r="I15" s="491" t="str">
        <f>IF(ISERR(H15/G115),"",H15/G115)</f>
        <v/>
      </c>
      <c r="K15" s="28"/>
      <c r="L15" s="28"/>
    </row>
    <row r="16" spans="1:12" ht="15.75" x14ac:dyDescent="0.25">
      <c r="A16" s="583">
        <f>'הכנסות עצמיות'!A12</f>
        <v>4</v>
      </c>
      <c r="B16" s="584" t="str">
        <f>'הכנסות עצמיות'!B12</f>
        <v/>
      </c>
      <c r="C16" s="404" t="str">
        <f>IF(סיווג!Y24="אינו עומד בתנאי סף","",סיווג!Y24)</f>
        <v/>
      </c>
      <c r="D16" s="404" t="str">
        <f>IF(B16="","",סיווג!M24)</f>
        <v/>
      </c>
      <c r="E16" s="404" t="str">
        <f>סיווג!AB24</f>
        <v/>
      </c>
      <c r="F16" s="253" t="str">
        <f>IF(D16="","",IF(C16=פרמטרים!$B$8,IF(D16&lt;$C$9,0,INDEX($D$5:$D$10,MATCH(D16,$C$5:$C$10,-1))),IF(D16&lt;$A$9,0,INDEX($B$5:$B$10,MATCH(D16,$A$5:$A$10,-1))))*E16)</f>
        <v/>
      </c>
      <c r="G16" s="492" t="str">
        <f t="shared" si="1"/>
        <v/>
      </c>
      <c r="K16" s="28"/>
      <c r="L16" s="28"/>
    </row>
    <row r="17" spans="1:12" ht="15.75" x14ac:dyDescent="0.25">
      <c r="A17" s="583">
        <f>'הכנסות עצמיות'!A13</f>
        <v>5</v>
      </c>
      <c r="B17" s="584" t="str">
        <f>'הכנסות עצמיות'!B13</f>
        <v>אדוה ירמיהו</v>
      </c>
      <c r="C17" s="404" t="str">
        <f>IF(סיווג!Y25="אינו עומד בתנאי סף","",סיווג!Y25)</f>
        <v>יוצר מנוסה</v>
      </c>
      <c r="D17" s="404">
        <f>IF(B17="","",סיווג!M25)</f>
        <v>3.6</v>
      </c>
      <c r="E17" s="404">
        <f>סיווג!AB25</f>
        <v>1</v>
      </c>
      <c r="F17" s="253">
        <f>IF(D17="","",IF(C17=פרמטרים!$B$8,IF(D17&lt;$C$9,0,INDEX($D$5:$D$10,MATCH(D17,$C$5:$C$10,-1))),IF(D17&lt;$A$9,0,INDEX($B$5:$B$10,MATCH(D17,$A$5:$A$10,-1))))*E17)</f>
        <v>3</v>
      </c>
      <c r="G17" s="492">
        <f t="shared" si="1"/>
        <v>1.0843634786380396E-2</v>
      </c>
      <c r="K17" s="28"/>
      <c r="L17" s="28"/>
    </row>
    <row r="18" spans="1:12" ht="15.75" x14ac:dyDescent="0.25">
      <c r="A18" s="583">
        <f>'הכנסות עצמיות'!A14</f>
        <v>6</v>
      </c>
      <c r="B18" s="584" t="str">
        <f>'הכנסות עצמיות'!B14</f>
        <v>אהרונה ישראל</v>
      </c>
      <c r="C18" s="404" t="str">
        <f>IF(סיווג!Y26="אינו עומד בתנאי סף","",סיווג!Y26)</f>
        <v>יוצר מנוסה</v>
      </c>
      <c r="D18" s="404">
        <f>IF(B18="","",סיווג!M26)</f>
        <v>3</v>
      </c>
      <c r="E18" s="404">
        <f>סיווג!AB26</f>
        <v>1</v>
      </c>
      <c r="F18" s="253">
        <f>IF(D18="","",IF(C18=פרמטרים!$B$8,IF(D18&lt;$C$9,0,INDEX($D$5:$D$10,MATCH(D18,$C$5:$C$10,-1))),IF(D18&lt;$A$9,0,INDEX($B$5:$B$10,MATCH(D18,$A$5:$A$10,-1))))*E18)</f>
        <v>2</v>
      </c>
      <c r="G18" s="492">
        <f t="shared" si="1"/>
        <v>7.2290898575869305E-3</v>
      </c>
      <c r="K18" s="28"/>
      <c r="L18" s="28"/>
    </row>
    <row r="19" spans="1:12" ht="15.75" x14ac:dyDescent="0.25">
      <c r="A19" s="583">
        <f>'הכנסות עצמיות'!A15</f>
        <v>7</v>
      </c>
      <c r="B19" s="584" t="str">
        <f>'הכנסות עצמיות'!B15</f>
        <v>אופיר יודילביץ</v>
      </c>
      <c r="C19" s="404" t="str">
        <f>IF(סיווג!Y27="אינו עומד בתנאי סף","",סיווג!Y27)</f>
        <v>יוצר מנוסה</v>
      </c>
      <c r="D19" s="404">
        <f>IF(B19="","",סיווג!M27)</f>
        <v>3.7</v>
      </c>
      <c r="E19" s="404">
        <f>סיווג!AB27</f>
        <v>1</v>
      </c>
      <c r="F19" s="253">
        <f>IF(D19="","",IF(C19=פרמטרים!$B$8,IF(D19&lt;$C$9,0,INDEX($D$5:$D$10,MATCH(D19,$C$5:$C$10,-1))),IF(D19&lt;$A$9,0,INDEX($B$5:$B$10,MATCH(D19,$A$5:$A$10,-1))))*E19)</f>
        <v>3</v>
      </c>
      <c r="G19" s="492">
        <f t="shared" si="1"/>
        <v>1.0843634786380396E-2</v>
      </c>
      <c r="K19" s="28"/>
      <c r="L19" s="28"/>
    </row>
    <row r="20" spans="1:12" ht="15.75" x14ac:dyDescent="0.25">
      <c r="A20" s="583">
        <f>'הכנסות עצמיות'!A16</f>
        <v>8</v>
      </c>
      <c r="B20" s="584" t="str">
        <f>'הכנסות עצמיות'!B16</f>
        <v>אור מרין ואורן נחום</v>
      </c>
      <c r="C20" s="404" t="str">
        <f>IF(סיווג!Y28="אינו עומד בתנאי סף","",סיווג!Y28)</f>
        <v>יוצר מנוסה</v>
      </c>
      <c r="D20" s="404">
        <f>IF(B20="","",סיווג!M28)</f>
        <v>3.5</v>
      </c>
      <c r="E20" s="404">
        <f>סיווג!AB28</f>
        <v>1</v>
      </c>
      <c r="F20" s="253">
        <f>IF(D20="","",IF(C20=פרמטרים!$B$8,IF(D20&lt;$C$9,0,INDEX($D$5:$D$10,MATCH(D20,$C$5:$C$10,-1))),IF(D20&lt;$A$9,0,INDEX($B$5:$B$10,MATCH(D20,$A$5:$A$10,-1))))*E20)</f>
        <v>2</v>
      </c>
      <c r="G20" s="492">
        <f t="shared" si="1"/>
        <v>7.2290898575869305E-3</v>
      </c>
      <c r="K20" s="28"/>
      <c r="L20" s="28"/>
    </row>
    <row r="21" spans="1:12" ht="15.75" x14ac:dyDescent="0.25">
      <c r="A21" s="583">
        <f>'הכנסות עצמיות'!A17</f>
        <v>9</v>
      </c>
      <c r="B21" s="584" t="str">
        <f>'הכנסות עצמיות'!B17</f>
        <v>אורי שפיר</v>
      </c>
      <c r="C21" s="404" t="str">
        <f>IF(סיווג!Y29="אינו עומד בתנאי סף","",סיווג!Y29)</f>
        <v>יוצר מנוסה</v>
      </c>
      <c r="D21" s="404">
        <f>IF(B21="","",סיווג!M29)</f>
        <v>4</v>
      </c>
      <c r="E21" s="404">
        <f>סיווג!AB29</f>
        <v>1</v>
      </c>
      <c r="F21" s="253">
        <f>IF(D21="","",IF(C21=פרמטרים!$B$8,IF(D21&lt;$C$9,0,INDEX($D$5:$D$10,MATCH(D21,$C$5:$C$10,-1))),IF(D21&lt;$A$9,0,INDEX($B$5:$B$10,MATCH(D21,$A$5:$A$10,-1))))*E21)</f>
        <v>3</v>
      </c>
      <c r="G21" s="492">
        <f t="shared" si="1"/>
        <v>1.0843634786380396E-2</v>
      </c>
      <c r="K21" s="28"/>
      <c r="L21" s="28"/>
    </row>
    <row r="22" spans="1:12" ht="15.75" x14ac:dyDescent="0.25">
      <c r="A22" s="583">
        <f>'הכנסות עצמיות'!A18</f>
        <v>10</v>
      </c>
      <c r="B22" s="584" t="str">
        <f>'הכנסות עצמיות'!B18</f>
        <v>אורלי פורטל</v>
      </c>
      <c r="C22" s="404" t="str">
        <f>IF(סיווג!Y30="אינו עומד בתנאי סף","",סיווג!Y30)</f>
        <v>יוצר מנוסה</v>
      </c>
      <c r="D22" s="404">
        <f>IF(B22="","",סיווג!M30)</f>
        <v>4.7</v>
      </c>
      <c r="E22" s="404">
        <f>סיווג!AB30</f>
        <v>1</v>
      </c>
      <c r="F22" s="253">
        <f>IF(D22="","",IF(C22=פרמטרים!$B$8,IF(D22&lt;$C$9,0,INDEX($D$5:$D$10,MATCH(D22,$C$5:$C$10,-1))),IF(D22&lt;$A$9,0,INDEX($B$5:$B$10,MATCH(D22,$A$5:$A$10,-1))))*E22)</f>
        <v>5</v>
      </c>
      <c r="G22" s="492">
        <f t="shared" si="1"/>
        <v>1.8072724643967326E-2</v>
      </c>
      <c r="K22" s="28"/>
      <c r="L22" s="28"/>
    </row>
    <row r="23" spans="1:12" ht="15.75" x14ac:dyDescent="0.25">
      <c r="A23" s="583">
        <f>'הכנסות עצמיות'!A19</f>
        <v>11</v>
      </c>
      <c r="B23" s="584" t="str">
        <f>'הכנסות עצמיות'!B19</f>
        <v/>
      </c>
      <c r="C23" s="404" t="str">
        <f>IF(סיווג!Y31="אינו עומד בתנאי סף","",סיווג!Y31)</f>
        <v/>
      </c>
      <c r="D23" s="404" t="str">
        <f>IF(B23="","",סיווג!M31)</f>
        <v/>
      </c>
      <c r="E23" s="404" t="str">
        <f>סיווג!AB31</f>
        <v/>
      </c>
      <c r="F23" s="253" t="str">
        <f>IF(D23="","",IF(C23=פרמטרים!$B$8,IF(D23&lt;$C$9,0,INDEX($D$5:$D$10,MATCH(D23,$C$5:$C$10,-1))),IF(D23&lt;$A$9,0,INDEX($B$5:$B$10,MATCH(D23,$A$5:$A$10,-1))))*E23)</f>
        <v/>
      </c>
      <c r="G23" s="492" t="str">
        <f t="shared" si="1"/>
        <v/>
      </c>
      <c r="K23" s="28"/>
      <c r="L23" s="28"/>
    </row>
    <row r="24" spans="1:12" ht="15.75" x14ac:dyDescent="0.25">
      <c r="A24" s="583">
        <f>'הכנסות עצמיות'!A20</f>
        <v>12</v>
      </c>
      <c r="B24" s="584" t="str">
        <f>'הכנסות עצמיות'!B20</f>
        <v>אורין יוחנן</v>
      </c>
      <c r="C24" s="404" t="str">
        <f>IF(סיווג!Y32="אינו עומד בתנאי סף","",סיווג!Y32)</f>
        <v>יוצר מנוסה</v>
      </c>
      <c r="D24" s="404">
        <f>IF(B24="","",סיווג!M32)</f>
        <v>4.4000000000000004</v>
      </c>
      <c r="E24" s="404">
        <f>סיווג!AB32</f>
        <v>1</v>
      </c>
      <c r="F24" s="253">
        <f>IF(D24="","",IF(C24=פרמטרים!$B$8,IF(D24&lt;$C$9,0,INDEX($D$5:$D$10,MATCH(D24,$C$5:$C$10,-1))),IF(D24&lt;$A$9,0,INDEX($B$5:$B$10,MATCH(D24,$A$5:$A$10,-1))))*E24)</f>
        <v>5</v>
      </c>
      <c r="G24" s="492">
        <f t="shared" si="1"/>
        <v>1.8072724643967326E-2</v>
      </c>
      <c r="K24" s="28"/>
      <c r="L24" s="28"/>
    </row>
    <row r="25" spans="1:12" ht="15.75" x14ac:dyDescent="0.25">
      <c r="A25" s="583">
        <f>'הכנסות עצמיות'!A21</f>
        <v>13</v>
      </c>
      <c r="B25" s="584" t="str">
        <f>'הכנסות עצמיות'!B21</f>
        <v>איריס ארז</v>
      </c>
      <c r="C25" s="404" t="str">
        <f>IF(סיווג!Y33="אינו עומד בתנאי סף","",סיווג!Y33)</f>
        <v>יוצר מנוסה</v>
      </c>
      <c r="D25" s="404">
        <f>IF(B25="","",סיווג!M33)</f>
        <v>5</v>
      </c>
      <c r="E25" s="404">
        <f>סיווג!AB33</f>
        <v>1</v>
      </c>
      <c r="F25" s="253">
        <f>IF(D25="","",IF(C25=פרמטרים!$B$8,IF(D25&lt;$C$9,0,INDEX($D$5:$D$10,MATCH(D25,$C$5:$C$10,-1))),IF(D25&lt;$A$9,0,INDEX($B$5:$B$10,MATCH(D25,$A$5:$A$10,-1))))*E25)</f>
        <v>8</v>
      </c>
      <c r="G25" s="492">
        <f t="shared" si="1"/>
        <v>2.8916359430347722E-2</v>
      </c>
      <c r="K25" s="28"/>
      <c r="L25" s="28"/>
    </row>
    <row r="26" spans="1:12" ht="15.75" x14ac:dyDescent="0.25">
      <c r="A26" s="583">
        <f>'הכנסות עצמיות'!A22</f>
        <v>14</v>
      </c>
      <c r="B26" s="584" t="str">
        <f>'הכנסות עצמיות'!B22</f>
        <v/>
      </c>
      <c r="C26" s="404" t="str">
        <f>IF(סיווג!Y34="אינו עומד בתנאי סף","",סיווג!Y34)</f>
        <v/>
      </c>
      <c r="D26" s="404" t="str">
        <f>IF(B26="","",סיווג!M34)</f>
        <v/>
      </c>
      <c r="E26" s="404" t="str">
        <f>סיווג!AB34</f>
        <v/>
      </c>
      <c r="F26" s="253" t="str">
        <f>IF(D26="","",IF(C26=פרמטרים!$B$8,IF(D26&lt;$C$9,0,INDEX($D$5:$D$10,MATCH(D26,$C$5:$C$10,-1))),IF(D26&lt;$A$9,0,INDEX($B$5:$B$10,MATCH(D26,$A$5:$A$10,-1))))*E26)</f>
        <v/>
      </c>
      <c r="G26" s="492" t="str">
        <f t="shared" si="1"/>
        <v/>
      </c>
      <c r="K26" s="28"/>
      <c r="L26" s="28"/>
    </row>
    <row r="27" spans="1:12" ht="15.75" x14ac:dyDescent="0.25">
      <c r="A27" s="583">
        <f>'הכנסות עצמיות'!A23</f>
        <v>15</v>
      </c>
      <c r="B27" s="584" t="str">
        <f>'הכנסות עצמיות'!B23</f>
        <v>ענבל אושמן</v>
      </c>
      <c r="C27" s="404" t="str">
        <f>IF(סיווג!Y35="אינו עומד בתנאי סף","",סיווג!Y35)</f>
        <v>יוצר מנוסה</v>
      </c>
      <c r="D27" s="404">
        <f>IF(B27="","",סיווג!M35)</f>
        <v>3.1</v>
      </c>
      <c r="E27" s="404">
        <f>סיווג!AB35</f>
        <v>1</v>
      </c>
      <c r="F27" s="253">
        <f>IF(D27="","",IF(C27=פרמטרים!$B$8,IF(D27&lt;$C$9,0,INDEX($D$5:$D$10,MATCH(D27,$C$5:$C$10,-1))),IF(D27&lt;$A$9,0,INDEX($B$5:$B$10,MATCH(D27,$A$5:$A$10,-1))))*E27)</f>
        <v>2</v>
      </c>
      <c r="G27" s="492">
        <f t="shared" si="1"/>
        <v>7.2290898575869305E-3</v>
      </c>
      <c r="K27" s="28"/>
      <c r="L27" s="28"/>
    </row>
    <row r="28" spans="1:12" ht="15.75" x14ac:dyDescent="0.25">
      <c r="A28" s="583">
        <f>'הכנסות עצמיות'!A24</f>
        <v>16</v>
      </c>
      <c r="B28" s="584" t="str">
        <f>'הכנסות עצמיות'!B24</f>
        <v>אנדריאה מרטיני</v>
      </c>
      <c r="C28" s="404" t="str">
        <f>IF(סיווג!Y36="אינו עומד בתנאי סף","",סיווג!Y36)</f>
        <v>יוצר מנוסה</v>
      </c>
      <c r="D28" s="404">
        <f>IF(B28="","",סיווג!M36)</f>
        <v>3.8</v>
      </c>
      <c r="E28" s="404">
        <f>סיווג!AB36</f>
        <v>1</v>
      </c>
      <c r="F28" s="253">
        <f>IF(D28="","",IF(C28=פרמטרים!$B$8,IF(D28&lt;$C$9,0,INDEX($D$5:$D$10,MATCH(D28,$C$5:$C$10,-1))),IF(D28&lt;$A$9,0,INDEX($B$5:$B$10,MATCH(D28,$A$5:$A$10,-1))))*E28)</f>
        <v>3</v>
      </c>
      <c r="G28" s="492">
        <f t="shared" si="1"/>
        <v>1.0843634786380396E-2</v>
      </c>
      <c r="K28" s="28"/>
      <c r="L28" s="28"/>
    </row>
    <row r="29" spans="1:12" ht="15.75" x14ac:dyDescent="0.25">
      <c r="A29" s="583">
        <f>'הכנסות עצמיות'!A25</f>
        <v>17</v>
      </c>
      <c r="B29" s="584" t="str">
        <f>'הכנסות עצמיות'!B25</f>
        <v>אפרת רובין</v>
      </c>
      <c r="C29" s="404" t="str">
        <f>IF(סיווג!Y37="אינו עומד בתנאי סף","",סיווג!Y37)</f>
        <v>יוצר מנוסה</v>
      </c>
      <c r="D29" s="404">
        <f>IF(B29="","",סיווג!M37)</f>
        <v>3</v>
      </c>
      <c r="E29" s="404">
        <f>סיווג!AB37</f>
        <v>1</v>
      </c>
      <c r="F29" s="253">
        <f>IF(D29="","",IF(C29=פרמטרים!$B$8,IF(D29&lt;$C$9,0,INDEX($D$5:$D$10,MATCH(D29,$C$5:$C$10,-1))),IF(D29&lt;$A$9,0,INDEX($B$5:$B$10,MATCH(D29,$A$5:$A$10,-1))))*E29)</f>
        <v>2</v>
      </c>
      <c r="G29" s="492">
        <f t="shared" si="1"/>
        <v>7.2290898575869305E-3</v>
      </c>
      <c r="K29" s="28"/>
      <c r="L29" s="28"/>
    </row>
    <row r="30" spans="1:12" ht="15.75" x14ac:dyDescent="0.25">
      <c r="A30" s="583">
        <f>'הכנסות עצמיות'!A26</f>
        <v>18</v>
      </c>
      <c r="B30" s="584" t="str">
        <f>'הכנסות עצמיות'!B26</f>
        <v>שרון צוקרמן</v>
      </c>
      <c r="C30" s="404" t="str">
        <f>IF(סיווג!Y38="אינו עומד בתנאי סף","",סיווג!Y38)</f>
        <v>יוצר מנוסה</v>
      </c>
      <c r="D30" s="404">
        <f>IF(B30="","",סיווג!M38)</f>
        <v>3.47</v>
      </c>
      <c r="E30" s="404">
        <f>סיווג!AB38</f>
        <v>1</v>
      </c>
      <c r="F30" s="253">
        <f>IF(D30="","",IF(C30=פרמטרים!$B$8,IF(D30&lt;$C$9,0,INDEX($D$5:$D$10,MATCH(D30,$C$5:$C$10,-1))),IF(D30&lt;$A$9,0,INDEX($B$5:$B$10,MATCH(D30,$A$5:$A$10,-1))))*E30)</f>
        <v>2</v>
      </c>
      <c r="G30" s="492">
        <f t="shared" si="1"/>
        <v>7.2290898575869305E-3</v>
      </c>
      <c r="K30" s="28"/>
      <c r="L30" s="28"/>
    </row>
    <row r="31" spans="1:12" ht="15.75" x14ac:dyDescent="0.25">
      <c r="A31" s="583">
        <f>'הכנסות עצמיות'!A27</f>
        <v>19</v>
      </c>
      <c r="B31" s="584" t="str">
        <f>'הכנסות עצמיות'!B27</f>
        <v>בשמת נוסן</v>
      </c>
      <c r="C31" s="404" t="str">
        <f>IF(סיווג!Y39="אינו עומד בתנאי סף","",סיווג!Y39)</f>
        <v>יוצר מנוסה</v>
      </c>
      <c r="D31" s="404">
        <f>IF(B31="","",סיווג!M39)</f>
        <v>4.3</v>
      </c>
      <c r="E31" s="404">
        <f>סיווג!AB39</f>
        <v>1</v>
      </c>
      <c r="F31" s="253">
        <f>IF(D31="","",IF(C31=פרמטרים!$B$8,IF(D31&lt;$C$9,0,INDEX($D$5:$D$10,MATCH(D31,$C$5:$C$10,-1))),IF(D31&lt;$A$9,0,INDEX($B$5:$B$10,MATCH(D31,$A$5:$A$10,-1))))*E31)</f>
        <v>5</v>
      </c>
      <c r="G31" s="492">
        <f t="shared" si="1"/>
        <v>1.8072724643967326E-2</v>
      </c>
      <c r="K31" s="28"/>
      <c r="L31" s="28"/>
    </row>
    <row r="32" spans="1:12" ht="15.75" x14ac:dyDescent="0.25">
      <c r="A32" s="583">
        <f>'הכנסות עצמיות'!A28</f>
        <v>20</v>
      </c>
      <c r="B32" s="584" t="str">
        <f>'הכנסות עצמיות'!B28</f>
        <v>גיל קרר</v>
      </c>
      <c r="C32" s="404" t="str">
        <f>IF(סיווג!Y40="אינו עומד בתנאי סף","",סיווג!Y40)</f>
        <v>יוצר מנוסה</v>
      </c>
      <c r="D32" s="404">
        <f>IF(B32="","",סיווג!M40)</f>
        <v>4.2</v>
      </c>
      <c r="E32" s="404">
        <f>סיווג!AB40</f>
        <v>1</v>
      </c>
      <c r="F32" s="253">
        <f>IF(D32="","",IF(C32=פרמטרים!$B$8,IF(D32&lt;$C$9,0,INDEX($D$5:$D$10,MATCH(D32,$C$5:$C$10,-1))),IF(D32&lt;$A$9,0,INDEX($B$5:$B$10,MATCH(D32,$A$5:$A$10,-1))))*E32)</f>
        <v>5</v>
      </c>
      <c r="G32" s="492">
        <f t="shared" si="1"/>
        <v>1.8072724643967326E-2</v>
      </c>
      <c r="K32" s="28"/>
      <c r="L32" s="28"/>
    </row>
    <row r="33" spans="1:12" ht="15.75" x14ac:dyDescent="0.25">
      <c r="A33" s="583">
        <f>'הכנסות עצמיות'!A29</f>
        <v>21</v>
      </c>
      <c r="B33" s="584" t="str">
        <f>'הכנסות עצמיות'!B29</f>
        <v>דינה תלם</v>
      </c>
      <c r="C33" s="404" t="str">
        <f>IF(סיווג!Y41="אינו עומד בתנאי סף","",סיווג!Y41)</f>
        <v>יוצר מנוסה</v>
      </c>
      <c r="D33" s="404">
        <f>IF(B33="","",סיווג!M41)</f>
        <v>3.13</v>
      </c>
      <c r="E33" s="404">
        <f>סיווג!AB41</f>
        <v>1</v>
      </c>
      <c r="F33" s="253">
        <f>IF(D33="","",IF(C33=פרמטרים!$B$8,IF(D33&lt;$C$9,0,INDEX($D$5:$D$10,MATCH(D33,$C$5:$C$10,-1))),IF(D33&lt;$A$9,0,INDEX($B$5:$B$10,MATCH(D33,$A$5:$A$10,-1))))*E33)</f>
        <v>2</v>
      </c>
      <c r="G33" s="492">
        <f t="shared" si="1"/>
        <v>7.2290898575869305E-3</v>
      </c>
      <c r="K33" s="28"/>
      <c r="L33" s="28"/>
    </row>
    <row r="34" spans="1:12" ht="15.75" x14ac:dyDescent="0.25">
      <c r="A34" s="583">
        <f>'הכנסות עצמיות'!A30</f>
        <v>22</v>
      </c>
      <c r="B34" s="584" t="str">
        <f>'הכנסות עצמיות'!B30</f>
        <v>דנה יהלומי</v>
      </c>
      <c r="C34" s="404" t="str">
        <f>IF(סיווג!Y42="אינו עומד בתנאי סף","",סיווג!Y42)</f>
        <v>יוצר מנוסה</v>
      </c>
      <c r="D34" s="404">
        <f>IF(B34="","",סיווג!M42)</f>
        <v>3.5</v>
      </c>
      <c r="E34" s="404">
        <f>סיווג!AB42</f>
        <v>1</v>
      </c>
      <c r="F34" s="253">
        <f>IF(D34="","",IF(C34=פרמטרים!$B$8,IF(D34&lt;$C$9,0,INDEX($D$5:$D$10,MATCH(D34,$C$5:$C$10,-1))),IF(D34&lt;$A$9,0,INDEX($B$5:$B$10,MATCH(D34,$A$5:$A$10,-1))))*E34)</f>
        <v>2</v>
      </c>
      <c r="G34" s="492">
        <f t="shared" si="1"/>
        <v>7.2290898575869305E-3</v>
      </c>
      <c r="K34" s="28"/>
      <c r="L34" s="28"/>
    </row>
    <row r="35" spans="1:12" ht="15.75" x14ac:dyDescent="0.25">
      <c r="A35" s="583">
        <f>'הכנסות עצמיות'!A31</f>
        <v>23</v>
      </c>
      <c r="B35" s="584" t="str">
        <f>'הכנסות עצמיות'!B31</f>
        <v>דנה רוטנברג</v>
      </c>
      <c r="C35" s="404" t="str">
        <f>IF(סיווג!Y43="אינו עומד בתנאי סף","",סיווג!Y43)</f>
        <v>יוצר מנוסה</v>
      </c>
      <c r="D35" s="404">
        <f>IF(B35="","",סיווג!M43)</f>
        <v>3.1</v>
      </c>
      <c r="E35" s="404">
        <f>סיווג!AB43</f>
        <v>1</v>
      </c>
      <c r="F35" s="253">
        <f>IF(D35="","",IF(C35=פרמטרים!$B$8,IF(D35&lt;$C$9,0,INDEX($D$5:$D$10,MATCH(D35,$C$5:$C$10,-1))),IF(D35&lt;$A$9,0,INDEX($B$5:$B$10,MATCH(D35,$A$5:$A$10,-1))))*E35)</f>
        <v>2</v>
      </c>
      <c r="G35" s="492">
        <f t="shared" si="1"/>
        <v>7.2290898575869305E-3</v>
      </c>
      <c r="K35" s="28"/>
      <c r="L35" s="28"/>
    </row>
    <row r="36" spans="1:12" ht="15.75" x14ac:dyDescent="0.25">
      <c r="A36" s="583">
        <f>'הכנסות עצמיות'!A32</f>
        <v>24</v>
      </c>
      <c r="B36" s="584" t="str">
        <f>'הכנסות עצמיות'!B32</f>
        <v>דפי אלטבב</v>
      </c>
      <c r="C36" s="404" t="str">
        <f>IF(סיווג!Y44="אינו עומד בתנאי סף","",סיווג!Y44)</f>
        <v>יוצר מנוסה</v>
      </c>
      <c r="D36" s="404">
        <f>IF(B36="","",סיווג!M44)</f>
        <v>4</v>
      </c>
      <c r="E36" s="404">
        <f>סיווג!AB44</f>
        <v>1</v>
      </c>
      <c r="F36" s="253">
        <f>IF(D36="","",IF(C36=פרמטרים!$B$8,IF(D36&lt;$C$9,0,INDEX($D$5:$D$10,MATCH(D36,$C$5:$C$10,-1))),IF(D36&lt;$A$9,0,INDEX($B$5:$B$10,MATCH(D36,$A$5:$A$10,-1))))*E36)</f>
        <v>3</v>
      </c>
      <c r="G36" s="492">
        <f t="shared" si="1"/>
        <v>1.0843634786380396E-2</v>
      </c>
      <c r="K36" s="28"/>
      <c r="L36" s="28"/>
    </row>
    <row r="37" spans="1:12" ht="15.75" x14ac:dyDescent="0.25">
      <c r="A37" s="583">
        <f>'הכנסות עצמיות'!A33</f>
        <v>25</v>
      </c>
      <c r="B37" s="584" t="str">
        <f>'הכנסות עצמיות'!B33</f>
        <v>הלל קוגן</v>
      </c>
      <c r="C37" s="404" t="str">
        <f>IF(סיווג!Y45="אינו עומד בתנאי סף","",סיווג!Y45)</f>
        <v>יוצר מנוסה</v>
      </c>
      <c r="D37" s="404">
        <f>IF(B37="","",סיווג!M45)</f>
        <v>4.7699999999999996</v>
      </c>
      <c r="E37" s="404">
        <f>סיווג!AB45</f>
        <v>1</v>
      </c>
      <c r="F37" s="253">
        <f>IF(D37="","",IF(C37=פרמטרים!$B$8,IF(D37&lt;$C$9,0,INDEX($D$5:$D$10,MATCH(D37,$C$5:$C$10,-1))),IF(D37&lt;$A$9,0,INDEX($B$5:$B$10,MATCH(D37,$A$5:$A$10,-1))))*E37)</f>
        <v>5</v>
      </c>
      <c r="G37" s="492">
        <f t="shared" si="1"/>
        <v>1.8072724643967326E-2</v>
      </c>
      <c r="K37" s="28"/>
      <c r="L37" s="28"/>
    </row>
    <row r="38" spans="1:12" ht="15.75" x14ac:dyDescent="0.25">
      <c r="A38" s="583">
        <f>'הכנסות עצמיות'!A34</f>
        <v>26</v>
      </c>
      <c r="B38" s="584" t="str">
        <f>'הכנסות עצמיות'!B34</f>
        <v>אנאבל דביר</v>
      </c>
      <c r="C38" s="404" t="str">
        <f>IF(סיווג!Y46="אינו עומד בתנאי סף","",סיווג!Y46)</f>
        <v>יוצר מנוסה</v>
      </c>
      <c r="D38" s="404">
        <f>IF(B38="","",סיווג!M46)</f>
        <v>3.43</v>
      </c>
      <c r="E38" s="404">
        <f>סיווג!AB46</f>
        <v>1</v>
      </c>
      <c r="F38" s="253">
        <f>IF(D38="","",IF(C38=פרמטרים!$B$8,IF(D38&lt;$C$9,0,INDEX($D$5:$D$10,MATCH(D38,$C$5:$C$10,-1))),IF(D38&lt;$A$9,0,INDEX($B$5:$B$10,MATCH(D38,$A$5:$A$10,-1))))*E38)</f>
        <v>2</v>
      </c>
      <c r="G38" s="492">
        <f t="shared" si="1"/>
        <v>7.2290898575869305E-3</v>
      </c>
      <c r="K38" s="28"/>
      <c r="L38" s="28"/>
    </row>
    <row r="39" spans="1:12" ht="15.75" x14ac:dyDescent="0.25">
      <c r="A39" s="583">
        <f>'הכנסות עצמיות'!A35</f>
        <v>27</v>
      </c>
      <c r="B39" s="584" t="str">
        <f>'הכנסות עצמיות'!B35</f>
        <v>יוסי ברג ועודד גרף</v>
      </c>
      <c r="C39" s="404" t="str">
        <f>IF(סיווג!Y47="אינו עומד בתנאי סף","",סיווג!Y47)</f>
        <v>יוצר מנוסה</v>
      </c>
      <c r="D39" s="404">
        <f>IF(B39="","",סיווג!M47)</f>
        <v>4.5</v>
      </c>
      <c r="E39" s="404">
        <f>סיווג!AB47</f>
        <v>1</v>
      </c>
      <c r="F39" s="253">
        <f>IF(D39="","",IF(C39=פרמטרים!$B$8,IF(D39&lt;$C$9,0,INDEX($D$5:$D$10,MATCH(D39,$C$5:$C$10,-1))),IF(D39&lt;$A$9,0,INDEX($B$5:$B$10,MATCH(D39,$A$5:$A$10,-1))))*E39)</f>
        <v>5</v>
      </c>
      <c r="G39" s="492">
        <f t="shared" si="1"/>
        <v>1.8072724643967326E-2</v>
      </c>
      <c r="K39" s="28"/>
      <c r="L39" s="28"/>
    </row>
    <row r="40" spans="1:12" ht="15.75" x14ac:dyDescent="0.25">
      <c r="A40" s="583">
        <f>'הכנסות עצמיות'!A36</f>
        <v>28</v>
      </c>
      <c r="B40" s="584" t="str">
        <f>'הכנסות עצמיות'!B36</f>
        <v>נדין בומר</v>
      </c>
      <c r="C40" s="404" t="str">
        <f>IF(סיווג!Y48="אינו עומד בתנאי סף","",סיווג!Y48)</f>
        <v>יוצר מנוסה</v>
      </c>
      <c r="D40" s="404">
        <f>IF(B40="","",סיווג!M48)</f>
        <v>3.17</v>
      </c>
      <c r="E40" s="404">
        <f>סיווג!AB48</f>
        <v>1</v>
      </c>
      <c r="F40" s="253">
        <f>IF(D40="","",IF(C40=פרמטרים!$B$8,IF(D40&lt;$C$9,0,INDEX($D$5:$D$10,MATCH(D40,$C$5:$C$10,-1))),IF(D40&lt;$A$9,0,INDEX($B$5:$B$10,MATCH(D40,$A$5:$A$10,-1))))*E40)</f>
        <v>2</v>
      </c>
      <c r="G40" s="492">
        <f t="shared" si="1"/>
        <v>7.2290898575869305E-3</v>
      </c>
      <c r="K40" s="28"/>
      <c r="L40" s="28"/>
    </row>
    <row r="41" spans="1:12" ht="15.75" x14ac:dyDescent="0.25">
      <c r="A41" s="583">
        <f>'הכנסות עצמיות'!A37</f>
        <v>29</v>
      </c>
      <c r="B41" s="584" t="str">
        <f>'הכנסות עצמיות'!B37</f>
        <v xml:space="preserve">להקת בלט פאנוב </v>
      </c>
      <c r="C41" s="404" t="str">
        <f>IF(סיווג!Y49="אינו עומד בתנאי סף","",סיווג!Y49)</f>
        <v>יוצר מנוסה</v>
      </c>
      <c r="D41" s="404">
        <f>IF(B41="","",סיווג!M49)</f>
        <v>4.05</v>
      </c>
      <c r="E41" s="404">
        <f>סיווג!AB49</f>
        <v>1</v>
      </c>
      <c r="F41" s="253">
        <f>IF(D41="","",IF(C41=פרמטרים!$B$8,IF(D41&lt;$C$9,0,INDEX($D$5:$D$10,MATCH(D41,$C$5:$C$10,-1))),IF(D41&lt;$A$9,0,INDEX($B$5:$B$10,MATCH(D41,$A$5:$A$10,-1))))*E41)</f>
        <v>5</v>
      </c>
      <c r="G41" s="492">
        <f t="shared" si="1"/>
        <v>1.8072724643967326E-2</v>
      </c>
      <c r="K41" s="28"/>
      <c r="L41" s="28"/>
    </row>
    <row r="42" spans="1:12" ht="15.75" x14ac:dyDescent="0.25">
      <c r="A42" s="583">
        <f>'הכנסות עצמיות'!A38</f>
        <v>30</v>
      </c>
      <c r="B42" s="584" t="str">
        <f>'הכנסות עצמיות'!B38</f>
        <v/>
      </c>
      <c r="C42" s="404" t="str">
        <f>IF(סיווג!Y50="אינו עומד בתנאי סף","",סיווג!Y50)</f>
        <v/>
      </c>
      <c r="D42" s="404" t="str">
        <f>IF(B42="","",סיווג!M50)</f>
        <v/>
      </c>
      <c r="E42" s="404" t="str">
        <f>סיווג!AB50</f>
        <v/>
      </c>
      <c r="F42" s="253" t="str">
        <f>IF(D42="","",IF(C42=פרמטרים!$B$8,IF(D42&lt;$C$9,0,INDEX($D$5:$D$10,MATCH(D42,$C$5:$C$10,-1))),IF(D42&lt;$A$9,0,INDEX($B$5:$B$10,MATCH(D42,$A$5:$A$10,-1))))*E42)</f>
        <v/>
      </c>
      <c r="G42" s="492" t="str">
        <f t="shared" si="1"/>
        <v/>
      </c>
      <c r="K42" s="28"/>
      <c r="L42" s="28"/>
    </row>
    <row r="43" spans="1:12" ht="15.75" x14ac:dyDescent="0.25">
      <c r="A43" s="583">
        <f>'הכנסות עצמיות'!A39</f>
        <v>31</v>
      </c>
      <c r="B43" s="584" t="str">
        <f>'הכנסות עצמיות'!B39</f>
        <v/>
      </c>
      <c r="C43" s="404" t="str">
        <f>IF(סיווג!Y51="אינו עומד בתנאי סף","",סיווג!Y51)</f>
        <v/>
      </c>
      <c r="D43" s="404" t="str">
        <f>IF(B43="","",סיווג!M51)</f>
        <v/>
      </c>
      <c r="E43" s="404" t="str">
        <f>סיווג!AB51</f>
        <v/>
      </c>
      <c r="F43" s="253" t="str">
        <f>IF(D43="","",IF(C43=פרמטרים!$B$8,IF(D43&lt;$C$9,0,INDEX($D$5:$D$10,MATCH(D43,$C$5:$C$10,-1))),IF(D43&lt;$A$9,0,INDEX($B$5:$B$10,MATCH(D43,$A$5:$A$10,-1))))*E43)</f>
        <v/>
      </c>
      <c r="G43" s="492" t="str">
        <f t="shared" si="1"/>
        <v/>
      </c>
      <c r="K43" s="28"/>
      <c r="L43" s="28"/>
    </row>
    <row r="44" spans="1:12" ht="15.75" x14ac:dyDescent="0.25">
      <c r="A44" s="583">
        <f>'הכנסות עצמיות'!A40</f>
        <v>32</v>
      </c>
      <c r="B44" s="584" t="str">
        <f>'הכנסות עצמיות'!B40</f>
        <v>מיכל סממה</v>
      </c>
      <c r="C44" s="404" t="str">
        <f>IF(סיווג!Y52="אינו עומד בתנאי סף","",סיווג!Y52)</f>
        <v>יוצר מנוסה</v>
      </c>
      <c r="D44" s="404">
        <f>IF(B44="","",סיווג!M52)</f>
        <v>3.2</v>
      </c>
      <c r="E44" s="404">
        <f>סיווג!AB52</f>
        <v>1</v>
      </c>
      <c r="F44" s="253">
        <f>IF(D44="","",IF(C44=פרמטרים!$B$8,IF(D44&lt;$C$9,0,INDEX($D$5:$D$10,MATCH(D44,$C$5:$C$10,-1))),IF(D44&lt;$A$9,0,INDEX($B$5:$B$10,MATCH(D44,$A$5:$A$10,-1))))*E44)</f>
        <v>2</v>
      </c>
      <c r="G44" s="492">
        <f t="shared" si="1"/>
        <v>7.2290898575869305E-3</v>
      </c>
      <c r="K44" s="28"/>
      <c r="L44" s="28"/>
    </row>
    <row r="45" spans="1:12" ht="15.75" x14ac:dyDescent="0.25">
      <c r="A45" s="583">
        <f>'הכנסות עצמיות'!A41</f>
        <v>33</v>
      </c>
      <c r="B45" s="584" t="str">
        <f>'הכנסות עצמיות'!B41</f>
        <v>מאיה ברינר</v>
      </c>
      <c r="C45" s="404" t="str">
        <f>IF(סיווג!Y53="אינו עומד בתנאי סף","",סיווג!Y53)</f>
        <v>יוצר מנוסה</v>
      </c>
      <c r="D45" s="404">
        <f>IF(B45="","",סיווג!M53)</f>
        <v>4.43</v>
      </c>
      <c r="E45" s="404">
        <f>סיווג!AB53</f>
        <v>1</v>
      </c>
      <c r="F45" s="253">
        <f>IF(D45="","",IF(C45=פרמטרים!$B$8,IF(D45&lt;$C$9,0,INDEX($D$5:$D$10,MATCH(D45,$C$5:$C$10,-1))),IF(D45&lt;$A$9,0,INDEX($B$5:$B$10,MATCH(D45,$A$5:$A$10,-1))))*E45)</f>
        <v>5</v>
      </c>
      <c r="G45" s="492">
        <f t="shared" ref="G45:G76" si="2">IF(ISERR(F45/$F$125),"",F45/$F$125)</f>
        <v>1.8072724643967326E-2</v>
      </c>
      <c r="K45" s="28"/>
      <c r="L45" s="28"/>
    </row>
    <row r="46" spans="1:12" ht="15.75" x14ac:dyDescent="0.25">
      <c r="A46" s="583">
        <f>'הכנסות עצמיות'!A42</f>
        <v>34</v>
      </c>
      <c r="B46" s="584" t="str">
        <f>'הכנסות עצמיות'!B42</f>
        <v>מאיה מכלל גלפנד</v>
      </c>
      <c r="C46" s="404" t="str">
        <f>IF(סיווג!Y54="אינו עומד בתנאי סף","",סיווג!Y54)</f>
        <v>יוצר מנוסה</v>
      </c>
      <c r="D46" s="404">
        <f>IF(B46="","",סיווג!M54)</f>
        <v>3.67</v>
      </c>
      <c r="E46" s="404">
        <f>סיווג!AB54</f>
        <v>1</v>
      </c>
      <c r="F46" s="253">
        <f>IF(D46="","",IF(C46=פרמטרים!$B$8,IF(D46&lt;$C$9,0,INDEX($D$5:$D$10,MATCH(D46,$C$5:$C$10,-1))),IF(D46&lt;$A$9,0,INDEX($B$5:$B$10,MATCH(D46,$A$5:$A$10,-1))))*E46)</f>
        <v>3</v>
      </c>
      <c r="G46" s="492">
        <f t="shared" si="2"/>
        <v>1.0843634786380396E-2</v>
      </c>
      <c r="K46" s="28"/>
      <c r="L46" s="28"/>
    </row>
    <row r="47" spans="1:12" ht="15.75" x14ac:dyDescent="0.25">
      <c r="A47" s="583">
        <f>'הכנסות עצמיות'!A43</f>
        <v>35</v>
      </c>
      <c r="B47" s="584" t="str">
        <f>'הכנסות עצמיות'!B43</f>
        <v>מיה שטרן ותומר שרעבי</v>
      </c>
      <c r="C47" s="404" t="str">
        <f>IF(סיווג!Y55="אינו עומד בתנאי סף","",סיווג!Y55)</f>
        <v>יוצר מנוסה</v>
      </c>
      <c r="D47" s="404">
        <f>IF(B47="","",סיווג!M55)</f>
        <v>3.25</v>
      </c>
      <c r="E47" s="404">
        <f>סיווג!AB55</f>
        <v>1</v>
      </c>
      <c r="F47" s="253">
        <f>IF(D47="","",IF(C47=פרמטרים!$B$8,IF(D47&lt;$C$9,0,INDEX($D$5:$D$10,MATCH(D47,$C$5:$C$10,-1))),IF(D47&lt;$A$9,0,INDEX($B$5:$B$10,MATCH(D47,$A$5:$A$10,-1))))*E47)</f>
        <v>2</v>
      </c>
      <c r="G47" s="492">
        <f t="shared" si="2"/>
        <v>7.2290898575869305E-3</v>
      </c>
      <c r="K47" s="28"/>
      <c r="L47" s="28"/>
    </row>
    <row r="48" spans="1:12" ht="15.75" x14ac:dyDescent="0.25">
      <c r="A48" s="583">
        <f>'הכנסות עצמיות'!A44</f>
        <v>36</v>
      </c>
      <c r="B48" s="584" t="str">
        <f>'הכנסות עצמיות'!B44</f>
        <v>מיכאל גטמן</v>
      </c>
      <c r="C48" s="404" t="str">
        <f>IF(סיווג!Y56="אינו עומד בתנאי סף","",סיווג!Y56)</f>
        <v>יוצר מנוסה</v>
      </c>
      <c r="D48" s="404">
        <f>IF(B48="","",סיווג!M56)</f>
        <v>4.4800000000000004</v>
      </c>
      <c r="E48" s="404">
        <f>סיווג!AB56</f>
        <v>1</v>
      </c>
      <c r="F48" s="253">
        <f>IF(D48="","",IF(C48=פרמטרים!$B$8,IF(D48&lt;$C$9,0,INDEX($D$5:$D$10,MATCH(D48,$C$5:$C$10,-1))),IF(D48&lt;$A$9,0,INDEX($B$5:$B$10,MATCH(D48,$A$5:$A$10,-1))))*E48)</f>
        <v>5</v>
      </c>
      <c r="G48" s="492">
        <f t="shared" si="2"/>
        <v>1.8072724643967326E-2</v>
      </c>
      <c r="K48" s="28"/>
      <c r="L48" s="28"/>
    </row>
    <row r="49" spans="1:12" ht="15.75" x14ac:dyDescent="0.25">
      <c r="A49" s="583">
        <f>'הכנסות עצמיות'!A45</f>
        <v>37</v>
      </c>
      <c r="B49" s="584" t="str">
        <f>'הכנסות עצמיות'!B45</f>
        <v>מיכל הרמן</v>
      </c>
      <c r="C49" s="404" t="str">
        <f>IF(סיווג!Y57="אינו עומד בתנאי סף","",סיווג!Y57)</f>
        <v>יוצר מנוסה</v>
      </c>
      <c r="D49" s="404">
        <f>IF(B49="","",סיווג!M57)</f>
        <v>3.58</v>
      </c>
      <c r="E49" s="404">
        <f>סיווג!AB57</f>
        <v>1</v>
      </c>
      <c r="F49" s="253">
        <f>IF(D49="","",IF(C49=פרמטרים!$B$8,IF(D49&lt;$C$9,0,INDEX($D$5:$D$10,MATCH(D49,$C$5:$C$10,-1))),IF(D49&lt;$A$9,0,INDEX($B$5:$B$10,MATCH(D49,$A$5:$A$10,-1))))*E49)</f>
        <v>3</v>
      </c>
      <c r="G49" s="492">
        <f t="shared" si="2"/>
        <v>1.0843634786380396E-2</v>
      </c>
      <c r="K49" s="28"/>
      <c r="L49" s="28"/>
    </row>
    <row r="50" spans="1:12" ht="15.75" x14ac:dyDescent="0.25">
      <c r="A50" s="583">
        <f>'הכנסות עצמיות'!A46</f>
        <v>38</v>
      </c>
      <c r="B50" s="584" t="str">
        <f>'הכנסות עצמיות'!B46</f>
        <v>מירב דגן</v>
      </c>
      <c r="C50" s="404" t="str">
        <f>IF(סיווג!Y58="אינו עומד בתנאי סף","",סיווג!Y58)</f>
        <v>יוצר מנוסה</v>
      </c>
      <c r="D50" s="404">
        <f>IF(B50="","",סיווג!M58)</f>
        <v>4.6500000000000004</v>
      </c>
      <c r="E50" s="404">
        <f>סיווג!AB58</f>
        <v>1</v>
      </c>
      <c r="F50" s="253">
        <f>IF(D50="","",IF(C50=פרמטרים!$B$8,IF(D50&lt;$C$9,0,INDEX($D$5:$D$10,MATCH(D50,$C$5:$C$10,-1))),IF(D50&lt;$A$9,0,INDEX($B$5:$B$10,MATCH(D50,$A$5:$A$10,-1))))*E50)</f>
        <v>5</v>
      </c>
      <c r="G50" s="492">
        <f t="shared" si="2"/>
        <v>1.8072724643967326E-2</v>
      </c>
      <c r="K50" s="28"/>
      <c r="L50" s="28"/>
    </row>
    <row r="51" spans="1:12" ht="15.75" x14ac:dyDescent="0.25">
      <c r="A51" s="583">
        <f>'הכנסות עצמיות'!A47</f>
        <v>39</v>
      </c>
      <c r="B51" s="584" t="str">
        <f>'הכנסות עצמיות'!B47</f>
        <v>תמר לם ודיוויד קרן</v>
      </c>
      <c r="C51" s="404" t="str">
        <f>IF(סיווג!Y59="אינו עומד בתנאי סף","",סיווג!Y59)</f>
        <v>יוצר מנוסה</v>
      </c>
      <c r="D51" s="404">
        <f>IF(B51="","",סיווג!M59)</f>
        <v>4.4000000000000004</v>
      </c>
      <c r="E51" s="404">
        <f>סיווג!AB59</f>
        <v>1</v>
      </c>
      <c r="F51" s="253">
        <f>IF(D51="","",IF(C51=פרמטרים!$B$8,IF(D51&lt;$C$9,0,INDEX($D$5:$D$10,MATCH(D51,$C$5:$C$10,-1))),IF(D51&lt;$A$9,0,INDEX($B$5:$B$10,MATCH(D51,$A$5:$A$10,-1))))*E51)</f>
        <v>5</v>
      </c>
      <c r="G51" s="492">
        <f t="shared" si="2"/>
        <v>1.8072724643967326E-2</v>
      </c>
      <c r="K51" s="28"/>
      <c r="L51" s="28"/>
    </row>
    <row r="52" spans="1:12" ht="15.75" x14ac:dyDescent="0.25">
      <c r="A52" s="583">
        <f>'הכנסות עצמיות'!A48</f>
        <v>40</v>
      </c>
      <c r="B52" s="584" t="str">
        <f>'הכנסות עצמיות'!B48</f>
        <v>סיגל ברגמן</v>
      </c>
      <c r="C52" s="404" t="str">
        <f>IF(סיווג!Y60="אינו עומד בתנאי סף","",סיווג!Y60)</f>
        <v>יוצר מנוסה</v>
      </c>
      <c r="D52" s="404">
        <f>IF(B52="","",סיווג!M60)</f>
        <v>3.73</v>
      </c>
      <c r="E52" s="404">
        <f>סיווג!AB60</f>
        <v>1</v>
      </c>
      <c r="F52" s="253">
        <f>IF(D52="","",IF(C52=פרמטרים!$B$8,IF(D52&lt;$C$9,0,INDEX($D$5:$D$10,MATCH(D52,$C$5:$C$10,-1))),IF(D52&lt;$A$9,0,INDEX($B$5:$B$10,MATCH(D52,$A$5:$A$10,-1))))*E52)</f>
        <v>3</v>
      </c>
      <c r="G52" s="492">
        <f t="shared" si="2"/>
        <v>1.0843634786380396E-2</v>
      </c>
      <c r="K52" s="28"/>
      <c r="L52" s="28"/>
    </row>
    <row r="53" spans="1:12" ht="15.75" x14ac:dyDescent="0.25">
      <c r="A53" s="583">
        <f>'הכנסות עצמיות'!A49</f>
        <v>41</v>
      </c>
      <c r="B53" s="584" t="str">
        <f>'הכנסות עצמיות'!B49</f>
        <v>מעין ליבמן שרון</v>
      </c>
      <c r="C53" s="404" t="str">
        <f>IF(סיווג!Y61="אינו עומד בתנאי סף","",סיווג!Y61)</f>
        <v>יוצר מנוסה</v>
      </c>
      <c r="D53" s="404">
        <f>IF(B53="","",סיווג!M61)</f>
        <v>3.5</v>
      </c>
      <c r="E53" s="404">
        <f>סיווג!AB61</f>
        <v>1</v>
      </c>
      <c r="F53" s="253">
        <f>IF(D53="","",IF(C53=פרמטרים!$B$8,IF(D53&lt;$C$9,0,INDEX($D$5:$D$10,MATCH(D53,$C$5:$C$10,-1))),IF(D53&lt;$A$9,0,INDEX($B$5:$B$10,MATCH(D53,$A$5:$A$10,-1))))*E53)</f>
        <v>2</v>
      </c>
      <c r="G53" s="492">
        <f t="shared" si="2"/>
        <v>7.2290898575869305E-3</v>
      </c>
      <c r="K53" s="28"/>
      <c r="L53" s="28"/>
    </row>
    <row r="54" spans="1:12" ht="15.75" x14ac:dyDescent="0.25">
      <c r="A54" s="583">
        <f>'הכנסות עצמיות'!A50</f>
        <v>42</v>
      </c>
      <c r="B54" s="584" t="str">
        <f>'הכנסות עצמיות'!B50</f>
        <v>אודליה קופרברג</v>
      </c>
      <c r="C54" s="404" t="str">
        <f>IF(סיווג!Y62="אינו עומד בתנאי סף","",סיווג!Y62)</f>
        <v>יוצר מנוסה</v>
      </c>
      <c r="D54" s="404">
        <f>IF(B54="","",סיווג!M62)</f>
        <v>3.6</v>
      </c>
      <c r="E54" s="404">
        <f>סיווג!AB62</f>
        <v>1</v>
      </c>
      <c r="F54" s="253">
        <f>IF(D54="","",IF(C54=פרמטרים!$B$8,IF(D54&lt;$C$9,0,INDEX($D$5:$D$10,MATCH(D54,$C$5:$C$10,-1))),IF(D54&lt;$A$9,0,INDEX($B$5:$B$10,MATCH(D54,$A$5:$A$10,-1))))*E54)</f>
        <v>3</v>
      </c>
      <c r="G54" s="492">
        <f t="shared" si="2"/>
        <v>1.0843634786380396E-2</v>
      </c>
      <c r="K54" s="28"/>
      <c r="L54" s="28"/>
    </row>
    <row r="55" spans="1:12" ht="15.75" x14ac:dyDescent="0.25">
      <c r="A55" s="583">
        <f>'הכנסות עצמיות'!A51</f>
        <v>43</v>
      </c>
      <c r="B55" s="584" t="str">
        <f>'הכנסות עצמיות'!B51</f>
        <v>נועה צוק</v>
      </c>
      <c r="C55" s="404" t="str">
        <f>IF(סיווג!Y63="אינו עומד בתנאי סף","",סיווג!Y63)</f>
        <v>יוצר מנוסה</v>
      </c>
      <c r="D55" s="404">
        <f>IF(B55="","",סיווג!M63)</f>
        <v>4.87</v>
      </c>
      <c r="E55" s="404">
        <f>סיווג!AB63</f>
        <v>1</v>
      </c>
      <c r="F55" s="253">
        <f>IF(D55="","",IF(C55=פרמטרים!$B$8,IF(D55&lt;$C$9,0,INDEX($D$5:$D$10,MATCH(D55,$C$5:$C$10,-1))),IF(D55&lt;$A$9,0,INDEX($B$5:$B$10,MATCH(D55,$A$5:$A$10,-1))))*E55)</f>
        <v>5</v>
      </c>
      <c r="G55" s="492">
        <f t="shared" si="2"/>
        <v>1.8072724643967326E-2</v>
      </c>
      <c r="K55" s="28"/>
      <c r="L55" s="28"/>
    </row>
    <row r="56" spans="1:12" ht="15.75" x14ac:dyDescent="0.25">
      <c r="A56" s="583">
        <f>'הכנסות עצמיות'!A52</f>
        <v>44</v>
      </c>
      <c r="B56" s="584" t="str">
        <f>'הכנסות עצמיות'!B52</f>
        <v>נטע פולברמכר</v>
      </c>
      <c r="C56" s="404" t="str">
        <f>IF(סיווג!Y64="אינו עומד בתנאי סף","",סיווג!Y64)</f>
        <v>יוצר מנוסה</v>
      </c>
      <c r="D56" s="404">
        <f>IF(B56="","",סיווג!M64)</f>
        <v>3.7</v>
      </c>
      <c r="E56" s="404">
        <f>סיווג!AB64</f>
        <v>1</v>
      </c>
      <c r="F56" s="253">
        <f>IF(D56="","",IF(C56=פרמטרים!$B$8,IF(D56&lt;$C$9,0,INDEX($D$5:$D$10,MATCH(D56,$C$5:$C$10,-1))),IF(D56&lt;$A$9,0,INDEX($B$5:$B$10,MATCH(D56,$A$5:$A$10,-1))))*E56)</f>
        <v>3</v>
      </c>
      <c r="G56" s="492">
        <f t="shared" si="2"/>
        <v>1.0843634786380396E-2</v>
      </c>
      <c r="K56" s="28"/>
      <c r="L56" s="28"/>
    </row>
    <row r="57" spans="1:12" ht="15.75" x14ac:dyDescent="0.25">
      <c r="A57" s="583">
        <f>'הכנסות עצמיות'!A53</f>
        <v>45</v>
      </c>
      <c r="B57" s="584" t="str">
        <f>'הכנסות עצמיות'!B53</f>
        <v>ניב שינפלד ואורן לאור</v>
      </c>
      <c r="C57" s="404" t="str">
        <f>IF(סיווג!Y65="אינו עומד בתנאי סף","",סיווג!Y65)</f>
        <v>יוצר מנוסה</v>
      </c>
      <c r="D57" s="404">
        <f>IF(B57="","",סיווג!M65)</f>
        <v>4.9000000000000004</v>
      </c>
      <c r="E57" s="404">
        <f>סיווג!AB65</f>
        <v>1</v>
      </c>
      <c r="F57" s="253">
        <f>IF(D57="","",IF(C57=פרמטרים!$B$8,IF(D57&lt;$C$9,0,INDEX($D$5:$D$10,MATCH(D57,$C$5:$C$10,-1))),IF(D57&lt;$A$9,0,INDEX($B$5:$B$10,MATCH(D57,$A$5:$A$10,-1))))*E57)</f>
        <v>5</v>
      </c>
      <c r="G57" s="492">
        <f t="shared" si="2"/>
        <v>1.8072724643967326E-2</v>
      </c>
      <c r="K57" s="28"/>
      <c r="L57" s="28"/>
    </row>
    <row r="58" spans="1:12" ht="15.75" x14ac:dyDescent="0.25">
      <c r="A58" s="583">
        <f>'הכנסות עצמיות'!A54</f>
        <v>46</v>
      </c>
      <c r="B58" s="584" t="str">
        <f>'הכנסות עצמיות'!B54</f>
        <v>נימה יעקובי</v>
      </c>
      <c r="C58" s="404" t="str">
        <f>IF(סיווג!Y66="אינו עומד בתנאי סף","",סיווג!Y66)</f>
        <v>יוצר מנוסה</v>
      </c>
      <c r="D58" s="404">
        <f>IF(B58="","",סיווג!M66)</f>
        <v>3.43</v>
      </c>
      <c r="E58" s="404">
        <f>סיווג!AB66</f>
        <v>1</v>
      </c>
      <c r="F58" s="253">
        <f>IF(D58="","",IF(C58=פרמטרים!$B$8,IF(D58&lt;$C$9,0,INDEX($D$5:$D$10,MATCH(D58,$C$5:$C$10,-1))),IF(D58&lt;$A$9,0,INDEX($B$5:$B$10,MATCH(D58,$A$5:$A$10,-1))))*E58)</f>
        <v>2</v>
      </c>
      <c r="G58" s="492">
        <f t="shared" si="2"/>
        <v>7.2290898575869305E-3</v>
      </c>
      <c r="K58" s="28"/>
      <c r="L58" s="28"/>
    </row>
    <row r="59" spans="1:12" ht="15.75" x14ac:dyDescent="0.25">
      <c r="A59" s="583">
        <f>'הכנסות עצמיות'!A55</f>
        <v>47</v>
      </c>
      <c r="B59" s="584" t="str">
        <f>'הכנסות עצמיות'!B55</f>
        <v>נמרוד פריד</v>
      </c>
      <c r="C59" s="404" t="str">
        <f>IF(סיווג!Y67="אינו עומד בתנאי סף","",סיווג!Y67)</f>
        <v>יוצר מנוסה</v>
      </c>
      <c r="D59" s="404">
        <f>IF(B59="","",סיווג!M67)</f>
        <v>3.25</v>
      </c>
      <c r="E59" s="404">
        <f>סיווג!AB67</f>
        <v>1</v>
      </c>
      <c r="F59" s="253">
        <f>IF(D59="","",IF(C59=פרמטרים!$B$8,IF(D59&lt;$C$9,0,INDEX($D$5:$D$10,MATCH(D59,$C$5:$C$10,-1))),IF(D59&lt;$A$9,0,INDEX($B$5:$B$10,MATCH(D59,$A$5:$A$10,-1))))*E59)</f>
        <v>2</v>
      </c>
      <c r="G59" s="492">
        <f t="shared" si="2"/>
        <v>7.2290898575869305E-3</v>
      </c>
      <c r="K59" s="28"/>
      <c r="L59" s="28"/>
    </row>
    <row r="60" spans="1:12" ht="15.75" x14ac:dyDescent="0.25">
      <c r="A60" s="583">
        <f>'הכנסות עצמיות'!A56</f>
        <v>48</v>
      </c>
      <c r="B60" s="584" t="str">
        <f>'הכנסות עצמיות'!B56</f>
        <v>נעה דר</v>
      </c>
      <c r="C60" s="404" t="str">
        <f>IF(סיווג!Y68="אינו עומד בתנאי סף","",סיווג!Y68)</f>
        <v>יוצר מנוסה</v>
      </c>
      <c r="D60" s="404">
        <f>IF(B60="","",סיווג!M68)</f>
        <v>3.2</v>
      </c>
      <c r="E60" s="404">
        <f>סיווג!AB68</f>
        <v>1</v>
      </c>
      <c r="F60" s="253">
        <f>IF(D60="","",IF(C60=פרמטרים!$B$8,IF(D60&lt;$C$9,0,INDEX($D$5:$D$10,MATCH(D60,$C$5:$C$10,-1))),IF(D60&lt;$A$9,0,INDEX($B$5:$B$10,MATCH(D60,$A$5:$A$10,-1))))*E60)</f>
        <v>2</v>
      </c>
      <c r="G60" s="492">
        <f t="shared" si="2"/>
        <v>7.2290898575869305E-3</v>
      </c>
      <c r="K60" s="28"/>
      <c r="L60" s="28"/>
    </row>
    <row r="61" spans="1:12" ht="15.75" x14ac:dyDescent="0.25">
      <c r="A61" s="583">
        <f>'הכנסות עצמיות'!A57</f>
        <v>49</v>
      </c>
      <c r="B61" s="584" t="str">
        <f>'הכנסות עצמיות'!B57</f>
        <v>נעה שדור</v>
      </c>
      <c r="C61" s="404" t="str">
        <f>IF(סיווג!Y69="אינו עומד בתנאי סף","",סיווג!Y69)</f>
        <v>יוצר מנוסה</v>
      </c>
      <c r="D61" s="404">
        <f>IF(B61="","",סיווג!M69)</f>
        <v>3.5</v>
      </c>
      <c r="E61" s="404">
        <f>סיווג!AB69</f>
        <v>1</v>
      </c>
      <c r="F61" s="253">
        <f>IF(D61="","",IF(C61=פרמטרים!$B$8,IF(D61&lt;$C$9,0,INDEX($D$5:$D$10,MATCH(D61,$C$5:$C$10,-1))),IF(D61&lt;$A$9,0,INDEX($B$5:$B$10,MATCH(D61,$A$5:$A$10,-1))))*E61)</f>
        <v>2</v>
      </c>
      <c r="G61" s="492">
        <f t="shared" si="2"/>
        <v>7.2290898575869305E-3</v>
      </c>
      <c r="K61" s="28"/>
      <c r="L61" s="28"/>
    </row>
    <row r="62" spans="1:12" ht="15.75" x14ac:dyDescent="0.25">
      <c r="A62" s="583">
        <f>'הכנסות עצמיות'!A58</f>
        <v>50</v>
      </c>
      <c r="B62" s="584" t="str">
        <f>'הכנסות עצמיות'!B58</f>
        <v>סאלי אן פרילנד</v>
      </c>
      <c r="C62" s="404" t="str">
        <f>IF(סיווג!Y70="אינו עומד בתנאי סף","",סיווג!Y70)</f>
        <v>יוצר מנוסה</v>
      </c>
      <c r="D62" s="404">
        <f>IF(B62="","",סיווג!M70)</f>
        <v>3.27</v>
      </c>
      <c r="E62" s="404">
        <f>סיווג!AB70</f>
        <v>1</v>
      </c>
      <c r="F62" s="253">
        <f>IF(D62="","",IF(C62=פרמטרים!$B$8,IF(D62&lt;$C$9,0,INDEX($D$5:$D$10,MATCH(D62,$C$5:$C$10,-1))),IF(D62&lt;$A$9,0,INDEX($B$5:$B$10,MATCH(D62,$A$5:$A$10,-1))))*E62)</f>
        <v>2</v>
      </c>
      <c r="G62" s="492">
        <f t="shared" si="2"/>
        <v>7.2290898575869305E-3</v>
      </c>
      <c r="K62" s="28"/>
      <c r="L62" s="28"/>
    </row>
    <row r="63" spans="1:12" ht="15.75" x14ac:dyDescent="0.25">
      <c r="A63" s="583">
        <f>'הכנסות עצמיות'!A59</f>
        <v>51</v>
      </c>
      <c r="B63" s="584" t="str">
        <f>'הכנסות עצמיות'!B59</f>
        <v>סהר עזימי</v>
      </c>
      <c r="C63" s="404" t="str">
        <f>IF(סיווג!Y71="אינו עומד בתנאי סף","",סיווג!Y71)</f>
        <v>יוצר מנוסה</v>
      </c>
      <c r="D63" s="404">
        <f>IF(B63="","",סיווג!M71)</f>
        <v>3.6</v>
      </c>
      <c r="E63" s="404">
        <f>סיווג!AB71</f>
        <v>1</v>
      </c>
      <c r="F63" s="253">
        <f>IF(D63="","",IF(C63=פרמטרים!$B$8,IF(D63&lt;$C$9,0,INDEX($D$5:$D$10,MATCH(D63,$C$5:$C$10,-1))),IF(D63&lt;$A$9,0,INDEX($B$5:$B$10,MATCH(D63,$A$5:$A$10,-1))))*E63)</f>
        <v>3</v>
      </c>
      <c r="G63" s="492">
        <f t="shared" si="2"/>
        <v>1.0843634786380396E-2</v>
      </c>
      <c r="K63" s="28"/>
      <c r="L63" s="28"/>
    </row>
    <row r="64" spans="1:12" ht="15.75" x14ac:dyDescent="0.25">
      <c r="A64" s="583">
        <f>'הכנסות עצמיות'!A60</f>
        <v>52</v>
      </c>
      <c r="B64" s="584" t="str">
        <f>'הכנסות עצמיות'!B60</f>
        <v>עדו פדר</v>
      </c>
      <c r="C64" s="404" t="str">
        <f>IF(סיווג!Y72="אינו עומד בתנאי סף","",סיווג!Y72)</f>
        <v>יוצר מנוסה</v>
      </c>
      <c r="D64" s="404">
        <f>IF(B64="","",סיווג!M72)</f>
        <v>3.3</v>
      </c>
      <c r="E64" s="404">
        <f>סיווג!AB72</f>
        <v>1</v>
      </c>
      <c r="F64" s="253">
        <f>IF(D64="","",IF(C64=פרמטרים!$B$8,IF(D64&lt;$C$9,0,INDEX($D$5:$D$10,MATCH(D64,$C$5:$C$10,-1))),IF(D64&lt;$A$9,0,INDEX($B$5:$B$10,MATCH(D64,$A$5:$A$10,-1))))*E64)</f>
        <v>2</v>
      </c>
      <c r="G64" s="492">
        <f t="shared" si="2"/>
        <v>7.2290898575869305E-3</v>
      </c>
      <c r="K64" s="28"/>
      <c r="L64" s="28"/>
    </row>
    <row r="65" spans="1:12" ht="15.75" x14ac:dyDescent="0.25">
      <c r="A65" s="583">
        <f>'הכנסות עצמיות'!A61</f>
        <v>53</v>
      </c>
      <c r="B65" s="584" t="str">
        <f>'הכנסות עצמיות'!B61</f>
        <v>עודד רונן</v>
      </c>
      <c r="C65" s="404" t="str">
        <f>IF(סיווג!Y73="אינו עומד בתנאי סף","",סיווג!Y73)</f>
        <v>יוצר מנוסה</v>
      </c>
      <c r="D65" s="404">
        <f>IF(B65="","",סיווג!M73)</f>
        <v>3.65</v>
      </c>
      <c r="E65" s="404">
        <f>סיווג!AB73</f>
        <v>1</v>
      </c>
      <c r="F65" s="253">
        <f>IF(D65="","",IF(C65=פרמטרים!$B$8,IF(D65&lt;$C$9,0,INDEX($D$5:$D$10,MATCH(D65,$C$5:$C$10,-1))),IF(D65&lt;$A$9,0,INDEX($B$5:$B$10,MATCH(D65,$A$5:$A$10,-1))))*E65)</f>
        <v>3</v>
      </c>
      <c r="G65" s="492">
        <f t="shared" si="2"/>
        <v>1.0843634786380396E-2</v>
      </c>
      <c r="K65" s="28"/>
      <c r="L65" s="28"/>
    </row>
    <row r="66" spans="1:12" ht="15.75" x14ac:dyDescent="0.25">
      <c r="A66" s="583">
        <f>'הכנסות עצמיות'!A62</f>
        <v>54</v>
      </c>
      <c r="B66" s="584" t="str">
        <f>'הכנסות עצמיות'!B62</f>
        <v>עידן כהן</v>
      </c>
      <c r="C66" s="404" t="str">
        <f>IF(סיווג!Y74="אינו עומד בתנאי סף","",סיווג!Y74)</f>
        <v>יוצר מנוסה</v>
      </c>
      <c r="D66" s="404">
        <f>IF(B66="","",סיווג!M74)</f>
        <v>3.63</v>
      </c>
      <c r="E66" s="404">
        <f>סיווג!AB74</f>
        <v>1</v>
      </c>
      <c r="F66" s="253">
        <f>IF(D66="","",IF(C66=פרמטרים!$B$8,IF(D66&lt;$C$9,0,INDEX($D$5:$D$10,MATCH(D66,$C$5:$C$10,-1))),IF(D66&lt;$A$9,0,INDEX($B$5:$B$10,MATCH(D66,$A$5:$A$10,-1))))*E66)</f>
        <v>3</v>
      </c>
      <c r="G66" s="492">
        <f t="shared" si="2"/>
        <v>1.0843634786380396E-2</v>
      </c>
      <c r="K66" s="28"/>
      <c r="L66" s="28"/>
    </row>
    <row r="67" spans="1:12" ht="15.75" x14ac:dyDescent="0.25">
      <c r="A67" s="583">
        <f>'הכנסות עצמיות'!A63</f>
        <v>55</v>
      </c>
      <c r="B67" s="584" t="str">
        <f>'הכנסות עצמיות'!B63</f>
        <v>עידן שרעבי</v>
      </c>
      <c r="C67" s="404" t="str">
        <f>IF(סיווג!Y75="אינו עומד בתנאי סף","",סיווג!Y75)</f>
        <v>יוצר מנוסה</v>
      </c>
      <c r="D67" s="404">
        <f>IF(B67="","",סיווג!M75)</f>
        <v>3.43</v>
      </c>
      <c r="E67" s="404">
        <f>סיווג!AB75</f>
        <v>1</v>
      </c>
      <c r="F67" s="253">
        <f>IF(D67="","",IF(C67=פרמטרים!$B$8,IF(D67&lt;$C$9,0,INDEX($D$5:$D$10,MATCH(D67,$C$5:$C$10,-1))),IF(D67&lt;$A$9,0,INDEX($B$5:$B$10,MATCH(D67,$A$5:$A$10,-1))))*E67)</f>
        <v>2</v>
      </c>
      <c r="G67" s="492">
        <f t="shared" si="2"/>
        <v>7.2290898575869305E-3</v>
      </c>
      <c r="K67" s="28"/>
      <c r="L67" s="28"/>
    </row>
    <row r="68" spans="1:12" ht="15.75" x14ac:dyDescent="0.25">
      <c r="A68" s="583">
        <f>'הכנסות עצמיות'!A64</f>
        <v>56</v>
      </c>
      <c r="B68" s="584" t="str">
        <f>'הכנסות עצמיות'!B64</f>
        <v>ענת גריגוריו</v>
      </c>
      <c r="C68" s="404" t="str">
        <f>IF(סיווג!Y76="אינו עומד בתנאי סף","",סיווג!Y76)</f>
        <v>יוצר מנוסה</v>
      </c>
      <c r="D68" s="404">
        <f>IF(B68="","",סיווג!M76)</f>
        <v>4.5</v>
      </c>
      <c r="E68" s="404">
        <f>סיווג!AB76</f>
        <v>1</v>
      </c>
      <c r="F68" s="253">
        <f>IF(D68="","",IF(C68=פרמטרים!$B$8,IF(D68&lt;$C$9,0,INDEX($D$5:$D$10,MATCH(D68,$C$5:$C$10,-1))),IF(D68&lt;$A$9,0,INDEX($B$5:$B$10,MATCH(D68,$A$5:$A$10,-1))))*E68)</f>
        <v>5</v>
      </c>
      <c r="G68" s="492">
        <f t="shared" si="2"/>
        <v>1.8072724643967326E-2</v>
      </c>
      <c r="K68" s="28"/>
      <c r="L68" s="28"/>
    </row>
    <row r="69" spans="1:12" ht="15.75" x14ac:dyDescent="0.25">
      <c r="A69" s="583">
        <f>'הכנסות עצמיות'!A65</f>
        <v>57</v>
      </c>
      <c r="B69" s="584" t="str">
        <f>'הכנסות עצמיות'!B65</f>
        <v>ענת דניאלי</v>
      </c>
      <c r="C69" s="404" t="str">
        <f>IF(סיווג!Y77="אינו עומד בתנאי סף","",סיווג!Y77)</f>
        <v>יוצר מנוסה</v>
      </c>
      <c r="D69" s="404">
        <f>IF(B69="","",סיווג!M77)</f>
        <v>3.7</v>
      </c>
      <c r="E69" s="404">
        <f>סיווג!AB77</f>
        <v>1</v>
      </c>
      <c r="F69" s="253">
        <f>IF(D69="","",IF(C69=פרמטרים!$B$8,IF(D69&lt;$C$9,0,INDEX($D$5:$D$10,MATCH(D69,$C$5:$C$10,-1))),IF(D69&lt;$A$9,0,INDEX($B$5:$B$10,MATCH(D69,$A$5:$A$10,-1))))*E69)</f>
        <v>3</v>
      </c>
      <c r="G69" s="492">
        <f t="shared" si="2"/>
        <v>1.0843634786380396E-2</v>
      </c>
      <c r="K69" s="28"/>
      <c r="L69" s="28"/>
    </row>
    <row r="70" spans="1:12" ht="15.75" x14ac:dyDescent="0.25">
      <c r="A70" s="583">
        <f>'הכנסות עצמיות'!A66</f>
        <v>58</v>
      </c>
      <c r="B70" s="584" t="str">
        <f>'הכנסות עצמיות'!B66</f>
        <v>ענת כץ וארז מעיין</v>
      </c>
      <c r="C70" s="404" t="str">
        <f>IF(סיווג!Y78="אינו עומד בתנאי סף","",סיווג!Y78)</f>
        <v>יוצר מנוסה</v>
      </c>
      <c r="D70" s="404">
        <f>IF(B70="","",סיווג!M78)</f>
        <v>3.13</v>
      </c>
      <c r="E70" s="404">
        <f>סיווג!AB78</f>
        <v>1</v>
      </c>
      <c r="F70" s="253">
        <f>IF(D70="","",IF(C70=פרמטרים!$B$8,IF(D70&lt;$C$9,0,INDEX($D$5:$D$10,MATCH(D70,$C$5:$C$10,-1))),IF(D70&lt;$A$9,0,INDEX($B$5:$B$10,MATCH(D70,$A$5:$A$10,-1))))*E70)</f>
        <v>2</v>
      </c>
      <c r="G70" s="492">
        <f t="shared" si="2"/>
        <v>7.2290898575869305E-3</v>
      </c>
      <c r="K70" s="28"/>
      <c r="L70" s="28"/>
    </row>
    <row r="71" spans="1:12" ht="15.75" x14ac:dyDescent="0.25">
      <c r="A71" s="583">
        <f>'הכנסות עצמיות'!A67</f>
        <v>59</v>
      </c>
      <c r="B71" s="584" t="str">
        <f>'הכנסות עצמיות'!B67</f>
        <v>ענת שמגר</v>
      </c>
      <c r="C71" s="404" t="str">
        <f>IF(סיווג!Y79="אינו עומד בתנאי סף","",סיווג!Y79)</f>
        <v>יוצר מנוסה</v>
      </c>
      <c r="D71" s="404">
        <f>IF(B71="","",סיווג!M79)</f>
        <v>3.3</v>
      </c>
      <c r="E71" s="404">
        <f>סיווג!AB79</f>
        <v>1</v>
      </c>
      <c r="F71" s="253">
        <f>IF(D71="","",IF(C71=פרמטרים!$B$8,IF(D71&lt;$C$9,0,INDEX($D$5:$D$10,MATCH(D71,$C$5:$C$10,-1))),IF(D71&lt;$A$9,0,INDEX($B$5:$B$10,MATCH(D71,$A$5:$A$10,-1))))*E71)</f>
        <v>2</v>
      </c>
      <c r="G71" s="492">
        <f t="shared" si="2"/>
        <v>7.2290898575869305E-3</v>
      </c>
      <c r="K71" s="28"/>
      <c r="L71" s="28"/>
    </row>
    <row r="72" spans="1:12" ht="15.75" x14ac:dyDescent="0.25">
      <c r="A72" s="583">
        <f>'הכנסות עצמיות'!A68</f>
        <v>60</v>
      </c>
      <c r="B72" s="584" t="str">
        <f>'הכנסות עצמיות'!B68</f>
        <v>ק.ט.מ.ו.ן קבוצת מחול בירושלים</v>
      </c>
      <c r="C72" s="404" t="str">
        <f>IF(סיווג!Y80="אינו עומד בתנאי סף","",סיווג!Y80)</f>
        <v>יוצר מנוסה</v>
      </c>
      <c r="D72" s="404">
        <f>IF(B72="","",סיווג!M80)</f>
        <v>3.45</v>
      </c>
      <c r="E72" s="404">
        <f>סיווג!AB80</f>
        <v>1</v>
      </c>
      <c r="F72" s="253">
        <f>IF(D72="","",IF(C72=פרמטרים!$B$8,IF(D72&lt;$C$9,0,INDEX($D$5:$D$10,MATCH(D72,$C$5:$C$10,-1))),IF(D72&lt;$A$9,0,INDEX($B$5:$B$10,MATCH(D72,$A$5:$A$10,-1))))*E72)</f>
        <v>2</v>
      </c>
      <c r="G72" s="492">
        <f t="shared" si="2"/>
        <v>7.2290898575869305E-3</v>
      </c>
      <c r="K72" s="28"/>
      <c r="L72" s="28"/>
    </row>
    <row r="73" spans="1:12" ht="15.75" x14ac:dyDescent="0.25">
      <c r="A73" s="583">
        <f>'הכנסות עצמיות'!A69</f>
        <v>61</v>
      </c>
      <c r="B73" s="584" t="str">
        <f>'הכנסות עצמיות'!B69</f>
        <v>רונית זיו</v>
      </c>
      <c r="C73" s="404" t="str">
        <f>IF(סיווג!Y81="אינו עומד בתנאי סף","",סיווג!Y81)</f>
        <v>יוצר מנוסה</v>
      </c>
      <c r="D73" s="404">
        <f>IF(B73="","",סיווג!M81)</f>
        <v>3.3</v>
      </c>
      <c r="E73" s="404">
        <f>סיווג!AB81</f>
        <v>1</v>
      </c>
      <c r="F73" s="253">
        <f>IF(D73="","",IF(C73=פרמטרים!$B$8,IF(D73&lt;$C$9,0,INDEX($D$5:$D$10,MATCH(D73,$C$5:$C$10,-1))),IF(D73&lt;$A$9,0,INDEX($B$5:$B$10,MATCH(D73,$A$5:$A$10,-1))))*E73)</f>
        <v>2</v>
      </c>
      <c r="G73" s="492">
        <f t="shared" si="2"/>
        <v>7.2290898575869305E-3</v>
      </c>
      <c r="K73" s="28"/>
      <c r="L73" s="28"/>
    </row>
    <row r="74" spans="1:12" ht="15.75" x14ac:dyDescent="0.25">
      <c r="A74" s="583">
        <f>'הכנסות עצמיות'!A70</f>
        <v>62</v>
      </c>
      <c r="B74" s="584" t="str">
        <f>'הכנסות עצמיות'!B70</f>
        <v>טלי זבילביץ</v>
      </c>
      <c r="C74" s="404" t="str">
        <f>IF(סיווג!Y82="אינו עומד בתנאי סף","",סיווג!Y82)</f>
        <v>יוצר מנוסה</v>
      </c>
      <c r="D74" s="404">
        <f>IF(B74="","",סיווג!M82)</f>
        <v>3.47</v>
      </c>
      <c r="E74" s="404">
        <f>סיווג!AB82</f>
        <v>1</v>
      </c>
      <c r="F74" s="253">
        <f>IF(D74="","",IF(C74=פרמטרים!$B$8,IF(D74&lt;$C$9,0,INDEX($D$5:$D$10,MATCH(D74,$C$5:$C$10,-1))),IF(D74&lt;$A$9,0,INDEX($B$5:$B$10,MATCH(D74,$A$5:$A$10,-1))))*E74)</f>
        <v>2</v>
      </c>
      <c r="G74" s="492">
        <f t="shared" si="2"/>
        <v>7.2290898575869305E-3</v>
      </c>
      <c r="K74" s="28"/>
      <c r="L74" s="28"/>
    </row>
    <row r="75" spans="1:12" ht="15.75" x14ac:dyDescent="0.25">
      <c r="A75" s="583">
        <f>'הכנסות עצמיות'!A71</f>
        <v>63</v>
      </c>
      <c r="B75" s="584" t="str">
        <f>'הכנסות עצמיות'!B71</f>
        <v>רייצ'ל ארדוס</v>
      </c>
      <c r="C75" s="404" t="str">
        <f>IF(סיווג!Y83="אינו עומד בתנאי סף","",סיווג!Y83)</f>
        <v>יוצר מנוסה</v>
      </c>
      <c r="D75" s="404">
        <f>IF(B75="","",סיווג!M83)</f>
        <v>3</v>
      </c>
      <c r="E75" s="404">
        <f>סיווג!AB83</f>
        <v>1</v>
      </c>
      <c r="F75" s="253">
        <f>IF(D75="","",IF(C75=פרמטרים!$B$8,IF(D75&lt;$C$9,0,INDEX($D$5:$D$10,MATCH(D75,$C$5:$C$10,-1))),IF(D75&lt;$A$9,0,INDEX($B$5:$B$10,MATCH(D75,$A$5:$A$10,-1))))*E75)</f>
        <v>2</v>
      </c>
      <c r="G75" s="492">
        <f t="shared" si="2"/>
        <v>7.2290898575869305E-3</v>
      </c>
      <c r="K75" s="28"/>
      <c r="L75" s="28"/>
    </row>
    <row r="76" spans="1:12" ht="15.75" x14ac:dyDescent="0.25">
      <c r="A76" s="583">
        <f>'הכנסות עצמיות'!A72</f>
        <v>64</v>
      </c>
      <c r="B76" s="584" t="str">
        <f>'הכנסות עצמיות'!B72</f>
        <v>שירה אביתר</v>
      </c>
      <c r="C76" s="404" t="str">
        <f>IF(סיווג!Y84="אינו עומד בתנאי סף","",סיווג!Y84)</f>
        <v>יוצר מנוסה</v>
      </c>
      <c r="D76" s="404">
        <f>IF(B76="","",סיווג!M84)</f>
        <v>3</v>
      </c>
      <c r="E76" s="404">
        <f>סיווג!AB84</f>
        <v>1</v>
      </c>
      <c r="F76" s="253">
        <f>IF(D76="","",IF(C76=פרמטרים!$B$8,IF(D76&lt;$C$9,0,INDEX($D$5:$D$10,MATCH(D76,$C$5:$C$10,-1))),IF(D76&lt;$A$9,0,INDEX($B$5:$B$10,MATCH(D76,$A$5:$A$10,-1))))*E76)</f>
        <v>2</v>
      </c>
      <c r="G76" s="492">
        <f t="shared" si="2"/>
        <v>7.2290898575869305E-3</v>
      </c>
      <c r="K76" s="28"/>
      <c r="L76" s="28"/>
    </row>
    <row r="77" spans="1:12" ht="15.75" x14ac:dyDescent="0.25">
      <c r="A77" s="583">
        <f>'הכנסות עצמיות'!A73</f>
        <v>65</v>
      </c>
      <c r="B77" s="584" t="str">
        <f>'הכנסות עצמיות'!B73</f>
        <v>שלומית פונדמינסקי</v>
      </c>
      <c r="C77" s="404" t="str">
        <f>IF(סיווג!Y85="אינו עומד בתנאי סף","",סיווג!Y85)</f>
        <v>יוצר מנוסה</v>
      </c>
      <c r="D77" s="404">
        <f>IF(B77="","",סיווג!M85)</f>
        <v>3.29</v>
      </c>
      <c r="E77" s="404">
        <f>סיווג!AB85</f>
        <v>1</v>
      </c>
      <c r="F77" s="253">
        <f>IF(D77="","",IF(C77=פרמטרים!$B$8,IF(D77&lt;$C$9,0,INDEX($D$5:$D$10,MATCH(D77,$C$5:$C$10,-1))),IF(D77&lt;$A$9,0,INDEX($B$5:$B$10,MATCH(D77,$A$5:$A$10,-1))))*E77)</f>
        <v>2</v>
      </c>
      <c r="G77" s="492">
        <f t="shared" ref="G77:G108" si="3">IF(ISERR(F77/$F$125),"",F77/$F$125)</f>
        <v>7.2290898575869305E-3</v>
      </c>
      <c r="K77" s="28"/>
      <c r="L77" s="28"/>
    </row>
    <row r="78" spans="1:12" ht="15.75" x14ac:dyDescent="0.25">
      <c r="A78" s="583">
        <f>'הכנסות עצמיות'!A74</f>
        <v>66</v>
      </c>
      <c r="B78" s="584" t="str">
        <f>'הכנסות עצמיות'!B74</f>
        <v/>
      </c>
      <c r="C78" s="404" t="str">
        <f>IF(סיווג!Y86="אינו עומד בתנאי סף","",סיווג!Y86)</f>
        <v/>
      </c>
      <c r="D78" s="404" t="str">
        <f>IF(B78="","",סיווג!M86)</f>
        <v/>
      </c>
      <c r="E78" s="404" t="str">
        <f>סיווג!AB86</f>
        <v/>
      </c>
      <c r="F78" s="253" t="str">
        <f>IF(D78="","",IF(C78=פרמטרים!$B$8,IF(D78&lt;$C$9,0,INDEX($D$5:$D$10,MATCH(D78,$C$5:$C$10,-1))),IF(D78&lt;$A$9,0,INDEX($B$5:$B$10,MATCH(D78,$A$5:$A$10,-1))))*E78)</f>
        <v/>
      </c>
      <c r="G78" s="492" t="str">
        <f t="shared" si="3"/>
        <v/>
      </c>
      <c r="K78" s="28"/>
      <c r="L78" s="28"/>
    </row>
    <row r="79" spans="1:12" ht="15.75" x14ac:dyDescent="0.25">
      <c r="A79" s="583">
        <f>'הכנסות עצמיות'!A75</f>
        <v>67</v>
      </c>
      <c r="B79" s="584" t="str">
        <f>'הכנסות עצמיות'!B75</f>
        <v>שרון וזנה</v>
      </c>
      <c r="C79" s="404" t="str">
        <f>IF(סיווג!Y87="אינו עומד בתנאי סף","",סיווג!Y87)</f>
        <v>יוצר מנוסה</v>
      </c>
      <c r="D79" s="404">
        <f>IF(B79="","",סיווג!M87)</f>
        <v>3.35</v>
      </c>
      <c r="E79" s="404">
        <f>סיווג!AB87</f>
        <v>1</v>
      </c>
      <c r="F79" s="253">
        <f>IF(D79="","",IF(C79=פרמטרים!$B$8,IF(D79&lt;$C$9,0,INDEX($D$5:$D$10,MATCH(D79,$C$5:$C$10,-1))),IF(D79&lt;$A$9,0,INDEX($B$5:$B$10,MATCH(D79,$A$5:$A$10,-1))))*E79)</f>
        <v>2</v>
      </c>
      <c r="G79" s="492">
        <f t="shared" si="3"/>
        <v>7.2290898575869305E-3</v>
      </c>
      <c r="K79" s="28"/>
      <c r="L79" s="28"/>
    </row>
    <row r="80" spans="1:12" ht="15.75" x14ac:dyDescent="0.25">
      <c r="A80" s="583">
        <f>'הכנסות עצמיות'!A76</f>
        <v>68</v>
      </c>
      <c r="B80" s="584" t="str">
        <f>'הכנסות עצמיות'!B76</f>
        <v>שרונה פלורסהיים</v>
      </c>
      <c r="C80" s="404" t="str">
        <f>IF(סיווג!Y88="אינו עומד בתנאי סף","",סיווג!Y88)</f>
        <v>יוצר מנוסה</v>
      </c>
      <c r="D80" s="404">
        <f>IF(B80="","",סיווג!M88)</f>
        <v>4.5</v>
      </c>
      <c r="E80" s="404">
        <f>סיווג!AB88</f>
        <v>1</v>
      </c>
      <c r="F80" s="253">
        <f>IF(D80="","",IF(C80=פרמטרים!$B$8,IF(D80&lt;$C$9,0,INDEX($D$5:$D$10,MATCH(D80,$C$5:$C$10,-1))),IF(D80&lt;$A$9,0,INDEX($B$5:$B$10,MATCH(D80,$A$5:$A$10,-1))))*E80)</f>
        <v>5</v>
      </c>
      <c r="G80" s="492">
        <f t="shared" si="3"/>
        <v>1.8072724643967326E-2</v>
      </c>
      <c r="K80" s="28"/>
      <c r="L80" s="28"/>
    </row>
    <row r="81" spans="1:12" ht="15.75" x14ac:dyDescent="0.25">
      <c r="A81" s="583">
        <f>'הכנסות עצמיות'!A77</f>
        <v>69</v>
      </c>
      <c r="B81" s="584" t="str">
        <f>'הכנסות עצמיות'!B77</f>
        <v>תמי ליבוביץ</v>
      </c>
      <c r="C81" s="404" t="str">
        <f>IF(סיווג!Y89="אינו עומד בתנאי סף","",סיווג!Y89)</f>
        <v>יוצר מנוסה</v>
      </c>
      <c r="D81" s="404">
        <f>IF(B81="","",סיווג!M89)</f>
        <v>3.2</v>
      </c>
      <c r="E81" s="404">
        <f>סיווג!AB89</f>
        <v>1</v>
      </c>
      <c r="F81" s="253">
        <f>IF(D81="","",IF(C81=פרמטרים!$B$8,IF(D81&lt;$C$9,0,INDEX($D$5:$D$10,MATCH(D81,$C$5:$C$10,-1))),IF(D81&lt;$A$9,0,INDEX($B$5:$B$10,MATCH(D81,$A$5:$A$10,-1))))*E81)</f>
        <v>2</v>
      </c>
      <c r="G81" s="492">
        <f t="shared" si="3"/>
        <v>7.2290898575869305E-3</v>
      </c>
      <c r="K81" s="28"/>
      <c r="L81" s="28"/>
    </row>
    <row r="82" spans="1:12" ht="15.75" x14ac:dyDescent="0.25">
      <c r="A82" s="583">
        <f>'הכנסות עצמיות'!A78</f>
        <v>70</v>
      </c>
      <c r="B82" s="584" t="str">
        <f>'הכנסות עצמיות'!B78</f>
        <v>תמר בורר</v>
      </c>
      <c r="C82" s="404" t="str">
        <f>IF(סיווג!Y90="אינו עומד בתנאי סף","",סיווג!Y90)</f>
        <v>יוצר מנוסה</v>
      </c>
      <c r="D82" s="404">
        <f>IF(B82="","",סיווג!M90)</f>
        <v>3</v>
      </c>
      <c r="E82" s="404">
        <f>סיווג!AB90</f>
        <v>1</v>
      </c>
      <c r="F82" s="253">
        <f>IF(D82="","",IF(C82=פרמטרים!$B$8,IF(D82&lt;$C$9,0,INDEX($D$5:$D$10,MATCH(D82,$C$5:$C$10,-1))),IF(D82&lt;$A$9,0,INDEX($B$5:$B$10,MATCH(D82,$A$5:$A$10,-1))))*E82)</f>
        <v>2</v>
      </c>
      <c r="G82" s="492">
        <f t="shared" si="3"/>
        <v>7.2290898575869305E-3</v>
      </c>
      <c r="K82" s="28"/>
      <c r="L82" s="28"/>
    </row>
    <row r="83" spans="1:12" ht="15.75" x14ac:dyDescent="0.25">
      <c r="A83" s="583">
        <f>'הכנסות עצמיות'!A79</f>
        <v>71</v>
      </c>
      <c r="B83" s="584" t="str">
        <f>'הכנסות עצמיות'!B79</f>
        <v>תמי ורונן יצחקי</v>
      </c>
      <c r="C83" s="404" t="str">
        <f>IF(סיווג!Y91="אינו עומד בתנאי סף","",סיווג!Y91)</f>
        <v>יוצר מנוסה</v>
      </c>
      <c r="D83" s="404">
        <f>IF(B83="","",סיווג!M91)</f>
        <v>3.25</v>
      </c>
      <c r="E83" s="404">
        <f>סיווג!AB91</f>
        <v>1</v>
      </c>
      <c r="F83" s="253">
        <f>IF(D83="","",IF(C83=פרמטרים!$B$8,IF(D83&lt;$C$9,0,INDEX($D$5:$D$10,MATCH(D83,$C$5:$C$10,-1))),IF(D83&lt;$A$9,0,INDEX($B$5:$B$10,MATCH(D83,$A$5:$A$10,-1))))*E83)</f>
        <v>2</v>
      </c>
      <c r="G83" s="492">
        <f t="shared" si="3"/>
        <v>7.2290898575869305E-3</v>
      </c>
      <c r="K83" s="28"/>
      <c r="L83" s="28"/>
    </row>
    <row r="84" spans="1:12" ht="15.75" x14ac:dyDescent="0.25">
      <c r="A84" s="583">
        <f>'הכנסות עצמיות'!A80</f>
        <v>72</v>
      </c>
      <c r="B84" s="584" t="str">
        <f>'הכנסות עצמיות'!B80</f>
        <v>רננה רז</v>
      </c>
      <c r="C84" s="404" t="str">
        <f>IF(סיווג!Y92="אינו עומד בתנאי סף","",סיווג!Y92)</f>
        <v>יוצר מנוסה</v>
      </c>
      <c r="D84" s="404">
        <f>IF(B84="","",סיווג!M92)</f>
        <v>4.0999999999999996</v>
      </c>
      <c r="E84" s="404">
        <f>סיווג!AB92</f>
        <v>1</v>
      </c>
      <c r="F84" s="253">
        <f>IF(D84="","",IF(C84=פרמטרים!$B$8,IF(D84&lt;$C$9,0,INDEX($D$5:$D$10,MATCH(D84,$C$5:$C$10,-1))),IF(D84&lt;$A$9,0,INDEX($B$5:$B$10,MATCH(D84,$A$5:$A$10,-1))))*E84)</f>
        <v>5</v>
      </c>
      <c r="G84" s="492">
        <f t="shared" si="3"/>
        <v>1.8072724643967326E-2</v>
      </c>
      <c r="K84" s="28"/>
      <c r="L84" s="28"/>
    </row>
    <row r="85" spans="1:12" ht="15.75" x14ac:dyDescent="0.25">
      <c r="A85" s="583">
        <f>'הכנסות עצמיות'!A81</f>
        <v>73</v>
      </c>
      <c r="B85" s="584" t="str">
        <f>'הכנסות עצמיות'!B81</f>
        <v>רתם תשח</v>
      </c>
      <c r="C85" s="404" t="str">
        <f>IF(סיווג!Y93="אינו עומד בתנאי סף","",סיווג!Y93)</f>
        <v>יוצר מנוסה</v>
      </c>
      <c r="D85" s="404">
        <f>IF(B85="","",סיווג!M93)</f>
        <v>4</v>
      </c>
      <c r="E85" s="404">
        <f>סיווג!AB93</f>
        <v>1</v>
      </c>
      <c r="F85" s="253">
        <f>IF(D85="","",IF(C85=פרמטרים!$B$8,IF(D85&lt;$C$9,0,INDEX($D$5:$D$10,MATCH(D85,$C$5:$C$10,-1))),IF(D85&lt;$A$9,0,INDEX($B$5:$B$10,MATCH(D85,$A$5:$A$10,-1))))*E85)</f>
        <v>3</v>
      </c>
      <c r="G85" s="492">
        <f t="shared" si="3"/>
        <v>1.0843634786380396E-2</v>
      </c>
      <c r="K85" s="28"/>
      <c r="L85" s="28"/>
    </row>
    <row r="86" spans="1:12" ht="15.75" x14ac:dyDescent="0.25">
      <c r="A86" s="583">
        <f>'הכנסות עצמיות'!A82</f>
        <v>74</v>
      </c>
      <c r="B86" s="584" t="str">
        <f>'הכנסות עצמיות'!B82</f>
        <v/>
      </c>
      <c r="C86" s="404" t="str">
        <f>IF(סיווג!Y94="אינו עומד בתנאי סף","",סיווג!Y94)</f>
        <v/>
      </c>
      <c r="D86" s="404" t="str">
        <f>IF(B86="","",סיווג!M94)</f>
        <v/>
      </c>
      <c r="E86" s="404" t="str">
        <f>סיווג!AB94</f>
        <v/>
      </c>
      <c r="F86" s="253" t="str">
        <f>IF(D86="","",IF(C86=פרמטרים!$B$8,IF(D86&lt;$C$9,0,INDEX($D$5:$D$10,MATCH(D86,$C$5:$C$10,-1))),IF(D86&lt;$A$9,0,INDEX($B$5:$B$10,MATCH(D86,$A$5:$A$10,-1))))*E86)</f>
        <v/>
      </c>
      <c r="G86" s="492" t="str">
        <f t="shared" si="3"/>
        <v/>
      </c>
      <c r="K86" s="28"/>
      <c r="L86" s="28"/>
    </row>
    <row r="87" spans="1:12" ht="15.75" x14ac:dyDescent="0.25">
      <c r="A87" s="583">
        <f>'הכנסות עצמיות'!A83</f>
        <v>75</v>
      </c>
      <c r="B87" s="584" t="str">
        <f>'הכנסות עצמיות'!B83</f>
        <v/>
      </c>
      <c r="C87" s="404" t="str">
        <f>IF(סיווג!Y95="אינו עומד בתנאי סף","",סיווג!Y95)</f>
        <v/>
      </c>
      <c r="D87" s="404" t="str">
        <f>IF(B87="","",סיווג!M95)</f>
        <v/>
      </c>
      <c r="E87" s="404" t="str">
        <f>סיווג!AB95</f>
        <v/>
      </c>
      <c r="F87" s="253" t="str">
        <f>IF(D87="","",IF(C87=פרמטרים!$B$8,IF(D87&lt;$C$9,0,INDEX($D$5:$D$10,MATCH(D87,$C$5:$C$10,-1))),IF(D87&lt;$A$9,0,INDEX($B$5:$B$10,MATCH(D87,$A$5:$A$10,-1))))*E87)</f>
        <v/>
      </c>
      <c r="G87" s="492" t="str">
        <f t="shared" si="3"/>
        <v/>
      </c>
      <c r="K87" s="28"/>
      <c r="L87" s="28"/>
    </row>
    <row r="88" spans="1:12" ht="15.75" x14ac:dyDescent="0.25">
      <c r="A88" s="583">
        <f>'הכנסות עצמיות'!A84</f>
        <v>76</v>
      </c>
      <c r="B88" s="584" t="str">
        <f>'הכנסות עצמיות'!B84</f>
        <v>שרון שגיא - פלמנקו</v>
      </c>
      <c r="C88" s="404" t="str">
        <f>IF(סיווג!Y96="אינו עומד בתנאי סף","",סיווג!Y96)</f>
        <v>יוצר מנוסה</v>
      </c>
      <c r="D88" s="404">
        <f>IF(B88="","",סיווג!M96)</f>
        <v>4.5</v>
      </c>
      <c r="E88" s="404">
        <f>סיווג!AB96</f>
        <v>1</v>
      </c>
      <c r="F88" s="253">
        <f>IF(D88="","",IF(C88=פרמטרים!$B$8,IF(D88&lt;$C$9,0,INDEX($D$5:$D$10,MATCH(D88,$C$5:$C$10,-1))),IF(D88&lt;$A$9,0,INDEX($B$5:$B$10,MATCH(D88,$A$5:$A$10,-1))))*E88)</f>
        <v>5</v>
      </c>
      <c r="G88" s="492">
        <f t="shared" si="3"/>
        <v>1.8072724643967326E-2</v>
      </c>
      <c r="K88" s="28"/>
      <c r="L88" s="28"/>
    </row>
    <row r="89" spans="1:12" ht="15.75" x14ac:dyDescent="0.25">
      <c r="A89" s="583">
        <f>'הכנסות עצמיות'!A85</f>
        <v>77</v>
      </c>
      <c r="B89" s="584" t="str">
        <f>'הכנסות עצמיות'!B85</f>
        <v/>
      </c>
      <c r="C89" s="404" t="str">
        <f>IF(סיווג!Y97="אינו עומד בתנאי סף","",סיווג!Y97)</f>
        <v/>
      </c>
      <c r="D89" s="404" t="str">
        <f>IF(B89="","",סיווג!M97)</f>
        <v/>
      </c>
      <c r="E89" s="404" t="str">
        <f>סיווג!AB97</f>
        <v/>
      </c>
      <c r="F89" s="253" t="str">
        <f>IF(D89="","",IF(C89=פרמטרים!$B$8,IF(D89&lt;$C$9,0,INDEX($D$5:$D$10,MATCH(D89,$C$5:$C$10,-1))),IF(D89&lt;$A$9,0,INDEX($B$5:$B$10,MATCH(D89,$A$5:$A$10,-1))))*E89)</f>
        <v/>
      </c>
      <c r="G89" s="492" t="str">
        <f t="shared" si="3"/>
        <v/>
      </c>
      <c r="K89" s="28"/>
      <c r="L89" s="28"/>
    </row>
    <row r="90" spans="1:12" ht="15.75" x14ac:dyDescent="0.25">
      <c r="A90" s="583">
        <f>'הכנסות עצמיות'!A86</f>
        <v>78</v>
      </c>
      <c r="B90" s="584" t="str">
        <f>'הכנסות עצמיות'!B86</f>
        <v>אוליביה קורט מסה</v>
      </c>
      <c r="C90" s="404" t="str">
        <f>IF(סיווג!Y98="אינו עומד בתנאי סף","",סיווג!Y98)</f>
        <v>יוצר מנוסה</v>
      </c>
      <c r="D90" s="404">
        <f>IF(B90="","",סיווג!M98)</f>
        <v>4.53</v>
      </c>
      <c r="E90" s="404">
        <f>סיווג!AB98</f>
        <v>1</v>
      </c>
      <c r="F90" s="253">
        <f>IF(D90="","",IF(C90=פרמטרים!$B$8,IF(D90&lt;$C$9,0,INDEX($D$5:$D$10,MATCH(D90,$C$5:$C$10,-1))),IF(D90&lt;$A$9,0,INDEX($B$5:$B$10,MATCH(D90,$A$5:$A$10,-1))))*E90)</f>
        <v>5</v>
      </c>
      <c r="G90" s="492">
        <f t="shared" si="3"/>
        <v>1.8072724643967326E-2</v>
      </c>
      <c r="K90" s="28"/>
      <c r="L90" s="28"/>
    </row>
    <row r="91" spans="1:12" ht="15.75" x14ac:dyDescent="0.25">
      <c r="A91" s="583">
        <f>'הכנסות עצמיות'!A87</f>
        <v>79</v>
      </c>
      <c r="B91" s="584" t="str">
        <f>'הכנסות עצמיות'!B87</f>
        <v/>
      </c>
      <c r="C91" s="404" t="str">
        <f>IF(סיווג!Y99="אינו עומד בתנאי סף","",סיווג!Y99)</f>
        <v/>
      </c>
      <c r="D91" s="404" t="str">
        <f>IF(B91="","",סיווג!M99)</f>
        <v/>
      </c>
      <c r="E91" s="404" t="str">
        <f>סיווג!AB99</f>
        <v/>
      </c>
      <c r="F91" s="253" t="str">
        <f>IF(D91="","",IF(C91=פרמטרים!$B$8,IF(D91&lt;$C$9,0,INDEX($D$5:$D$10,MATCH(D91,$C$5:$C$10,-1))),IF(D91&lt;$A$9,0,INDEX($B$5:$B$10,MATCH(D91,$A$5:$A$10,-1))))*E91)</f>
        <v/>
      </c>
      <c r="G91" s="492" t="str">
        <f t="shared" si="3"/>
        <v/>
      </c>
      <c r="K91" s="28"/>
      <c r="L91" s="28"/>
    </row>
    <row r="92" spans="1:12" ht="15.75" x14ac:dyDescent="0.25">
      <c r="A92" s="583">
        <f>'הכנסות עצמיות'!A88</f>
        <v>80</v>
      </c>
      <c r="B92" s="584" t="str">
        <f>'הכנסות עצמיות'!B88</f>
        <v/>
      </c>
      <c r="C92" s="404" t="str">
        <f>IF(סיווג!Y100="אינו עומד בתנאי סף","",סיווג!Y100)</f>
        <v/>
      </c>
      <c r="D92" s="404" t="str">
        <f>IF(B92="","",סיווג!M100)</f>
        <v/>
      </c>
      <c r="E92" s="404" t="str">
        <f>סיווג!AB100</f>
        <v/>
      </c>
      <c r="F92" s="253" t="str">
        <f>IF(D92="","",IF(C92=פרמטרים!$B$8,IF(D92&lt;$C$9,0,INDEX($D$5:$D$10,MATCH(D92,$C$5:$C$10,-1))),IF(D92&lt;$A$9,0,INDEX($B$5:$B$10,MATCH(D92,$A$5:$A$10,-1))))*E92)</f>
        <v/>
      </c>
      <c r="G92" s="492" t="str">
        <f t="shared" si="3"/>
        <v/>
      </c>
      <c r="K92" s="28"/>
      <c r="L92" s="28"/>
    </row>
    <row r="93" spans="1:12" ht="15.75" x14ac:dyDescent="0.25">
      <c r="A93" s="583">
        <f>'הכנסות עצמיות'!A89</f>
        <v>81</v>
      </c>
      <c r="B93" s="584" t="str">
        <f>'הכנסות עצמיות'!B89</f>
        <v>דגה פדר</v>
      </c>
      <c r="C93" s="404" t="str">
        <f>IF(סיווג!Y101="אינו עומד בתנאי סף","",סיווג!Y101)</f>
        <v>יוצר מנוסה</v>
      </c>
      <c r="D93" s="404">
        <f>IF(B93="","",סיווג!M101)</f>
        <v>3</v>
      </c>
      <c r="E93" s="404">
        <f>סיווג!AB101</f>
        <v>1</v>
      </c>
      <c r="F93" s="253">
        <f>IF(D93="","",IF(C93=פרמטרים!$B$8,IF(D93&lt;$C$9,0,INDEX($D$5:$D$10,MATCH(D93,$C$5:$C$10,-1))),IF(D93&lt;$A$9,0,INDEX($B$5:$B$10,MATCH(D93,$A$5:$A$10,-1))))*E93)</f>
        <v>2</v>
      </c>
      <c r="G93" s="492">
        <f t="shared" si="3"/>
        <v>7.2290898575869305E-3</v>
      </c>
      <c r="K93" s="28"/>
      <c r="L93" s="28"/>
    </row>
    <row r="94" spans="1:12" ht="15.75" x14ac:dyDescent="0.25">
      <c r="A94" s="583">
        <f>'הכנסות עצמיות'!A90</f>
        <v>82</v>
      </c>
      <c r="B94" s="584" t="str">
        <f>'הכנסות עצמיות'!B90</f>
        <v>דנה חפוטה</v>
      </c>
      <c r="C94" s="404" t="str">
        <f>IF(סיווג!Y102="אינו עומד בתנאי סף","",סיווג!Y102)</f>
        <v>יוצר מנוסה</v>
      </c>
      <c r="D94" s="404">
        <f>IF(B94="","",סיווג!M102)</f>
        <v>3.65</v>
      </c>
      <c r="E94" s="404">
        <f>סיווג!AB102</f>
        <v>1</v>
      </c>
      <c r="F94" s="253">
        <f>IF(D94="","",IF(C94=פרמטרים!$B$8,IF(D94&lt;$C$9,0,INDEX($D$5:$D$10,MATCH(D94,$C$5:$C$10,-1))),IF(D94&lt;$A$9,0,INDEX($B$5:$B$10,MATCH(D94,$A$5:$A$10,-1))))*E94)</f>
        <v>3</v>
      </c>
      <c r="G94" s="492">
        <f t="shared" si="3"/>
        <v>1.0843634786380396E-2</v>
      </c>
      <c r="K94" s="28"/>
      <c r="L94" s="28"/>
    </row>
    <row r="95" spans="1:12" ht="15.75" x14ac:dyDescent="0.25">
      <c r="A95" s="583">
        <f>'הכנסות עצמיות'!A91</f>
        <v>83</v>
      </c>
      <c r="B95" s="584" t="str">
        <f>'הכנסות עצמיות'!B91</f>
        <v/>
      </c>
      <c r="C95" s="404" t="str">
        <f>IF(סיווג!Y103="אינו עומד בתנאי סף","",סיווג!Y103)</f>
        <v/>
      </c>
      <c r="D95" s="404" t="str">
        <f>IF(B95="","",סיווג!M103)</f>
        <v/>
      </c>
      <c r="E95" s="404" t="str">
        <f>סיווג!AB103</f>
        <v/>
      </c>
      <c r="F95" s="253" t="str">
        <f>IF(D95="","",IF(C95=פרמטרים!$B$8,IF(D95&lt;$C$9,0,INDEX($D$5:$D$10,MATCH(D95,$C$5:$C$10,-1))),IF(D95&lt;$A$9,0,INDEX($B$5:$B$10,MATCH(D95,$A$5:$A$10,-1))))*E95)</f>
        <v/>
      </c>
      <c r="G95" s="492" t="str">
        <f t="shared" si="3"/>
        <v/>
      </c>
      <c r="K95" s="28"/>
      <c r="L95" s="28"/>
    </row>
    <row r="96" spans="1:12" ht="15.75" x14ac:dyDescent="0.25">
      <c r="A96" s="583">
        <f>'הכנסות עצמיות'!A92</f>
        <v>84</v>
      </c>
      <c r="B96" s="584" t="str">
        <f>'הכנסות עצמיות'!B92</f>
        <v/>
      </c>
      <c r="C96" s="404" t="str">
        <f>IF(סיווג!Y104="אינו עומד בתנאי סף","",סיווג!Y104)</f>
        <v/>
      </c>
      <c r="D96" s="404" t="str">
        <f>IF(B96="","",סיווג!M104)</f>
        <v/>
      </c>
      <c r="E96" s="404" t="str">
        <f>סיווג!AB104</f>
        <v/>
      </c>
      <c r="F96" s="253" t="str">
        <f>IF(D96="","",IF(C96=פרמטרים!$B$8,IF(D96&lt;$C$9,0,INDEX($D$5:$D$10,MATCH(D96,$C$5:$C$10,-1))),IF(D96&lt;$A$9,0,INDEX($B$5:$B$10,MATCH(D96,$A$5:$A$10,-1))))*E96)</f>
        <v/>
      </c>
      <c r="G96" s="492" t="str">
        <f t="shared" si="3"/>
        <v/>
      </c>
      <c r="K96" s="28"/>
      <c r="L96" s="28"/>
    </row>
    <row r="97" spans="1:12" ht="15.75" x14ac:dyDescent="0.25">
      <c r="A97" s="583">
        <f>'הכנסות עצמיות'!A93</f>
        <v>85</v>
      </c>
      <c r="B97" s="584" t="str">
        <f>'הכנסות עצמיות'!B93</f>
        <v>יענק'לה פילצר</v>
      </c>
      <c r="C97" s="404" t="str">
        <f>IF(סיווג!Y105="אינו עומד בתנאי סף","",סיווג!Y105)</f>
        <v>יוצר מנוסה</v>
      </c>
      <c r="D97" s="404">
        <f>IF(B97="","",סיווג!M105)</f>
        <v>3.17</v>
      </c>
      <c r="E97" s="404">
        <f>סיווג!AB105</f>
        <v>1</v>
      </c>
      <c r="F97" s="253">
        <f>IF(D97="","",IF(C97=פרמטרים!$B$8,IF(D97&lt;$C$9,0,INDEX($D$5:$D$10,MATCH(D97,$C$5:$C$10,-1))),IF(D97&lt;$A$9,0,INDEX($B$5:$B$10,MATCH(D97,$A$5:$A$10,-1))))*E97)</f>
        <v>2</v>
      </c>
      <c r="G97" s="492">
        <f t="shared" si="3"/>
        <v>7.2290898575869305E-3</v>
      </c>
      <c r="K97" s="28"/>
      <c r="L97" s="28"/>
    </row>
    <row r="98" spans="1:12" ht="15.75" x14ac:dyDescent="0.25">
      <c r="A98" s="583">
        <f>'הכנסות עצמיות'!A94</f>
        <v>86</v>
      </c>
      <c r="B98" s="584" t="str">
        <f>'הכנסות עצמיות'!B94</f>
        <v>ענבל פינטו</v>
      </c>
      <c r="C98" s="404" t="str">
        <f>IF(סיווג!Y106="אינו עומד בתנאי סף","",סיווג!Y106)</f>
        <v>יוצר מנוסה</v>
      </c>
      <c r="D98" s="404">
        <f>IF(B98="","",סיווג!M106)</f>
        <v>4.4000000000000004</v>
      </c>
      <c r="E98" s="404">
        <f>סיווג!AB106</f>
        <v>1</v>
      </c>
      <c r="F98" s="253">
        <f>IF(D98="","",IF(C98=פרמטרים!$B$8,IF(D98&lt;$C$9,0,INDEX($D$5:$D$10,MATCH(D98,$C$5:$C$10,-1))),IF(D98&lt;$A$9,0,INDEX($B$5:$B$10,MATCH(D98,$A$5:$A$10,-1))))*E98)</f>
        <v>5</v>
      </c>
      <c r="G98" s="492">
        <f t="shared" si="3"/>
        <v>1.8072724643967326E-2</v>
      </c>
      <c r="K98" s="28"/>
      <c r="L98" s="28"/>
    </row>
    <row r="99" spans="1:12" ht="15.75" x14ac:dyDescent="0.25">
      <c r="A99" s="583">
        <f>'הכנסות עצמיות'!A95</f>
        <v>87</v>
      </c>
      <c r="B99" s="584" t="str">
        <f>'הכנסות עצמיות'!B95</f>
        <v>רוני חדש</v>
      </c>
      <c r="C99" s="404" t="str">
        <f>IF(סיווג!Y107="אינו עומד בתנאי סף","",סיווג!Y107)</f>
        <v>יוצר מנוסה</v>
      </c>
      <c r="D99" s="404">
        <f>IF(B99="","",סיווג!M107)</f>
        <v>3.97</v>
      </c>
      <c r="E99" s="404">
        <f>סיווג!AB107</f>
        <v>1</v>
      </c>
      <c r="F99" s="253">
        <f>IF(D99="","",IF(C99=פרמטרים!$B$8,IF(D99&lt;$C$9,0,INDEX($D$5:$D$10,MATCH(D99,$C$5:$C$10,-1))),IF(D99&lt;$A$9,0,INDEX($B$5:$B$10,MATCH(D99,$A$5:$A$10,-1))))*E99)</f>
        <v>3</v>
      </c>
      <c r="G99" s="492">
        <f t="shared" si="3"/>
        <v>1.0843634786380396E-2</v>
      </c>
    </row>
    <row r="100" spans="1:12" ht="15.75" x14ac:dyDescent="0.25">
      <c r="A100" s="583">
        <f>'הכנסות עצמיות'!A96</f>
        <v>88</v>
      </c>
      <c r="B100" s="584" t="str">
        <f>'הכנסות עצמיות'!B96</f>
        <v>שחר בנימיני</v>
      </c>
      <c r="C100" s="404" t="str">
        <f>IF(סיווג!Y108="אינו עומד בתנאי סף","",סיווג!Y108)</f>
        <v>יוצר מנוסה</v>
      </c>
      <c r="D100" s="404">
        <f>IF(B100="","",סיווג!M108)</f>
        <v>3.8</v>
      </c>
      <c r="E100" s="404">
        <f>סיווג!AB108</f>
        <v>1</v>
      </c>
      <c r="F100" s="253">
        <f>IF(D100="","",IF(C100=פרמטרים!$B$8,IF(D100&lt;$C$9,0,INDEX($D$5:$D$10,MATCH(D100,$C$5:$C$10,-1))),IF(D100&lt;$A$9,0,INDEX($B$5:$B$10,MATCH(D100,$A$5:$A$10,-1))))*E100)</f>
        <v>3</v>
      </c>
      <c r="G100" s="492">
        <f t="shared" si="3"/>
        <v>1.0843634786380396E-2</v>
      </c>
    </row>
    <row r="101" spans="1:12" ht="15.75" x14ac:dyDescent="0.25">
      <c r="A101" s="583">
        <f>'הכנסות עצמיות'!A97</f>
        <v>89</v>
      </c>
      <c r="B101" s="584" t="str">
        <f>'הכנסות עצמיות'!B97</f>
        <v>רביד אברבאנל</v>
      </c>
      <c r="C101" s="404" t="str">
        <f>IF(סיווג!Y109="אינו עומד בתנאי סף","",סיווג!Y109)</f>
        <v>יוצר מנוסה</v>
      </c>
      <c r="D101" s="404">
        <f>IF(B101="","",סיווג!M109)</f>
        <v>3.83</v>
      </c>
      <c r="E101" s="404">
        <f>סיווג!AB109</f>
        <v>1</v>
      </c>
      <c r="F101" s="253">
        <f>IF(D101="","",IF(C101=פרמטרים!$B$8,IF(D101&lt;$C$9,0,INDEX($D$5:$D$10,MATCH(D101,$C$5:$C$10,-1))),IF(D101&lt;$A$9,0,INDEX($B$5:$B$10,MATCH(D101,$A$5:$A$10,-1))))*E101)</f>
        <v>3</v>
      </c>
      <c r="G101" s="492">
        <f t="shared" si="3"/>
        <v>1.0843634786380396E-2</v>
      </c>
    </row>
    <row r="102" spans="1:12" ht="15.75" x14ac:dyDescent="0.25">
      <c r="A102" s="583">
        <f>'הכנסות עצמיות'!A98</f>
        <v>90</v>
      </c>
      <c r="B102" s="584" t="str">
        <f>'הכנסות עצמיות'!B98</f>
        <v>שרון פרידמן</v>
      </c>
      <c r="C102" s="404" t="str">
        <f>IF(סיווג!Y110="אינו עומד בתנאי סף","",סיווג!Y110)</f>
        <v>יוצר מנוסה</v>
      </c>
      <c r="D102" s="404">
        <f>IF(B102="","",סיווג!M110)</f>
        <v>5</v>
      </c>
      <c r="E102" s="404">
        <f>סיווג!AB110</f>
        <v>1</v>
      </c>
      <c r="F102" s="253">
        <f>IF(D102="","",IF(C102=פרמטרים!$B$8,IF(D102&lt;$C$9,0,INDEX($D$5:$D$10,MATCH(D102,$C$5:$C$10,-1))),IF(D102&lt;$A$9,0,INDEX($B$5:$B$10,MATCH(D102,$A$5:$A$10,-1))))*E102)</f>
        <v>8</v>
      </c>
      <c r="G102" s="492">
        <f t="shared" si="3"/>
        <v>2.8916359430347722E-2</v>
      </c>
    </row>
    <row r="103" spans="1:12" ht="15.75" x14ac:dyDescent="0.25">
      <c r="A103" s="583">
        <f>'הכנסות עצמיות'!A99</f>
        <v>91</v>
      </c>
      <c r="B103" s="584" t="str">
        <f>'הכנסות עצמיות'!B99</f>
        <v>מירב כהן</v>
      </c>
      <c r="C103" s="404" t="str">
        <f>IF(סיווג!Y111="אינו עומד בתנאי סף","",סיווג!Y111)</f>
        <v>יוצר מנוסה</v>
      </c>
      <c r="D103" s="404">
        <f>IF(B103="","",סיווג!M111)</f>
        <v>3.83</v>
      </c>
      <c r="E103" s="404">
        <f>סיווג!AB111</f>
        <v>1</v>
      </c>
      <c r="F103" s="253">
        <f>IF(D103="","",IF(C103=פרמטרים!$B$8,IF(D103&lt;$C$9,0,INDEX($D$5:$D$10,MATCH(D103,$C$5:$C$10,-1))),IF(D103&lt;$A$9,0,INDEX($B$5:$B$10,MATCH(D103,$A$5:$A$10,-1))))*E103)</f>
        <v>3</v>
      </c>
      <c r="G103" s="492">
        <f t="shared" si="3"/>
        <v>1.0843634786380396E-2</v>
      </c>
    </row>
    <row r="104" spans="1:12" ht="15.75" x14ac:dyDescent="0.25">
      <c r="A104" s="583">
        <f>'הכנסות עצמיות'!A100</f>
        <v>92</v>
      </c>
      <c r="B104" s="584" t="str">
        <f>'הכנסות עצמיות'!B100</f>
        <v>קים טייטלבאום</v>
      </c>
      <c r="C104" s="404" t="str">
        <f>IF(סיווג!Y112="אינו עומד בתנאי סף","",סיווג!Y112)</f>
        <v>יוצר מנוסה</v>
      </c>
      <c r="D104" s="404">
        <f>IF(B104="","",סיווג!M112)</f>
        <v>3.2</v>
      </c>
      <c r="E104" s="404">
        <f>סיווג!AB112</f>
        <v>1</v>
      </c>
      <c r="F104" s="253">
        <f>IF(D104="","",IF(C104=פרמטרים!$B$8,IF(D104&lt;$C$9,0,INDEX($D$5:$D$10,MATCH(D104,$C$5:$C$10,-1))),IF(D104&lt;$A$9,0,INDEX($B$5:$B$10,MATCH(D104,$A$5:$A$10,-1))))*E104)</f>
        <v>2</v>
      </c>
      <c r="G104" s="492">
        <f t="shared" si="3"/>
        <v>7.2290898575869305E-3</v>
      </c>
    </row>
    <row r="105" spans="1:12" ht="15.75" x14ac:dyDescent="0.25">
      <c r="A105" s="583">
        <f>'הכנסות עצמיות'!A101</f>
        <v>93</v>
      </c>
      <c r="B105" s="584" t="str">
        <f>'הכנסות עצמיות'!B101</f>
        <v/>
      </c>
      <c r="C105" s="404" t="str">
        <f>IF(סיווג!Y113="אינו עומד בתנאי סף","",סיווג!Y113)</f>
        <v/>
      </c>
      <c r="D105" s="404" t="str">
        <f>IF(B105="","",סיווג!M113)</f>
        <v/>
      </c>
      <c r="E105" s="404" t="str">
        <f>סיווג!AB113</f>
        <v/>
      </c>
      <c r="F105" s="253" t="str">
        <f>IF(D105="","",IF(C105=פרמטרים!$B$8,IF(D105&lt;$C$9,0,INDEX($D$5:$D$10,MATCH(D105,$C$5:$C$10,-1))),IF(D105&lt;$A$9,0,INDEX($B$5:$B$10,MATCH(D105,$A$5:$A$10,-1))))*E105)</f>
        <v/>
      </c>
      <c r="G105" s="492" t="str">
        <f t="shared" si="3"/>
        <v/>
      </c>
    </row>
    <row r="106" spans="1:12" ht="15.75" x14ac:dyDescent="0.25">
      <c r="A106" s="583">
        <f>'הכנסות עצמיות'!A102</f>
        <v>94</v>
      </c>
      <c r="B106" s="584" t="str">
        <f>'הכנסות עצמיות'!B102</f>
        <v>מאי זרחי</v>
      </c>
      <c r="C106" s="404" t="str">
        <f>IF(סיווג!Y114="אינו עומד בתנאי סף","",סיווג!Y114)</f>
        <v>יוצר מנוסה</v>
      </c>
      <c r="D106" s="404">
        <f>IF(B106="","",סיווג!M114)</f>
        <v>3.63</v>
      </c>
      <c r="E106" s="404">
        <f>סיווג!AB114</f>
        <v>1</v>
      </c>
      <c r="F106" s="253">
        <f>IF(D106="","",IF(C106=פרמטרים!$B$8,IF(D106&lt;$C$9,0,INDEX($D$5:$D$10,MATCH(D106,$C$5:$C$10,-1))),IF(D106&lt;$A$9,0,INDEX($B$5:$B$10,MATCH(D106,$A$5:$A$10,-1))))*E106)</f>
        <v>3</v>
      </c>
      <c r="G106" s="492">
        <f t="shared" si="3"/>
        <v>1.0843634786380396E-2</v>
      </c>
    </row>
    <row r="107" spans="1:12" ht="15.75" x14ac:dyDescent="0.25">
      <c r="A107" s="583">
        <f>'הכנסות עצמיות'!A103</f>
        <v>95</v>
      </c>
      <c r="B107" s="584" t="str">
        <f>'הכנסות עצמיות'!B103</f>
        <v>דנה מרכוס</v>
      </c>
      <c r="C107" s="404" t="str">
        <f>IF(סיווג!Y115="אינו עומד בתנאי סף","",סיווג!Y115)</f>
        <v>יוצר מנוסה</v>
      </c>
      <c r="D107" s="404">
        <f>IF(B107="","",סיווג!M115)</f>
        <v>3.1</v>
      </c>
      <c r="E107" s="404">
        <f>סיווג!AB115</f>
        <v>1</v>
      </c>
      <c r="F107" s="253">
        <f>IF(D107="","",IF(C107=פרמטרים!$B$8,IF(D107&lt;$C$9,0,INDEX($D$5:$D$10,MATCH(D107,$C$5:$C$10,-1))),IF(D107&lt;$A$9,0,INDEX($B$5:$B$10,MATCH(D107,$A$5:$A$10,-1))))*E107)</f>
        <v>2</v>
      </c>
      <c r="G107" s="492">
        <f t="shared" si="3"/>
        <v>7.2290898575869305E-3</v>
      </c>
    </row>
    <row r="108" spans="1:12" ht="15.75" x14ac:dyDescent="0.25">
      <c r="A108" s="583">
        <f>'הכנסות עצמיות'!A104</f>
        <v>96</v>
      </c>
      <c r="B108" s="584" t="str">
        <f>'הכנסות עצמיות'!B104</f>
        <v/>
      </c>
      <c r="C108" s="404" t="str">
        <f>IF(סיווג!Y116="אינו עומד בתנאי סף","",סיווג!Y116)</f>
        <v/>
      </c>
      <c r="D108" s="404" t="str">
        <f>IF(B108="","",סיווג!M116)</f>
        <v/>
      </c>
      <c r="E108" s="404" t="str">
        <f>סיווג!AB116</f>
        <v/>
      </c>
      <c r="F108" s="253" t="str">
        <f>IF(D108="","",IF(C108=פרמטרים!$B$8,IF(D108&lt;$C$9,0,INDEX($D$5:$D$10,MATCH(D108,$C$5:$C$10,-1))),IF(D108&lt;$A$9,0,INDEX($B$5:$B$10,MATCH(D108,$A$5:$A$10,-1))))*E108)</f>
        <v/>
      </c>
      <c r="G108" s="492" t="str">
        <f t="shared" si="3"/>
        <v/>
      </c>
    </row>
    <row r="109" spans="1:12" ht="15.75" x14ac:dyDescent="0.25">
      <c r="A109" s="583">
        <f>'הכנסות עצמיות'!A105</f>
        <v>97</v>
      </c>
      <c r="B109" s="584" t="str">
        <f>'הכנסות עצמיות'!B105</f>
        <v/>
      </c>
      <c r="C109" s="404" t="str">
        <f>IF(סיווג!Y117="אינו עומד בתנאי סף","",סיווג!Y117)</f>
        <v/>
      </c>
      <c r="D109" s="404" t="str">
        <f>IF(B109="","",סיווג!M117)</f>
        <v/>
      </c>
      <c r="E109" s="404" t="str">
        <f>סיווג!AB117</f>
        <v/>
      </c>
      <c r="F109" s="253" t="str">
        <f>IF(D109="","",IF(C109=פרמטרים!$B$8,IF(D109&lt;$C$9,0,INDEX($D$5:$D$10,MATCH(D109,$C$5:$C$10,-1))),IF(D109&lt;$A$9,0,INDEX($B$5:$B$10,MATCH(D109,$A$5:$A$10,-1))))*E109)</f>
        <v/>
      </c>
      <c r="G109" s="492" t="str">
        <f t="shared" ref="G109:G124" si="4">IF(ISERR(F109/$F$125),"",F109/$F$125)</f>
        <v/>
      </c>
    </row>
    <row r="110" spans="1:12" ht="15.75" x14ac:dyDescent="0.25">
      <c r="A110" s="583">
        <f>'הכנסות עצמיות'!A106</f>
        <v>98</v>
      </c>
      <c r="B110" s="584" t="str">
        <f>'הכנסות עצמיות'!B106</f>
        <v>שקד מוכיח</v>
      </c>
      <c r="C110" s="404" t="str">
        <f>IF(סיווג!Y118="אינו עומד בתנאי סף","",סיווג!Y118)</f>
        <v>יוצר מנוסה</v>
      </c>
      <c r="D110" s="404">
        <f>IF(B110="","",סיווג!M118)</f>
        <v>3.4</v>
      </c>
      <c r="E110" s="404">
        <f>סיווג!AB118</f>
        <v>1</v>
      </c>
      <c r="F110" s="253">
        <f>IF(D110="","",IF(C110=פרמטרים!$B$8,IF(D110&lt;$C$9,0,INDEX($D$5:$D$10,MATCH(D110,$C$5:$C$10,-1))),IF(D110&lt;$A$9,0,INDEX($B$5:$B$10,MATCH(D110,$A$5:$A$10,-1))))*E110)</f>
        <v>2</v>
      </c>
      <c r="G110" s="492">
        <f t="shared" si="4"/>
        <v>7.2290898575869305E-3</v>
      </c>
    </row>
    <row r="111" spans="1:12" ht="15.75" x14ac:dyDescent="0.25">
      <c r="A111" s="583">
        <f>'הכנסות עצמיות'!A107</f>
        <v>99</v>
      </c>
      <c r="B111" s="584" t="str">
        <f>'הכנסות עצמיות'!B107</f>
        <v>שרון הללי אסא</v>
      </c>
      <c r="C111" s="490" t="str">
        <f>IF(סיווג!Y119="אינו עומד בתנאי סף","",סיווג!Y119)</f>
        <v>יוצר מנוסה</v>
      </c>
      <c r="D111" s="404">
        <f>IF(B111="","",סיווג!M119)</f>
        <v>3</v>
      </c>
      <c r="E111" s="404">
        <f>סיווג!AB119</f>
        <v>1</v>
      </c>
      <c r="F111" s="253">
        <f>IF(D111="","",IF(C111=פרמטרים!$B$8,IF(D111&lt;$C$9,0,INDEX($D$5:$D$10,MATCH(D111,$C$5:$C$10,-1))),IF(D111&lt;$A$9,0,INDEX($B$5:$B$10,MATCH(D111,$A$5:$A$10,-1))))*E111)</f>
        <v>2</v>
      </c>
      <c r="G111" s="492">
        <f t="shared" si="4"/>
        <v>7.2290898575869305E-3</v>
      </c>
    </row>
    <row r="112" spans="1:12" ht="15.75" x14ac:dyDescent="0.25">
      <c r="A112" s="583">
        <f>'הכנסות עצמיות'!A108</f>
        <v>100</v>
      </c>
      <c r="B112" s="584" t="str">
        <f>'הכנסות עצמיות'!B108</f>
        <v>להקת ג'אם</v>
      </c>
      <c r="C112" s="404" t="str">
        <f>IF(סיווג!Y120="אינו עומד בתנאי סף","",סיווג!Y120)</f>
        <v>יוצר מנוסה</v>
      </c>
      <c r="D112" s="404">
        <f>IF(B112="","",סיווג!M120)</f>
        <v>4.8</v>
      </c>
      <c r="E112" s="404">
        <f>סיווג!AB120</f>
        <v>1</v>
      </c>
      <c r="F112" s="253">
        <f>IF(D112="","",IF(C112=פרמטרים!$B$8,IF(D112&lt;$C$9,0,INDEX($D$5:$D$10,MATCH(D112,$C$5:$C$10,-1))),IF(D112&lt;$A$9,0,INDEX($B$5:$B$10,MATCH(D112,$A$5:$A$10,-1))))*E112)</f>
        <v>5</v>
      </c>
      <c r="G112" s="492">
        <f t="shared" si="4"/>
        <v>1.8072724643967326E-2</v>
      </c>
    </row>
    <row r="113" spans="1:7" ht="15.75" x14ac:dyDescent="0.25">
      <c r="A113" s="583">
        <f>'הכנסות עצמיות'!A109</f>
        <v>101</v>
      </c>
      <c r="B113" s="584" t="str">
        <f>'הכנסות עצמיות'!B109</f>
        <v/>
      </c>
      <c r="C113" s="404" t="str">
        <f>IF(סיווג!Y121="אינו עומד בתנאי סף","",סיווג!Y121)</f>
        <v/>
      </c>
      <c r="D113" s="404" t="str">
        <f>IF(B113="","",סיווג!M121)</f>
        <v/>
      </c>
      <c r="E113" s="404" t="str">
        <f>סיווג!AB121</f>
        <v/>
      </c>
      <c r="F113" s="253" t="str">
        <f>IF(D113="","",IF(C113=פרמטרים!$B$8,IF(D113&lt;$C$9,0,INDEX($D$5:$D$10,MATCH(D113,$C$5:$C$10,-1))),IF(D113&lt;$A$9,0,INDEX($B$5:$B$10,MATCH(D113,$A$5:$A$10,-1))))*E113)</f>
        <v/>
      </c>
      <c r="G113" s="492" t="str">
        <f t="shared" si="4"/>
        <v/>
      </c>
    </row>
    <row r="114" spans="1:7" ht="15.75" x14ac:dyDescent="0.25">
      <c r="A114" s="583">
        <f>'הכנסות עצמיות'!A110</f>
        <v>102</v>
      </c>
      <c r="B114" s="584" t="str">
        <f>'הכנסות עצמיות'!B110</f>
        <v/>
      </c>
      <c r="C114" s="404" t="str">
        <f>IF(סיווג!Y122="אינו עומד בתנאי סף","",סיווג!Y122)</f>
        <v/>
      </c>
      <c r="D114" s="404" t="str">
        <f>IF(B114="","",סיווג!M122)</f>
        <v/>
      </c>
      <c r="E114" s="404" t="str">
        <f>סיווג!AB122</f>
        <v/>
      </c>
      <c r="F114" s="253" t="str">
        <f>IF(D114="","",IF(C114=פרמטרים!$B$8,IF(D114&lt;$C$9,0,INDEX($D$5:$D$10,MATCH(D114,$C$5:$C$10,-1))),IF(D114&lt;$A$9,0,INDEX($B$5:$B$10,MATCH(D114,$A$5:$A$10,-1))))*E114)</f>
        <v/>
      </c>
      <c r="G114" s="492" t="str">
        <f t="shared" si="4"/>
        <v/>
      </c>
    </row>
    <row r="115" spans="1:7" ht="15.75" x14ac:dyDescent="0.25">
      <c r="A115" s="583">
        <f>'הכנסות עצמיות'!A111</f>
        <v>103</v>
      </c>
      <c r="B115" s="584" t="str">
        <f>'הכנסות עצמיות'!B111</f>
        <v/>
      </c>
      <c r="C115" s="404" t="str">
        <f>IF(סיווג!Y123="אינו עומד בתנאי סף","",סיווג!Y123)</f>
        <v/>
      </c>
      <c r="D115" s="404" t="str">
        <f>IF(B115="","",סיווג!M123)</f>
        <v/>
      </c>
      <c r="E115" s="404" t="str">
        <f>סיווג!AB123</f>
        <v/>
      </c>
      <c r="F115" s="253" t="str">
        <f>IF(D115="","",IF(C115=פרמטרים!$B$8,IF(D115&lt;$C$9,0,INDEX($D$5:$D$10,MATCH(D115,$C$5:$C$10,-1))),IF(D115&lt;$A$9,0,INDEX($B$5:$B$10,MATCH(D115,$A$5:$A$10,-1))))*E115)</f>
        <v/>
      </c>
      <c r="G115" s="492" t="str">
        <f t="shared" si="4"/>
        <v/>
      </c>
    </row>
    <row r="116" spans="1:7" ht="15.75" x14ac:dyDescent="0.25">
      <c r="A116" s="583">
        <f>'הכנסות עצמיות'!A112</f>
        <v>104</v>
      </c>
      <c r="B116" s="584" t="str">
        <f>'הכנסות עצמיות'!B112</f>
        <v/>
      </c>
      <c r="C116" s="404" t="str">
        <f>IF(סיווג!Y124="אינו עומד בתנאי סף","",סיווג!Y124)</f>
        <v/>
      </c>
      <c r="D116" s="404" t="str">
        <f>IF(B116="","",סיווג!M124)</f>
        <v/>
      </c>
      <c r="E116" s="404" t="str">
        <f>סיווג!AB124</f>
        <v/>
      </c>
      <c r="F116" s="253" t="str">
        <f>IF(D116="","",IF(C116=פרמטרים!$B$8,IF(D116&lt;$C$9,0,INDEX($D$5:$D$10,MATCH(D116,$C$5:$C$10,-1))),IF(D116&lt;$A$9,0,INDEX($B$5:$B$10,MATCH(D116,$A$5:$A$10,-1))))*E116)</f>
        <v/>
      </c>
      <c r="G116" s="492" t="str">
        <f t="shared" si="4"/>
        <v/>
      </c>
    </row>
    <row r="117" spans="1:7" ht="15.75" x14ac:dyDescent="0.25">
      <c r="A117" s="583">
        <f>'הכנסות עצמיות'!A113</f>
        <v>105</v>
      </c>
      <c r="B117" s="584" t="str">
        <f>'הכנסות עצמיות'!B113</f>
        <v>מורן אברג'ל יצחקי</v>
      </c>
      <c r="C117" s="404" t="str">
        <f>IF(סיווג!Y125="אינו עומד בתנאי סף","",סיווג!Y125)</f>
        <v>יוצר מנוסה</v>
      </c>
      <c r="D117" s="404">
        <f>IF(B117="","",סיווג!M125)</f>
        <v>3.37</v>
      </c>
      <c r="E117" s="404">
        <f>סיווג!AB125</f>
        <v>1</v>
      </c>
      <c r="F117" s="253">
        <f>IF(D117="","",IF(C117=פרמטרים!$B$8,IF(D117&lt;$C$9,0,INDEX($D$5:$D$10,MATCH(D117,$C$5:$C$10,-1))),IF(D117&lt;$A$9,0,INDEX($B$5:$B$10,MATCH(D117,$A$5:$A$10,-1))))*E117)</f>
        <v>2</v>
      </c>
      <c r="G117" s="492">
        <f t="shared" si="4"/>
        <v>7.2290898575869305E-3</v>
      </c>
    </row>
    <row r="118" spans="1:7" ht="15.75" x14ac:dyDescent="0.25">
      <c r="A118" s="583">
        <f>'הכנסות עצמיות'!A114</f>
        <v>106</v>
      </c>
      <c r="B118" s="584" t="str">
        <f>'הכנסות עצמיות'!B114</f>
        <v>מיכל בן צבי</v>
      </c>
      <c r="C118" s="404" t="str">
        <f>IF(סיווג!Y126="אינו עומד בתנאי סף","",סיווג!Y126)</f>
        <v>יוצר מנוסה</v>
      </c>
      <c r="D118" s="404">
        <f>IF(B118="","",סיווג!M126)</f>
        <v>3.37</v>
      </c>
      <c r="E118" s="404">
        <f>סיווג!AB126</f>
        <v>1</v>
      </c>
      <c r="F118" s="253">
        <f>IF(D118="","",IF(C118=פרמטרים!$B$8,IF(D118&lt;$C$9,0,INDEX($D$5:$D$10,MATCH(D118,$C$5:$C$10,-1))),IF(D118&lt;$A$9,0,INDEX($B$5:$B$10,MATCH(D118,$A$5:$A$10,-1))))*E118)</f>
        <v>2</v>
      </c>
      <c r="G118" s="492">
        <f t="shared" si="4"/>
        <v>7.2290898575869305E-3</v>
      </c>
    </row>
    <row r="119" spans="1:7" ht="15.75" x14ac:dyDescent="0.25">
      <c r="A119" s="583">
        <f>'הכנסות עצמיות'!A115</f>
        <v>107</v>
      </c>
      <c r="B119" s="584" t="str">
        <f>'הכנסות עצמיות'!B115</f>
        <v>מיקה קופפר</v>
      </c>
      <c r="C119" s="404" t="str">
        <f>IF(סיווג!Y127="אינו עומד בתנאי סף","",סיווג!Y127)</f>
        <v>יוצר מנוסה</v>
      </c>
      <c r="D119" s="404">
        <f>IF(B119="","",סיווג!M127)</f>
        <v>4.0999999999999996</v>
      </c>
      <c r="E119" s="404">
        <f>סיווג!AB127</f>
        <v>1</v>
      </c>
      <c r="F119" s="253">
        <f>IF(D119="","",IF(C119=פרמטרים!$B$8,IF(D119&lt;$C$9,0,INDEX($D$5:$D$10,MATCH(D119,$C$5:$C$10,-1))),IF(D119&lt;$A$9,0,INDEX($B$5:$B$10,MATCH(D119,$A$5:$A$10,-1))))*E119)</f>
        <v>5</v>
      </c>
      <c r="G119" s="492">
        <f t="shared" si="4"/>
        <v>1.8072724643967326E-2</v>
      </c>
    </row>
    <row r="120" spans="1:7" ht="15.75" x14ac:dyDescent="0.25">
      <c r="A120" s="583">
        <f>'הכנסות עצמיות'!A116</f>
        <v>108</v>
      </c>
      <c r="B120" s="584" t="str">
        <f>'הכנסות עצמיות'!B116</f>
        <v/>
      </c>
      <c r="C120" s="404" t="str">
        <f>IF(סיווג!Y128="אינו עומד בתנאי סף","",סיווג!Y128)</f>
        <v/>
      </c>
      <c r="D120" s="404" t="str">
        <f>IF(B120="","",סיווג!M128)</f>
        <v/>
      </c>
      <c r="E120" s="404" t="str">
        <f>סיווג!AB128</f>
        <v/>
      </c>
      <c r="F120" s="253" t="str">
        <f>IF(D120="","",IF(C120=פרמטרים!$B$8,IF(D120&lt;$C$9,0,INDEX($D$5:$D$10,MATCH(D120,$C$5:$C$10,-1))),IF(D120&lt;$A$9,0,INDEX($B$5:$B$10,MATCH(D120,$A$5:$A$10,-1))))*E120)</f>
        <v/>
      </c>
      <c r="G120" s="492" t="str">
        <f t="shared" si="4"/>
        <v/>
      </c>
    </row>
    <row r="121" spans="1:7" ht="15.75" x14ac:dyDescent="0.25">
      <c r="A121" s="583">
        <f>'הכנסות עצמיות'!A117</f>
        <v>109</v>
      </c>
      <c r="B121" s="584" t="str">
        <f>'הכנסות עצמיות'!B117</f>
        <v>נועה שילה</v>
      </c>
      <c r="C121" s="404" t="str">
        <f>IF(סיווג!Y129="אינו עומד בתנאי סף","",סיווג!Y129)</f>
        <v>יוצר מנוסה</v>
      </c>
      <c r="D121" s="404">
        <f>IF(B121="","",סיווג!M129)</f>
        <v>3.1</v>
      </c>
      <c r="E121" s="404">
        <f>סיווג!AB129</f>
        <v>1</v>
      </c>
      <c r="F121" s="253">
        <f>IF(D121="","",IF(C121=פרמטרים!$B$8,IF(D121&lt;$C$9,0,INDEX($D$5:$D$10,MATCH(D121,$C$5:$C$10,-1))),IF(D121&lt;$A$9,0,INDEX($B$5:$B$10,MATCH(D121,$A$5:$A$10,-1))))*E121)</f>
        <v>2</v>
      </c>
      <c r="G121" s="492">
        <f t="shared" si="4"/>
        <v>7.2290898575869305E-3</v>
      </c>
    </row>
    <row r="122" spans="1:7" ht="15.75" x14ac:dyDescent="0.25">
      <c r="A122" s="583">
        <f>'הכנסות עצמיות'!A118</f>
        <v>110</v>
      </c>
      <c r="B122" s="584" t="str">
        <f>'הכנסות עצמיות'!B118</f>
        <v/>
      </c>
      <c r="C122" s="404" t="str">
        <f>IF(סיווג!Y130="אינו עומד בתנאי סף","",סיווג!Y130)</f>
        <v/>
      </c>
      <c r="D122" s="404" t="str">
        <f>IF(B122="","",סיווג!M130)</f>
        <v/>
      </c>
      <c r="E122" s="404" t="str">
        <f>סיווג!AB130</f>
        <v/>
      </c>
      <c r="F122" s="253" t="str">
        <f>IF(D122="","",IF(C122=פרמטרים!$B$8,IF(D122&lt;$C$9,0,INDEX($D$5:$D$10,MATCH(D122,$C$5:$C$10,-1))),IF(D122&lt;$A$9,0,INDEX($B$5:$B$10,MATCH(D122,$A$5:$A$10,-1))))*E122)</f>
        <v/>
      </c>
      <c r="G122" s="492" t="str">
        <f t="shared" si="4"/>
        <v/>
      </c>
    </row>
    <row r="123" spans="1:7" ht="15.75" x14ac:dyDescent="0.25">
      <c r="A123" s="583">
        <f>'הכנסות עצמיות'!A119</f>
        <v>111</v>
      </c>
      <c r="B123" s="584" t="str">
        <f>'הכנסות עצמיות'!B119</f>
        <v>עדי בוטרוס אמנויות הבמה (ע"ר)</v>
      </c>
      <c r="C123" s="404" t="str">
        <f>IF(סיווג!Y131="אינו עומד בתנאי סף","",סיווג!Y131)</f>
        <v>יוצר מנוסה</v>
      </c>
      <c r="D123" s="404">
        <f>IF(B123="","",סיווג!M131)</f>
        <v>3.9</v>
      </c>
      <c r="E123" s="404">
        <f>סיווג!AB131</f>
        <v>1</v>
      </c>
      <c r="F123" s="253">
        <f>IF(D123="","",IF(C123=פרמטרים!$B$8,IF(D123&lt;$C$9,0,INDEX($D$5:$D$10,MATCH(D123,$C$5:$C$10,-1))),IF(D123&lt;$A$9,0,INDEX($B$5:$B$10,MATCH(D123,$A$5:$A$10,-1))))*E123)</f>
        <v>3</v>
      </c>
      <c r="G123" s="492">
        <f t="shared" si="4"/>
        <v>1.0843634786380396E-2</v>
      </c>
    </row>
    <row r="124" spans="1:7" ht="15.75" x14ac:dyDescent="0.25">
      <c r="A124" s="583">
        <f>'הכנסות עצמיות'!A120</f>
        <v>112</v>
      </c>
      <c r="B124" s="584" t="str">
        <f>'הכנסות עצמיות'!B120</f>
        <v/>
      </c>
      <c r="C124" s="404" t="str">
        <f>IF(סיווג!Y132="אינו עומד בתנאי סף","",סיווג!Y132)</f>
        <v/>
      </c>
      <c r="D124" s="404" t="str">
        <f>IF(B124="","",סיווג!M132)</f>
        <v/>
      </c>
      <c r="E124" s="404" t="str">
        <f>סיווג!AB132</f>
        <v/>
      </c>
      <c r="F124" s="253" t="str">
        <f>IF(D124="","",IF(C124=פרמטרים!$B$8,IF(D124&lt;$C$9,0,INDEX($D$5:$D$10,MATCH(D124,$C$5:$C$10,-1))),IF(D124&lt;$A$9,0,INDEX($B$5:$B$10,MATCH(D124,$A$5:$A$10,-1))))*E124)</f>
        <v/>
      </c>
      <c r="G124" s="492" t="str">
        <f t="shared" si="4"/>
        <v/>
      </c>
    </row>
    <row r="125" spans="1:7" ht="16.5" thickBot="1" x14ac:dyDescent="0.3">
      <c r="A125" s="802" t="s">
        <v>41</v>
      </c>
      <c r="B125" s="803"/>
      <c r="C125" s="803"/>
      <c r="D125" s="803"/>
      <c r="E125" s="804"/>
      <c r="F125" s="594">
        <f>SUM(F13:F124)</f>
        <v>276.65999999999997</v>
      </c>
      <c r="G125" s="582">
        <f>SUM(G13:G124)</f>
        <v>1.0000000000000013</v>
      </c>
    </row>
    <row r="126" spans="1:7" ht="13.5" thickTop="1" x14ac:dyDescent="0.2"/>
  </sheetData>
  <sheetProtection algorithmName="SHA-512" hashValue="ofOhSHvwRzMJkzXec3u6ARuHze8GXaiiDY0Dlp9V6jrSpsEyNgMV/PhdPPjC1FvhncftinVpe7sO0S25jbYRHg==" saltValue="7g9RdfLQ3jIzT7RaHmaYGw==" spinCount="100000" sheet="1" scenarios="1" formatColumns="0" formatRows="0" autoFilter="0"/>
  <mergeCells count="13">
    <mergeCell ref="A3:A4"/>
    <mergeCell ref="B3:B4"/>
    <mergeCell ref="C3:C4"/>
    <mergeCell ref="D3:D4"/>
    <mergeCell ref="A125:E125"/>
    <mergeCell ref="A11:G11"/>
    <mergeCell ref="E1:F1"/>
    <mergeCell ref="G1:H1"/>
    <mergeCell ref="E2:F2"/>
    <mergeCell ref="G2:H2"/>
    <mergeCell ref="A2:B2"/>
    <mergeCell ref="C2:D2"/>
    <mergeCell ref="A1:D1"/>
  </mergeCells>
  <conditionalFormatting sqref="A5:A9">
    <cfRule type="containsBlanks" dxfId="141" priority="5">
      <formula>LEN(TRIM(A5))=0</formula>
    </cfRule>
  </conditionalFormatting>
  <conditionalFormatting sqref="B13:C13 C14:C110 B14:B124">
    <cfRule type="containsBlanks" dxfId="140" priority="2">
      <formula>LEN(TRIM(B13))=0</formula>
    </cfRule>
  </conditionalFormatting>
  <conditionalFormatting sqref="C5:C9">
    <cfRule type="containsBlanks" dxfId="139" priority="4">
      <formula>LEN(TRIM(C5))=0</formula>
    </cfRule>
  </conditionalFormatting>
  <conditionalFormatting sqref="C112:C124">
    <cfRule type="containsBlanks" dxfId="138" priority="1">
      <formula>LEN(TRIM(C112))=0</formula>
    </cfRule>
  </conditionalFormatting>
  <conditionalFormatting sqref="D13:G124">
    <cfRule type="containsBlanks" dxfId="137" priority="7">
      <formula>LEN(TRIM(D13))=0</formula>
    </cfRule>
  </conditionalFormatting>
  <conditionalFormatting sqref="G1:G2">
    <cfRule type="containsBlanks" dxfId="136" priority="28">
      <formula>LEN(TRIM(G1))=0</formula>
    </cfRule>
  </conditionalFormatting>
  <printOptions horizontalCentered="1"/>
  <pageMargins left="0.27559055118110237" right="0.19685039370078741" top="0.62992125984251968" bottom="0.47244094488188981" header="0.31496062992125984" footer="0.23622047244094491"/>
  <pageSetup paperSize="9" scale="35" orientation="portrait" horizontalDpi="1200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Worksheet______21">
    <tabColor theme="4" tint="-0.249977111117893"/>
    <pageSetUpPr fitToPage="1"/>
  </sheetPr>
  <dimension ref="A1:X131"/>
  <sheetViews>
    <sheetView rightToLeft="1" view="pageBreakPreview" topLeftCell="B1" zoomScale="75" zoomScaleNormal="100" zoomScaleSheetLayoutView="75" workbookViewId="0">
      <selection activeCell="B1" sqref="B1"/>
    </sheetView>
  </sheetViews>
  <sheetFormatPr defaultColWidth="9.140625" defaultRowHeight="12.75" x14ac:dyDescent="0.2"/>
  <cols>
    <col min="1" max="1" width="9.140625" style="1" hidden="1" customWidth="1"/>
    <col min="2" max="2" width="10" style="1" bestFit="1" customWidth="1"/>
    <col min="3" max="3" width="26.42578125" style="1" customWidth="1"/>
    <col min="4" max="4" width="8" style="1" customWidth="1"/>
    <col min="5" max="5" width="11.140625" style="1" customWidth="1"/>
    <col min="6" max="6" width="14.7109375" style="1" customWidth="1"/>
    <col min="7" max="7" width="16.140625" style="1" hidden="1" customWidth="1"/>
    <col min="8" max="8" width="10.28515625" style="1" customWidth="1"/>
    <col min="9" max="9" width="11.7109375" style="1" hidden="1" customWidth="1"/>
    <col min="10" max="10" width="12" style="1" customWidth="1"/>
    <col min="11" max="11" width="16.7109375" style="1" hidden="1" customWidth="1"/>
    <col min="12" max="12" width="13.42578125" style="1" customWidth="1"/>
    <col min="13" max="13" width="18.85546875" style="1" customWidth="1"/>
    <col min="14" max="14" width="16.140625" style="1" bestFit="1" customWidth="1"/>
    <col min="15" max="15" width="15.42578125" style="1" customWidth="1"/>
    <col min="16" max="18" width="12.140625" style="1" hidden="1" customWidth="1"/>
    <col min="19" max="19" width="19.140625" style="1" hidden="1" customWidth="1"/>
    <col min="20" max="20" width="27.42578125" style="1" hidden="1" customWidth="1"/>
    <col min="21" max="21" width="17.28515625" style="1" hidden="1" customWidth="1"/>
    <col min="22" max="22" width="0" style="1" hidden="1" customWidth="1"/>
    <col min="23" max="23" width="11.7109375" style="1" hidden="1" customWidth="1"/>
    <col min="24" max="24" width="12.42578125" style="1" hidden="1" customWidth="1"/>
    <col min="25" max="34" width="0" style="1" hidden="1" customWidth="1"/>
    <col min="35" max="16384" width="9.140625" style="1"/>
  </cols>
  <sheetData>
    <row r="1" spans="2:24" ht="34.5" customHeight="1" thickBot="1" x14ac:dyDescent="0.25">
      <c r="D1" s="769" t="str">
        <f>פרמטרים!C1</f>
        <v>שנת התקציב</v>
      </c>
      <c r="E1" s="809"/>
      <c r="F1" s="19">
        <f>פרמטרים!E1</f>
        <v>2025</v>
      </c>
      <c r="G1" s="19"/>
      <c r="L1" s="589"/>
      <c r="M1" s="589"/>
      <c r="N1" s="589"/>
      <c r="O1" s="589"/>
      <c r="P1" s="589"/>
      <c r="Q1" s="589"/>
      <c r="R1" s="589"/>
      <c r="S1" s="590"/>
    </row>
    <row r="2" spans="2:24" ht="49.5" customHeight="1" thickBot="1" x14ac:dyDescent="0.25">
      <c r="D2" s="769" t="str">
        <f>פרמטרים!C2</f>
        <v>תקציב</v>
      </c>
      <c r="E2" s="809"/>
      <c r="F2" s="19">
        <f>פרמטרים!E2</f>
        <v>8082764</v>
      </c>
      <c r="L2" s="589"/>
      <c r="M2" s="589"/>
      <c r="N2" s="589"/>
      <c r="O2" s="589"/>
      <c r="P2" s="589"/>
      <c r="Q2" s="589"/>
      <c r="R2" s="589"/>
      <c r="S2" s="590"/>
    </row>
    <row r="4" spans="2:24" ht="19.5" thickBot="1" x14ac:dyDescent="0.35">
      <c r="B4" s="587" t="s">
        <v>239</v>
      </c>
      <c r="C4" s="588"/>
      <c r="D4" s="588"/>
      <c r="E4" s="588"/>
      <c r="F4" s="588"/>
      <c r="G4" s="588"/>
      <c r="H4" s="588"/>
      <c r="I4" s="588"/>
      <c r="J4" s="588"/>
      <c r="K4" s="588"/>
      <c r="L4" s="588"/>
      <c r="M4" s="588"/>
      <c r="N4" s="588"/>
      <c r="O4" s="588"/>
      <c r="P4" s="588"/>
      <c r="Q4" s="588"/>
      <c r="R4" s="588"/>
      <c r="S4" s="588"/>
      <c r="T4" s="588"/>
      <c r="U4" s="588"/>
      <c r="V4" s="588"/>
      <c r="W4" s="588"/>
      <c r="X4" s="588"/>
    </row>
    <row r="5" spans="2:24" ht="48" thickBot="1" x14ac:dyDescent="0.25">
      <c r="B5" s="464" t="s">
        <v>206</v>
      </c>
      <c r="C5" s="36" t="s">
        <v>225</v>
      </c>
      <c r="D5" s="26" t="s">
        <v>226</v>
      </c>
      <c r="E5" s="489" t="str">
        <f>פרמטרים!F18</f>
        <v>מספר הרצות</v>
      </c>
      <c r="F5" s="489" t="str">
        <f>פרמטרים!F19</f>
        <v>מספר רקדנים ומבצעים בתשלום</v>
      </c>
      <c r="G5" s="26"/>
      <c r="H5" s="489" t="str">
        <f>פרמטרים!F20</f>
        <v>מיקום ההרצות</v>
      </c>
      <c r="I5" s="26"/>
      <c r="J5" s="489" t="str">
        <f>פרמטרים!F21</f>
        <v>הכנסות עצמיות</v>
      </c>
      <c r="K5" s="26"/>
      <c r="L5" s="489" t="str">
        <f>פרמטרים!F22</f>
        <v>רמה אומנותית</v>
      </c>
      <c r="M5" s="26" t="s">
        <v>240</v>
      </c>
      <c r="N5" s="26" t="s">
        <v>241</v>
      </c>
      <c r="O5" s="26" t="s">
        <v>242</v>
      </c>
      <c r="P5" s="26"/>
      <c r="Q5" s="26"/>
      <c r="R5" s="26"/>
      <c r="S5" s="26"/>
      <c r="T5" s="26"/>
      <c r="U5" s="26"/>
      <c r="V5" s="26"/>
      <c r="W5" s="26"/>
      <c r="X5" s="26"/>
    </row>
    <row r="6" spans="2:24" ht="16.5" thickBot="1" x14ac:dyDescent="0.25">
      <c r="B6" s="26"/>
      <c r="C6" s="22"/>
      <c r="D6" s="52"/>
      <c r="E6" s="54">
        <f>פרמטרים!G18</f>
        <v>0.3</v>
      </c>
      <c r="F6" s="55">
        <f>פרמטרים!G19</f>
        <v>0.2</v>
      </c>
      <c r="G6" s="55"/>
      <c r="H6" s="55">
        <f>פרמטרים!G20</f>
        <v>0.1</v>
      </c>
      <c r="I6" s="55"/>
      <c r="J6" s="55">
        <f>פרמטרים!G21</f>
        <v>0.2</v>
      </c>
      <c r="K6" s="55"/>
      <c r="L6" s="55">
        <f>פרמטרים!G22</f>
        <v>0.2</v>
      </c>
      <c r="M6" s="55">
        <f>SUM(E6:L6)</f>
        <v>1</v>
      </c>
      <c r="N6" s="55">
        <v>1</v>
      </c>
      <c r="O6" s="56">
        <f>פרמטרים!E2</f>
        <v>8082764</v>
      </c>
      <c r="P6" s="56"/>
      <c r="Q6" s="56"/>
      <c r="R6" s="56"/>
      <c r="S6" s="56"/>
      <c r="T6" s="56"/>
      <c r="U6" s="56"/>
      <c r="V6" s="56"/>
      <c r="W6" s="56"/>
      <c r="X6" s="289"/>
    </row>
    <row r="7" spans="2:24" ht="15.75" x14ac:dyDescent="0.25">
      <c r="B7" s="9">
        <f>ROW()-6</f>
        <v>1</v>
      </c>
      <c r="C7" s="414" t="str">
        <f>'רמה אומנותית'!B13</f>
        <v>סילביה דוראן</v>
      </c>
      <c r="D7" s="501">
        <f>IF(C7="","",סיווג!AB21)</f>
        <v>0.33</v>
      </c>
      <c r="E7" s="499">
        <f>הרצות!G9</f>
        <v>3.8246236222662638E-4</v>
      </c>
      <c r="F7" s="499">
        <f>'רקדנים ומבצעים'!I9</f>
        <v>9.6822462811372244E-4</v>
      </c>
      <c r="G7" s="499"/>
      <c r="H7" s="499">
        <f>'מיקום ההרצות'!J13</f>
        <v>2.4511078264615664E-4</v>
      </c>
      <c r="I7" s="499"/>
      <c r="J7" s="499">
        <f>'הכנסות עצמיות'!G9</f>
        <v>2.4380039500902419E-3</v>
      </c>
      <c r="K7" s="499"/>
      <c r="L7" s="499">
        <f>'רמה אומנותית'!G13</f>
        <v>2.3855996530036871E-3</v>
      </c>
      <c r="M7" s="53">
        <f t="shared" ref="M7:M70" si="0">IF(D7="","",SUMPRODUCT($E$6:$L$6,E7:L7))</f>
        <v>1.2976154331741339E-3</v>
      </c>
      <c r="N7" s="53">
        <f t="shared" ref="N7:N38" si="1">IF($C7="","",IFERROR(M7/$M$119,0))</f>
        <v>1.2976154331741333E-3</v>
      </c>
      <c r="O7" s="297">
        <f>IF(N7="","",N7*$O$6)</f>
        <v>10488.31930910429</v>
      </c>
      <c r="P7" s="290"/>
      <c r="Q7" s="53"/>
      <c r="R7" s="53"/>
      <c r="S7" s="303"/>
      <c r="T7" s="291"/>
      <c r="U7" s="292"/>
      <c r="V7" s="293"/>
      <c r="W7" s="294"/>
      <c r="X7" s="295"/>
    </row>
    <row r="8" spans="2:24" ht="15.75" x14ac:dyDescent="0.25">
      <c r="B8" s="9">
        <f t="shared" ref="B8:B71" si="2">ROW()-6</f>
        <v>2</v>
      </c>
      <c r="C8" s="414" t="str">
        <f>'רמה אומנותית'!B14</f>
        <v>רנה שינפלד</v>
      </c>
      <c r="D8" s="501">
        <f>IF(C8="","",סיווג!AB22)</f>
        <v>1</v>
      </c>
      <c r="E8" s="499">
        <f>הרצות!G10</f>
        <v>1.2169256979938111E-2</v>
      </c>
      <c r="F8" s="499">
        <f>'רקדנים ומבצעים'!I10</f>
        <v>8.802042073761113E-3</v>
      </c>
      <c r="G8" s="499"/>
      <c r="H8" s="499">
        <f>'מיקום ההרצות'!J14</f>
        <v>7.4275994741259581E-4</v>
      </c>
      <c r="I8" s="499"/>
      <c r="J8" s="499">
        <f>'הכנסות עצמיות'!G10</f>
        <v>4.2878465072057363E-3</v>
      </c>
      <c r="K8" s="499"/>
      <c r="L8" s="499">
        <f>'רמה אומנותית'!G14</f>
        <v>1.8072724643967326E-2</v>
      </c>
      <c r="M8" s="53">
        <f t="shared" si="0"/>
        <v>9.9575757337095287E-3</v>
      </c>
      <c r="N8" s="53">
        <f t="shared" si="1"/>
        <v>9.9575757337095235E-3</v>
      </c>
      <c r="O8" s="297">
        <f t="shared" ref="O8:O71" si="3">IF(N8="","",N8*$O$6)</f>
        <v>80484.734667700919</v>
      </c>
      <c r="P8" s="290"/>
      <c r="Q8" s="53"/>
      <c r="R8" s="53"/>
      <c r="S8" s="303"/>
      <c r="T8" s="296"/>
      <c r="U8" s="415"/>
      <c r="V8" s="416"/>
      <c r="W8" s="294"/>
      <c r="X8" s="297"/>
    </row>
    <row r="9" spans="2:24" ht="15.75" x14ac:dyDescent="0.25">
      <c r="B9" s="9">
        <f t="shared" si="2"/>
        <v>3</v>
      </c>
      <c r="C9" s="414" t="str">
        <f>'רמה אומנותית'!B15</f>
        <v>אבי קייזר וסרג'יו אנטוניניו</v>
      </c>
      <c r="D9" s="501">
        <f>IF(C9="","",סיווג!AB23)</f>
        <v>1</v>
      </c>
      <c r="E9" s="499">
        <f>הרצות!G11</f>
        <v>1.5646187545634713E-2</v>
      </c>
      <c r="F9" s="499">
        <f>'רקדנים ומבצעים'!I11</f>
        <v>2.9340140245870377E-3</v>
      </c>
      <c r="G9" s="499"/>
      <c r="H9" s="499">
        <f>'מיקום ההרצות'!J15</f>
        <v>4.4565596844755749E-3</v>
      </c>
      <c r="I9" s="499"/>
      <c r="J9" s="499">
        <f>'הכנסות עצמיות'!G11</f>
        <v>5.6623736565996298E-3</v>
      </c>
      <c r="K9" s="499"/>
      <c r="L9" s="499">
        <f>'רמה אומנותית'!G15</f>
        <v>7.2290898575869305E-3</v>
      </c>
      <c r="M9" s="53">
        <f t="shared" si="0"/>
        <v>8.3046077398926908E-3</v>
      </c>
      <c r="N9" s="53">
        <f t="shared" si="1"/>
        <v>8.3046077398926874E-3</v>
      </c>
      <c r="O9" s="297">
        <f t="shared" si="3"/>
        <v>67124.18447412597</v>
      </c>
      <c r="P9" s="290"/>
      <c r="Q9" s="53"/>
      <c r="R9" s="53"/>
      <c r="S9" s="303"/>
      <c r="T9" s="296"/>
      <c r="U9" s="415"/>
      <c r="V9" s="416"/>
      <c r="W9" s="294"/>
      <c r="X9" s="297"/>
    </row>
    <row r="10" spans="2:24" ht="15.75" x14ac:dyDescent="0.25">
      <c r="B10" s="9">
        <f t="shared" si="2"/>
        <v>4</v>
      </c>
      <c r="C10" s="414" t="str">
        <f>'רמה אומנותית'!B16</f>
        <v/>
      </c>
      <c r="D10" s="501" t="str">
        <f>IF(C10="","",סיווג!AB24)</f>
        <v/>
      </c>
      <c r="E10" s="499" t="str">
        <f>הרצות!G12</f>
        <v/>
      </c>
      <c r="F10" s="499" t="str">
        <f>'רקדנים ומבצעים'!I12</f>
        <v/>
      </c>
      <c r="G10" s="499"/>
      <c r="H10" s="499" t="str">
        <f>'מיקום ההרצות'!J16</f>
        <v/>
      </c>
      <c r="I10" s="499"/>
      <c r="J10" s="499" t="str">
        <f>'הכנסות עצמיות'!G12</f>
        <v/>
      </c>
      <c r="K10" s="499"/>
      <c r="L10" s="499" t="str">
        <f>'רמה אומנותית'!G16</f>
        <v/>
      </c>
      <c r="M10" s="53" t="str">
        <f t="shared" si="0"/>
        <v/>
      </c>
      <c r="N10" s="53" t="str">
        <f t="shared" si="1"/>
        <v/>
      </c>
      <c r="O10" s="297" t="str">
        <f t="shared" si="3"/>
        <v/>
      </c>
      <c r="P10" s="290"/>
      <c r="Q10" s="53"/>
      <c r="R10" s="53"/>
      <c r="S10" s="303"/>
      <c r="T10" s="296"/>
      <c r="U10" s="415"/>
      <c r="V10" s="416"/>
      <c r="W10" s="294"/>
      <c r="X10" s="297"/>
    </row>
    <row r="11" spans="2:24" ht="15.75" x14ac:dyDescent="0.25">
      <c r="B11" s="9">
        <f t="shared" si="2"/>
        <v>5</v>
      </c>
      <c r="C11" s="414" t="str">
        <f>'רמה אומנותית'!B17</f>
        <v>אדוה ירמיהו</v>
      </c>
      <c r="D11" s="501">
        <f>IF(C11="","",סיווג!AB25)</f>
        <v>1</v>
      </c>
      <c r="E11" s="499">
        <f>הרצות!G13</f>
        <v>6.3743727037771057E-3</v>
      </c>
      <c r="F11" s="499">
        <f>'רקדנים ומבצעים'!I13</f>
        <v>2.4939119208989821E-2</v>
      </c>
      <c r="G11" s="499"/>
      <c r="H11" s="499">
        <f>'מיקום ההרצות'!J17</f>
        <v>8.9131193689511497E-3</v>
      </c>
      <c r="I11" s="499"/>
      <c r="J11" s="499">
        <f>'הכנסות עצמיות'!G13</f>
        <v>1.3269761581120627E-2</v>
      </c>
      <c r="K11" s="499"/>
      <c r="L11" s="499">
        <f>'רמה אומנותית'!G17</f>
        <v>1.0843634786380396E-2</v>
      </c>
      <c r="M11" s="53">
        <f t="shared" si="0"/>
        <v>1.2614126863326415E-2</v>
      </c>
      <c r="N11" s="53">
        <f t="shared" si="1"/>
        <v>1.261412686332641E-2</v>
      </c>
      <c r="O11" s="297">
        <f t="shared" si="3"/>
        <v>101957.01050232763</v>
      </c>
      <c r="P11" s="290"/>
      <c r="Q11" s="53"/>
      <c r="R11" s="53"/>
      <c r="S11" s="303"/>
      <c r="T11" s="296"/>
      <c r="U11" s="415"/>
      <c r="V11" s="416"/>
      <c r="W11" s="294"/>
      <c r="X11" s="297"/>
    </row>
    <row r="12" spans="2:24" ht="15.75" x14ac:dyDescent="0.25">
      <c r="B12" s="9">
        <f t="shared" si="2"/>
        <v>6</v>
      </c>
      <c r="C12" s="414" t="str">
        <f>'רמה אומנותית'!B18</f>
        <v>אהרונה ישראל</v>
      </c>
      <c r="D12" s="501">
        <f>IF(C12="","",סיווג!AB26)</f>
        <v>1</v>
      </c>
      <c r="E12" s="499">
        <f>הרצות!G14</f>
        <v>4.6359074209288047E-3</v>
      </c>
      <c r="F12" s="499">
        <f>'רקדנים ומבצעים'!I14</f>
        <v>2.9340140245870377E-3</v>
      </c>
      <c r="G12" s="499"/>
      <c r="H12" s="499">
        <f>'מיקום ההרצות'!J18</f>
        <v>6.6848395267133619E-3</v>
      </c>
      <c r="I12" s="499"/>
      <c r="J12" s="499">
        <f>'הכנסות עצמיות'!G14</f>
        <v>4.1902269681074363E-3</v>
      </c>
      <c r="K12" s="499"/>
      <c r="L12" s="499">
        <f>'רמה אומנותית'!G18</f>
        <v>7.2290898575869305E-3</v>
      </c>
      <c r="M12" s="53">
        <f t="shared" si="0"/>
        <v>4.9299223490062586E-3</v>
      </c>
      <c r="N12" s="53">
        <f t="shared" si="1"/>
        <v>4.929922349006256E-3</v>
      </c>
      <c r="O12" s="297">
        <f t="shared" si="3"/>
        <v>39847.398885343202</v>
      </c>
      <c r="P12" s="290"/>
      <c r="Q12" s="53"/>
      <c r="R12" s="53"/>
      <c r="S12" s="303"/>
      <c r="T12" s="296"/>
      <c r="U12" s="415"/>
      <c r="V12" s="416"/>
      <c r="W12" s="294"/>
      <c r="X12" s="297"/>
    </row>
    <row r="13" spans="2:24" ht="15.75" x14ac:dyDescent="0.25">
      <c r="B13" s="9">
        <f t="shared" si="2"/>
        <v>7</v>
      </c>
      <c r="C13" s="414" t="str">
        <f>'רמה אומנותית'!B19</f>
        <v>אופיר יודילביץ</v>
      </c>
      <c r="D13" s="501">
        <f>IF(C13="","",סיווג!AB27)</f>
        <v>1</v>
      </c>
      <c r="E13" s="499">
        <f>הרצות!G15</f>
        <v>1.5066699118018615E-2</v>
      </c>
      <c r="F13" s="499">
        <f>'רקדנים ומבצעים'!I15</f>
        <v>7.3350350614675942E-3</v>
      </c>
      <c r="G13" s="499"/>
      <c r="H13" s="499">
        <f>'מיקום ההרצות'!J19</f>
        <v>1.5597958895664512E-2</v>
      </c>
      <c r="I13" s="499"/>
      <c r="J13" s="499">
        <f>'הכנסות עצמיות'!G15</f>
        <v>1.8173014874468998E-2</v>
      </c>
      <c r="K13" s="499"/>
      <c r="L13" s="499">
        <f>'רמה אומנותית'!G19</f>
        <v>1.0843634786380396E-2</v>
      </c>
      <c r="M13" s="53">
        <f t="shared" si="0"/>
        <v>1.3350142569435433E-2</v>
      </c>
      <c r="N13" s="53">
        <f t="shared" si="1"/>
        <v>1.3350142569435428E-2</v>
      </c>
      <c r="O13" s="297">
        <f t="shared" si="3"/>
        <v>107906.05175510018</v>
      </c>
      <c r="P13" s="290"/>
      <c r="Q13" s="53"/>
      <c r="R13" s="53"/>
      <c r="S13" s="303"/>
      <c r="T13" s="296"/>
      <c r="U13" s="415"/>
      <c r="V13" s="416"/>
      <c r="W13" s="294"/>
      <c r="X13" s="297"/>
    </row>
    <row r="14" spans="2:24" ht="15.75" x14ac:dyDescent="0.25">
      <c r="B14" s="9">
        <f t="shared" si="2"/>
        <v>8</v>
      </c>
      <c r="C14" s="414" t="str">
        <f>'רמה אומנותית'!B20</f>
        <v>אור מרין ואורן נחום</v>
      </c>
      <c r="D14" s="501">
        <f>IF(C14="","",סיווג!AB28)</f>
        <v>1</v>
      </c>
      <c r="E14" s="499">
        <f>הרצות!G16</f>
        <v>9.2718148418576094E-3</v>
      </c>
      <c r="F14" s="499">
        <f>'רקדנים ומבצעים'!I16</f>
        <v>4.4010210368805565E-3</v>
      </c>
      <c r="G14" s="499"/>
      <c r="H14" s="499">
        <f>'מיקום ההרצות'!J20</f>
        <v>1.4855198948251916E-3</v>
      </c>
      <c r="I14" s="499"/>
      <c r="J14" s="499">
        <f>'הכנסות עצמיות'!G16</f>
        <v>2.2856734302070737E-2</v>
      </c>
      <c r="K14" s="499"/>
      <c r="L14" s="499">
        <f>'רמה אומנותית'!G20</f>
        <v>7.2290898575869305E-3</v>
      </c>
      <c r="M14" s="53">
        <f t="shared" si="0"/>
        <v>9.8274654813474468E-3</v>
      </c>
      <c r="N14" s="53">
        <f t="shared" si="1"/>
        <v>9.8274654813474416E-3</v>
      </c>
      <c r="O14" s="297">
        <f t="shared" si="3"/>
        <v>79433.084203877777</v>
      </c>
      <c r="P14" s="290"/>
      <c r="Q14" s="53"/>
      <c r="R14" s="53"/>
      <c r="S14" s="303"/>
      <c r="T14" s="296"/>
      <c r="U14" s="415"/>
      <c r="V14" s="416"/>
      <c r="W14" s="294"/>
      <c r="X14" s="297"/>
    </row>
    <row r="15" spans="2:24" ht="15.75" x14ac:dyDescent="0.25">
      <c r="B15" s="9">
        <f t="shared" si="2"/>
        <v>9</v>
      </c>
      <c r="C15" s="414" t="str">
        <f>'רמה אומנותית'!B21</f>
        <v>אורי שפיר</v>
      </c>
      <c r="D15" s="501">
        <f>IF(C15="","",סיווג!AB29)</f>
        <v>1</v>
      </c>
      <c r="E15" s="499">
        <f>הרצות!G17</f>
        <v>1.7964141256099117E-2</v>
      </c>
      <c r="F15" s="499">
        <f>'רקדנים ומבצעים'!I17</f>
        <v>1.3203063110641669E-2</v>
      </c>
      <c r="G15" s="499"/>
      <c r="H15" s="499">
        <f>'מיקום ההרצות'!J21</f>
        <v>1.7826238737902299E-2</v>
      </c>
      <c r="I15" s="499"/>
      <c r="J15" s="499">
        <f>'הכנסות עצמיות'!G17</f>
        <v>9.9999107111508924E-3</v>
      </c>
      <c r="K15" s="499"/>
      <c r="L15" s="499">
        <f>'רמה אומנותית'!G21</f>
        <v>1.0843634786380396E-2</v>
      </c>
      <c r="M15" s="53">
        <f t="shared" si="0"/>
        <v>1.3981187972254555E-2</v>
      </c>
      <c r="N15" s="53">
        <f t="shared" si="1"/>
        <v>1.3981187972254549E-2</v>
      </c>
      <c r="O15" s="297">
        <f t="shared" si="3"/>
        <v>113006.64281937206</v>
      </c>
      <c r="P15" s="290"/>
      <c r="Q15" s="53"/>
      <c r="R15" s="53"/>
      <c r="S15" s="303"/>
      <c r="T15" s="296"/>
      <c r="U15" s="415"/>
      <c r="V15" s="416"/>
      <c r="W15" s="294"/>
      <c r="X15" s="297"/>
    </row>
    <row r="16" spans="2:24" ht="15.75" x14ac:dyDescent="0.25">
      <c r="B16" s="9">
        <f t="shared" si="2"/>
        <v>10</v>
      </c>
      <c r="C16" s="414" t="str">
        <f>'רמה אומנותית'!B22</f>
        <v>אורלי פורטל</v>
      </c>
      <c r="D16" s="501">
        <f>IF(C16="","",סיווג!AB30)</f>
        <v>1</v>
      </c>
      <c r="E16" s="499">
        <f>הרצות!G18</f>
        <v>1.3907722262786413E-2</v>
      </c>
      <c r="F16" s="499">
        <f>'רקדנים ומבצעים'!I18</f>
        <v>2.6406126221283337E-2</v>
      </c>
      <c r="G16" s="499"/>
      <c r="H16" s="499">
        <f>'מיקום ההרצות'!J22</f>
        <v>1.8568998685314895E-2</v>
      </c>
      <c r="I16" s="499"/>
      <c r="J16" s="499">
        <f>'הכנסות עצמיות'!G18</f>
        <v>1.7464319040060242E-2</v>
      </c>
      <c r="K16" s="499"/>
      <c r="L16" s="499">
        <f>'רמה אומנותית'!G22</f>
        <v>1.8072724643967326E-2</v>
      </c>
      <c r="M16" s="53">
        <f t="shared" si="0"/>
        <v>1.8417850528429595E-2</v>
      </c>
      <c r="N16" s="53">
        <f t="shared" si="1"/>
        <v>1.8417850528429588E-2</v>
      </c>
      <c r="O16" s="297">
        <f t="shared" si="3"/>
        <v>148867.13920857164</v>
      </c>
      <c r="P16" s="290"/>
      <c r="Q16" s="53"/>
      <c r="R16" s="53"/>
      <c r="S16" s="303"/>
      <c r="T16" s="296"/>
      <c r="U16" s="415"/>
      <c r="V16" s="416"/>
      <c r="W16" s="294"/>
      <c r="X16" s="297"/>
    </row>
    <row r="17" spans="2:24" ht="15.75" x14ac:dyDescent="0.25">
      <c r="B17" s="9">
        <f t="shared" si="2"/>
        <v>11</v>
      </c>
      <c r="C17" s="414" t="str">
        <f>'רמה אומנותית'!B23</f>
        <v/>
      </c>
      <c r="D17" s="501" t="str">
        <f>IF(C17="","",סיווג!AB31)</f>
        <v/>
      </c>
      <c r="E17" s="499" t="str">
        <f>הרצות!G19</f>
        <v/>
      </c>
      <c r="F17" s="499" t="str">
        <f>'רקדנים ומבצעים'!I19</f>
        <v/>
      </c>
      <c r="G17" s="499"/>
      <c r="H17" s="499" t="str">
        <f>'מיקום ההרצות'!J23</f>
        <v/>
      </c>
      <c r="I17" s="499"/>
      <c r="J17" s="499" t="str">
        <f>'הכנסות עצמיות'!G19</f>
        <v/>
      </c>
      <c r="K17" s="499"/>
      <c r="L17" s="499" t="str">
        <f>'רמה אומנותית'!G23</f>
        <v/>
      </c>
      <c r="M17" s="53" t="str">
        <f t="shared" si="0"/>
        <v/>
      </c>
      <c r="N17" s="53" t="str">
        <f t="shared" si="1"/>
        <v/>
      </c>
      <c r="O17" s="297" t="str">
        <f t="shared" si="3"/>
        <v/>
      </c>
      <c r="P17" s="290"/>
      <c r="Q17" s="53"/>
      <c r="R17" s="53"/>
      <c r="S17" s="303"/>
      <c r="T17" s="296"/>
      <c r="U17" s="415"/>
      <c r="V17" s="416"/>
      <c r="W17" s="294"/>
      <c r="X17" s="297"/>
    </row>
    <row r="18" spans="2:24" ht="15.75" x14ac:dyDescent="0.25">
      <c r="B18" s="9">
        <f t="shared" si="2"/>
        <v>12</v>
      </c>
      <c r="C18" s="414" t="str">
        <f>'רמה אומנותית'!B24</f>
        <v>אורין יוחנן</v>
      </c>
      <c r="D18" s="501">
        <f>IF(C18="","",סיווג!AB32)</f>
        <v>1</v>
      </c>
      <c r="E18" s="499">
        <f>הרצות!G20</f>
        <v>4.6359074209288047E-3</v>
      </c>
      <c r="F18" s="499">
        <f>'רקדנים ומבצעים'!I20</f>
        <v>2.9340140245870377E-3</v>
      </c>
      <c r="G18" s="499"/>
      <c r="H18" s="499">
        <f>'מיקום ההרצות'!J24</f>
        <v>3.7137997370629786E-3</v>
      </c>
      <c r="I18" s="499"/>
      <c r="J18" s="499">
        <f>'הכנסות עצמיות'!G20</f>
        <v>7.0254139955657898E-3</v>
      </c>
      <c r="K18" s="499"/>
      <c r="L18" s="499">
        <f>'רמה אומנותית'!G24</f>
        <v>1.8072724643967326E-2</v>
      </c>
      <c r="M18" s="53">
        <f t="shared" si="0"/>
        <v>7.36858273280897E-3</v>
      </c>
      <c r="N18" s="53">
        <f t="shared" si="1"/>
        <v>7.3685827328089665E-3</v>
      </c>
      <c r="O18" s="297">
        <f t="shared" si="3"/>
        <v>59558.515243769936</v>
      </c>
      <c r="P18" s="290"/>
      <c r="Q18" s="53"/>
      <c r="R18" s="53"/>
      <c r="S18" s="303"/>
      <c r="T18" s="296"/>
      <c r="U18" s="415"/>
      <c r="V18" s="416"/>
      <c r="W18" s="294"/>
      <c r="X18" s="297"/>
    </row>
    <row r="19" spans="2:24" ht="15.75" x14ac:dyDescent="0.25">
      <c r="B19" s="9">
        <f t="shared" si="2"/>
        <v>13</v>
      </c>
      <c r="C19" s="414" t="str">
        <f>'רמה אומנותית'!B25</f>
        <v>איריס ארז</v>
      </c>
      <c r="D19" s="501">
        <f>IF(C19="","",סיווג!AB33)</f>
        <v>1</v>
      </c>
      <c r="E19" s="499">
        <f>הרצות!G21</f>
        <v>1.043079169708981E-2</v>
      </c>
      <c r="F19" s="499">
        <f>'רקדנים ומבצעים'!I21</f>
        <v>6.1614294516327793E-2</v>
      </c>
      <c r="G19" s="499"/>
      <c r="H19" s="499">
        <f>'מיקום ההרצות'!J25</f>
        <v>1.2626919106014128E-2</v>
      </c>
      <c r="I19" s="499"/>
      <c r="J19" s="499">
        <f>'הכנסות עצמיות'!G21</f>
        <v>7.4070843739952362E-3</v>
      </c>
      <c r="K19" s="499"/>
      <c r="L19" s="499">
        <f>'רמה אומנותית'!G25</f>
        <v>2.8916359430347722E-2</v>
      </c>
      <c r="M19" s="53">
        <f t="shared" si="0"/>
        <v>2.3979477083862506E-2</v>
      </c>
      <c r="N19" s="53">
        <f t="shared" si="1"/>
        <v>2.3979477083862496E-2</v>
      </c>
      <c r="O19" s="297">
        <f t="shared" si="3"/>
        <v>193820.45411226875</v>
      </c>
      <c r="P19" s="290"/>
      <c r="Q19" s="53"/>
      <c r="R19" s="53"/>
      <c r="S19" s="303"/>
      <c r="T19" s="296"/>
      <c r="U19" s="415"/>
      <c r="V19" s="416"/>
      <c r="W19" s="294"/>
      <c r="X19" s="297"/>
    </row>
    <row r="20" spans="2:24" ht="15.75" x14ac:dyDescent="0.25">
      <c r="B20" s="9">
        <f t="shared" si="2"/>
        <v>14</v>
      </c>
      <c r="C20" s="414" t="str">
        <f>'רמה אומנותית'!B26</f>
        <v/>
      </c>
      <c r="D20" s="501" t="str">
        <f>IF(C20="","",סיווג!AB34)</f>
        <v/>
      </c>
      <c r="E20" s="499" t="str">
        <f>הרצות!G22</f>
        <v/>
      </c>
      <c r="F20" s="499" t="str">
        <f>'רקדנים ומבצעים'!I22</f>
        <v/>
      </c>
      <c r="G20" s="499"/>
      <c r="H20" s="499" t="str">
        <f>'מיקום ההרצות'!J26</f>
        <v/>
      </c>
      <c r="I20" s="499"/>
      <c r="J20" s="499" t="str">
        <f>'הכנסות עצמיות'!G22</f>
        <v/>
      </c>
      <c r="K20" s="499"/>
      <c r="L20" s="499" t="str">
        <f>'רמה אומנותית'!G26</f>
        <v/>
      </c>
      <c r="M20" s="53" t="str">
        <f t="shared" si="0"/>
        <v/>
      </c>
      <c r="N20" s="53" t="str">
        <f t="shared" si="1"/>
        <v/>
      </c>
      <c r="O20" s="297" t="str">
        <f t="shared" si="3"/>
        <v/>
      </c>
      <c r="P20" s="290"/>
      <c r="Q20" s="53"/>
      <c r="R20" s="53"/>
      <c r="S20" s="303"/>
      <c r="T20" s="296"/>
      <c r="U20" s="415"/>
      <c r="V20" s="416"/>
      <c r="W20" s="294"/>
      <c r="X20" s="297"/>
    </row>
    <row r="21" spans="2:24" ht="15.75" x14ac:dyDescent="0.25">
      <c r="B21" s="9">
        <f t="shared" si="2"/>
        <v>15</v>
      </c>
      <c r="C21" s="414" t="str">
        <f>'רמה אומנותית'!B27</f>
        <v>ענבל אושמן</v>
      </c>
      <c r="D21" s="501">
        <f>IF(C21="","",סיווג!AB35)</f>
        <v>1</v>
      </c>
      <c r="E21" s="499">
        <f>הרצות!G23</f>
        <v>6.3743727037771057E-3</v>
      </c>
      <c r="F21" s="499">
        <f>'רקדנים ומבצעים'!I23</f>
        <v>1.4670070122935188E-2</v>
      </c>
      <c r="G21" s="499"/>
      <c r="H21" s="499">
        <f>'מיקום ההרצות'!J27</f>
        <v>7.4275994741259573E-3</v>
      </c>
      <c r="I21" s="499"/>
      <c r="J21" s="499">
        <f>'הכנסות עצמיות'!G23</f>
        <v>1.9534330356917255E-2</v>
      </c>
      <c r="K21" s="499"/>
      <c r="L21" s="499">
        <f>'רמה אומנותית'!G27</f>
        <v>7.2290898575869305E-3</v>
      </c>
      <c r="M21" s="53">
        <f t="shared" si="0"/>
        <v>1.0941769826033603E-2</v>
      </c>
      <c r="N21" s="53">
        <f t="shared" si="1"/>
        <v>1.0941769826033598E-2</v>
      </c>
      <c r="O21" s="297">
        <f t="shared" si="3"/>
        <v>88439.743246150625</v>
      </c>
      <c r="P21" s="290"/>
      <c r="Q21" s="53"/>
      <c r="R21" s="53"/>
      <c r="S21" s="303"/>
      <c r="T21" s="296"/>
      <c r="U21" s="415"/>
      <c r="V21" s="416"/>
      <c r="W21" s="294"/>
      <c r="X21" s="297"/>
    </row>
    <row r="22" spans="2:24" ht="15.75" x14ac:dyDescent="0.25">
      <c r="B22" s="9">
        <f t="shared" si="2"/>
        <v>16</v>
      </c>
      <c r="C22" s="414" t="str">
        <f>'רמה אומנותית'!B28</f>
        <v>אנדריאה מרטיני</v>
      </c>
      <c r="D22" s="501">
        <f>IF(C22="","",סיווג!AB36)</f>
        <v>1</v>
      </c>
      <c r="E22" s="499">
        <f>הרצות!G24</f>
        <v>6.9538611313932066E-3</v>
      </c>
      <c r="F22" s="499">
        <f>'רקדנים ומבצעים'!I24</f>
        <v>7.3350350614675942E-3</v>
      </c>
      <c r="G22" s="499"/>
      <c r="H22" s="499">
        <f>'מיקום ההרצות'!J28</f>
        <v>0</v>
      </c>
      <c r="I22" s="499"/>
      <c r="J22" s="499">
        <f>'הכנסות עצמיות'!G24</f>
        <v>2.0064558590335395E-2</v>
      </c>
      <c r="K22" s="499"/>
      <c r="L22" s="499">
        <f>'רמה אומנותית'!G28</f>
        <v>1.0843634786380396E-2</v>
      </c>
      <c r="M22" s="53">
        <f t="shared" si="0"/>
        <v>9.7348040270546395E-3</v>
      </c>
      <c r="N22" s="53">
        <f t="shared" si="1"/>
        <v>9.734804027054636E-3</v>
      </c>
      <c r="O22" s="297">
        <f t="shared" si="3"/>
        <v>78684.123536932238</v>
      </c>
      <c r="P22" s="290"/>
      <c r="Q22" s="53"/>
      <c r="R22" s="53"/>
      <c r="S22" s="303"/>
      <c r="T22" s="296"/>
      <c r="U22" s="415"/>
      <c r="V22" s="416"/>
      <c r="W22" s="294"/>
      <c r="X22" s="297"/>
    </row>
    <row r="23" spans="2:24" ht="15.75" x14ac:dyDescent="0.25">
      <c r="B23" s="9">
        <f t="shared" si="2"/>
        <v>17</v>
      </c>
      <c r="C23" s="414" t="str">
        <f>'רמה אומנותית'!B29</f>
        <v>אפרת רובין</v>
      </c>
      <c r="D23" s="501">
        <f>IF(C23="","",סיווג!AB37)</f>
        <v>1</v>
      </c>
      <c r="E23" s="499">
        <f>הרצות!G25</f>
        <v>1.1010280124705911E-2</v>
      </c>
      <c r="F23" s="499">
        <f>'רקדנים ומבצעים'!I25</f>
        <v>1.0269049086054631E-2</v>
      </c>
      <c r="G23" s="499"/>
      <c r="H23" s="499">
        <f>'מיקום ההרצות'!J29</f>
        <v>7.4275994741259581E-4</v>
      </c>
      <c r="I23" s="499"/>
      <c r="J23" s="499">
        <f>'הכנסות עצמיות'!G25</f>
        <v>4.4645892516784495E-3</v>
      </c>
      <c r="K23" s="499"/>
      <c r="L23" s="499">
        <f>'רמה אומנותית'!G29</f>
        <v>7.2290898575869305E-3</v>
      </c>
      <c r="M23" s="53">
        <f t="shared" si="0"/>
        <v>7.7699056712170348E-3</v>
      </c>
      <c r="N23" s="53">
        <f t="shared" si="1"/>
        <v>7.7699056712170313E-3</v>
      </c>
      <c r="O23" s="297">
        <f t="shared" si="3"/>
        <v>62802.313842708856</v>
      </c>
      <c r="P23" s="290"/>
      <c r="Q23" s="53"/>
      <c r="R23" s="53"/>
      <c r="S23" s="303"/>
      <c r="T23" s="296"/>
      <c r="U23" s="415"/>
      <c r="V23" s="416"/>
      <c r="W23" s="294"/>
      <c r="X23" s="297"/>
    </row>
    <row r="24" spans="2:24" ht="15.75" x14ac:dyDescent="0.25">
      <c r="B24" s="9">
        <f t="shared" si="2"/>
        <v>18</v>
      </c>
      <c r="C24" s="414" t="str">
        <f>'רמה אומנותית'!B30</f>
        <v>שרון צוקרמן</v>
      </c>
      <c r="D24" s="501">
        <f>IF(C24="","",סיווג!AB38)</f>
        <v>1</v>
      </c>
      <c r="E24" s="499">
        <f>הרצות!G26</f>
        <v>6.9538611313932066E-3</v>
      </c>
      <c r="F24" s="499">
        <f>'רקדנים ומבצעים'!I26</f>
        <v>8.802042073761113E-3</v>
      </c>
      <c r="G24" s="499"/>
      <c r="H24" s="499">
        <f>'מיקום ההרצות'!J30</f>
        <v>5.9420795793007665E-3</v>
      </c>
      <c r="I24" s="499"/>
      <c r="J24" s="499">
        <f>'הכנסות עצמיות'!G26</f>
        <v>1.2647381970756686E-2</v>
      </c>
      <c r="K24" s="499"/>
      <c r="L24" s="499">
        <f>'רמה אומנותית'!G30</f>
        <v>7.2290898575869305E-3</v>
      </c>
      <c r="M24" s="53">
        <f t="shared" si="0"/>
        <v>8.4160690777689857E-3</v>
      </c>
      <c r="N24" s="53">
        <f t="shared" si="1"/>
        <v>8.4160690777689822E-3</v>
      </c>
      <c r="O24" s="297">
        <f t="shared" si="3"/>
        <v>68025.100163304334</v>
      </c>
      <c r="P24" s="290"/>
      <c r="Q24" s="53"/>
      <c r="R24" s="53"/>
      <c r="S24" s="303"/>
      <c r="T24" s="296"/>
      <c r="U24" s="415"/>
      <c r="V24" s="416"/>
      <c r="W24" s="294"/>
      <c r="X24" s="297"/>
    </row>
    <row r="25" spans="2:24" ht="15.75" x14ac:dyDescent="0.25">
      <c r="B25" s="9">
        <f t="shared" si="2"/>
        <v>19</v>
      </c>
      <c r="C25" s="414" t="str">
        <f>'רמה אומנותית'!B31</f>
        <v>בשמת נוסן</v>
      </c>
      <c r="D25" s="501">
        <f>IF(C25="","",סיווג!AB39)</f>
        <v>1</v>
      </c>
      <c r="E25" s="499">
        <f>הרצות!G27</f>
        <v>8.6923264142415076E-3</v>
      </c>
      <c r="F25" s="499">
        <f>'רקדנים ומבצעים'!I27</f>
        <v>5.8680280491740754E-3</v>
      </c>
      <c r="G25" s="499"/>
      <c r="H25" s="499">
        <f>'מיקום ההרצות'!J31</f>
        <v>2.9710397896503832E-3</v>
      </c>
      <c r="I25" s="499"/>
      <c r="J25" s="499">
        <f>'הכנסות עצמיות'!G27</f>
        <v>4.602430976811238E-3</v>
      </c>
      <c r="K25" s="499"/>
      <c r="L25" s="499">
        <f>'רמה אומנותית'!G31</f>
        <v>1.8072724643967326E-2</v>
      </c>
      <c r="M25" s="53">
        <f t="shared" si="0"/>
        <v>8.6134386372280197E-3</v>
      </c>
      <c r="N25" s="53">
        <f t="shared" si="1"/>
        <v>8.6134386372280162E-3</v>
      </c>
      <c r="O25" s="297">
        <f t="shared" si="3"/>
        <v>69620.391733195662</v>
      </c>
      <c r="P25" s="290"/>
      <c r="Q25" s="53"/>
      <c r="R25" s="53"/>
      <c r="S25" s="303"/>
      <c r="T25" s="296"/>
      <c r="U25" s="415"/>
      <c r="V25" s="416"/>
      <c r="W25" s="294"/>
      <c r="X25" s="297"/>
    </row>
    <row r="26" spans="2:24" ht="15.75" x14ac:dyDescent="0.25">
      <c r="B26" s="9">
        <f t="shared" si="2"/>
        <v>20</v>
      </c>
      <c r="C26" s="414" t="str">
        <f>'רמה אומנותית'!B32</f>
        <v>גיל קרר</v>
      </c>
      <c r="D26" s="501">
        <f>IF(C26="","",סיווג!AB40)</f>
        <v>1</v>
      </c>
      <c r="E26" s="499">
        <f>הרצות!G28</f>
        <v>1.4487210690402513E-2</v>
      </c>
      <c r="F26" s="499">
        <f>'רקדנים ומבצעים'!I28</f>
        <v>8.802042073761113E-3</v>
      </c>
      <c r="G26" s="499"/>
      <c r="H26" s="499">
        <f>'מיקום ההרצות'!J32</f>
        <v>2.0797278527552681E-2</v>
      </c>
      <c r="I26" s="499"/>
      <c r="J26" s="499">
        <f>'הכנסות עצמיות'!G28</f>
        <v>1.7014755373160176E-2</v>
      </c>
      <c r="K26" s="499"/>
      <c r="L26" s="499">
        <f>'רמה אומנותית'!G32</f>
        <v>1.8072724643967326E-2</v>
      </c>
      <c r="M26" s="53">
        <f t="shared" si="0"/>
        <v>1.5203795478053743E-2</v>
      </c>
      <c r="N26" s="53">
        <f t="shared" si="1"/>
        <v>1.5203795478053736E-2</v>
      </c>
      <c r="O26" s="297">
        <f t="shared" si="3"/>
        <v>122888.69075337553</v>
      </c>
      <c r="P26" s="290"/>
      <c r="Q26" s="53"/>
      <c r="R26" s="53"/>
      <c r="S26" s="303"/>
      <c r="T26" s="296"/>
      <c r="U26" s="415"/>
      <c r="V26" s="416"/>
      <c r="W26" s="294"/>
      <c r="X26" s="297"/>
    </row>
    <row r="27" spans="2:24" ht="15.75" x14ac:dyDescent="0.25">
      <c r="B27" s="9">
        <f t="shared" si="2"/>
        <v>21</v>
      </c>
      <c r="C27" s="414" t="str">
        <f>'רמה אומנותית'!B33</f>
        <v>דינה תלם</v>
      </c>
      <c r="D27" s="501">
        <f>IF(C27="","",סיווג!AB41)</f>
        <v>1</v>
      </c>
      <c r="E27" s="499">
        <f>הרצות!G29</f>
        <v>2.3759025532260124E-2</v>
      </c>
      <c r="F27" s="499">
        <f>'רקדנים ומבצעים'!I29</f>
        <v>1.1736056098348151E-2</v>
      </c>
      <c r="G27" s="499"/>
      <c r="H27" s="499">
        <f>'מיקום ההרצות'!J33</f>
        <v>1.1141399211188936E-2</v>
      </c>
      <c r="I27" s="499"/>
      <c r="J27" s="499">
        <f>'הכנסות עצמיות'!G29</f>
        <v>1.3081678822519578E-2</v>
      </c>
      <c r="K27" s="499"/>
      <c r="L27" s="499">
        <f>'רמה אומנותית'!G33</f>
        <v>7.2290898575869305E-3</v>
      </c>
      <c r="M27" s="53">
        <f t="shared" si="0"/>
        <v>1.4651212536487861E-2</v>
      </c>
      <c r="N27" s="53">
        <f t="shared" si="1"/>
        <v>1.4651212536487854E-2</v>
      </c>
      <c r="O27" s="297">
        <f t="shared" si="3"/>
        <v>118422.29324627272</v>
      </c>
      <c r="P27" s="290"/>
      <c r="Q27" s="53"/>
      <c r="R27" s="53"/>
      <c r="S27" s="303"/>
      <c r="T27" s="296"/>
      <c r="U27" s="415"/>
      <c r="V27" s="416"/>
      <c r="W27" s="294"/>
      <c r="X27" s="297"/>
    </row>
    <row r="28" spans="2:24" ht="15.75" x14ac:dyDescent="0.25">
      <c r="B28" s="9">
        <f t="shared" si="2"/>
        <v>22</v>
      </c>
      <c r="C28" s="414" t="str">
        <f>'רמה אומנותית'!B34</f>
        <v>דנה יהלומי</v>
      </c>
      <c r="D28" s="501">
        <f>IF(C28="","",סיווג!AB42)</f>
        <v>1</v>
      </c>
      <c r="E28" s="499">
        <f>הרצות!G30</f>
        <v>9.2718148418576094E-3</v>
      </c>
      <c r="F28" s="499">
        <f>'רקדנים ומבצעים'!I30</f>
        <v>1.4670070122935188E-2</v>
      </c>
      <c r="G28" s="499"/>
      <c r="H28" s="499">
        <f>'מיקום ההרצות'!J34</f>
        <v>2.2282798422377874E-3</v>
      </c>
      <c r="I28" s="499"/>
      <c r="J28" s="499">
        <f>'הכנסות עצמיות'!G30</f>
        <v>1.6859885277297457E-2</v>
      </c>
      <c r="K28" s="499"/>
      <c r="L28" s="499">
        <f>'רמה אומנותית'!G34</f>
        <v>7.2290898575869305E-3</v>
      </c>
      <c r="M28" s="53">
        <f t="shared" si="0"/>
        <v>1.0756181488344977E-2</v>
      </c>
      <c r="N28" s="53">
        <f t="shared" si="1"/>
        <v>1.0756181488344972E-2</v>
      </c>
      <c r="O28" s="297">
        <f t="shared" si="3"/>
        <v>86939.676511461163</v>
      </c>
      <c r="P28" s="290"/>
      <c r="Q28" s="53"/>
      <c r="R28" s="53"/>
      <c r="S28" s="303"/>
      <c r="T28" s="296"/>
      <c r="U28" s="415"/>
      <c r="V28" s="416"/>
      <c r="W28" s="294"/>
      <c r="X28" s="297"/>
    </row>
    <row r="29" spans="2:24" ht="15.75" x14ac:dyDescent="0.25">
      <c r="B29" s="9">
        <f t="shared" si="2"/>
        <v>23</v>
      </c>
      <c r="C29" s="414" t="str">
        <f>'רמה אומנותית'!B35</f>
        <v>דנה רוטנברג</v>
      </c>
      <c r="D29" s="501">
        <f>IF(C29="","",סיווג!AB43)</f>
        <v>1</v>
      </c>
      <c r="E29" s="499">
        <f>הרצות!G31</f>
        <v>3.1292375091269427E-2</v>
      </c>
      <c r="F29" s="499">
        <f>'רקדנים ומבצעים'!I31</f>
        <v>1.0269049086054631E-2</v>
      </c>
      <c r="G29" s="499"/>
      <c r="H29" s="499">
        <f>'מיקום ההרצות'!J35</f>
        <v>2.1540038474965276E-2</v>
      </c>
      <c r="I29" s="499"/>
      <c r="J29" s="499">
        <f>'הכנסות עצמיות'!G31</f>
        <v>1.3180509431087895E-2</v>
      </c>
      <c r="K29" s="499"/>
      <c r="L29" s="499">
        <f>'רמה אומנותית'!G35</f>
        <v>7.2290898575869305E-3</v>
      </c>
      <c r="M29" s="53">
        <f t="shared" si="0"/>
        <v>1.7677446049823246E-2</v>
      </c>
      <c r="N29" s="53">
        <f t="shared" si="1"/>
        <v>1.7677446049823239E-2</v>
      </c>
      <c r="O29" s="297">
        <f t="shared" si="3"/>
        <v>142882.62454345348</v>
      </c>
      <c r="P29" s="290"/>
      <c r="Q29" s="53"/>
      <c r="R29" s="53"/>
      <c r="S29" s="303"/>
      <c r="T29" s="296"/>
      <c r="U29" s="415"/>
      <c r="V29" s="416"/>
      <c r="W29" s="294"/>
      <c r="X29" s="297"/>
    </row>
    <row r="30" spans="2:24" ht="15.75" x14ac:dyDescent="0.25">
      <c r="B30" s="9">
        <f t="shared" si="2"/>
        <v>24</v>
      </c>
      <c r="C30" s="414" t="str">
        <f>'רמה אומנותית'!B36</f>
        <v>דפי אלטבב</v>
      </c>
      <c r="D30" s="501">
        <f>IF(C30="","",סיווג!AB44)</f>
        <v>1</v>
      </c>
      <c r="E30" s="499">
        <f>הרצות!G32</f>
        <v>1.1589768552322011E-2</v>
      </c>
      <c r="F30" s="499">
        <f>'רקדנים ומבצעים'!I32</f>
        <v>1.6137077135228706E-2</v>
      </c>
      <c r="G30" s="499"/>
      <c r="H30" s="499">
        <f>'מיקום ההרצות'!J36</f>
        <v>1.7826238737902299E-2</v>
      </c>
      <c r="I30" s="499"/>
      <c r="J30" s="499">
        <f>'הכנסות עצמיות'!G32</f>
        <v>1.7151496126047494E-2</v>
      </c>
      <c r="K30" s="499"/>
      <c r="L30" s="499">
        <f>'רמה אומנותית'!G36</f>
        <v>1.0843634786380396E-2</v>
      </c>
      <c r="M30" s="53">
        <f t="shared" si="0"/>
        <v>1.4085996049018152E-2</v>
      </c>
      <c r="N30" s="53">
        <f t="shared" si="1"/>
        <v>1.4085996049018145E-2</v>
      </c>
      <c r="O30" s="297">
        <f t="shared" si="3"/>
        <v>113853.7817691461</v>
      </c>
      <c r="P30" s="290"/>
      <c r="Q30" s="53"/>
      <c r="R30" s="53"/>
      <c r="S30" s="303"/>
      <c r="T30" s="296"/>
      <c r="U30" s="415"/>
      <c r="V30" s="416"/>
      <c r="W30" s="294"/>
      <c r="X30" s="297"/>
    </row>
    <row r="31" spans="2:24" ht="15.75" x14ac:dyDescent="0.25">
      <c r="B31" s="9">
        <f t="shared" si="2"/>
        <v>25</v>
      </c>
      <c r="C31" s="414" t="str">
        <f>'רמה אומנותית'!B37</f>
        <v>הלל קוגן</v>
      </c>
      <c r="D31" s="501">
        <f>IF(C31="","",סיווג!AB45)</f>
        <v>1</v>
      </c>
      <c r="E31" s="499">
        <f>הרצות!G33</f>
        <v>2.9553909808421128E-2</v>
      </c>
      <c r="F31" s="499">
        <f>'רקדנים ומבצעים'!I33</f>
        <v>5.8680280491740754E-3</v>
      </c>
      <c r="G31" s="499"/>
      <c r="H31" s="499">
        <f>'מיקום ההרצות'!J37</f>
        <v>8.1703594215385526E-3</v>
      </c>
      <c r="I31" s="499"/>
      <c r="J31" s="499">
        <f>'הכנסות עצמיות'!G33</f>
        <v>1.3789420480982258E-2</v>
      </c>
      <c r="K31" s="499"/>
      <c r="L31" s="499">
        <f>'רמה אומנותית'!G37</f>
        <v>1.8072724643967326E-2</v>
      </c>
      <c r="M31" s="53">
        <f t="shared" si="0"/>
        <v>1.7229243519504927E-2</v>
      </c>
      <c r="N31" s="53">
        <f t="shared" si="1"/>
        <v>1.722924351950492E-2</v>
      </c>
      <c r="O31" s="297">
        <f t="shared" si="3"/>
        <v>139259.90926668767</v>
      </c>
      <c r="P31" s="290"/>
      <c r="Q31" s="53"/>
      <c r="R31" s="53"/>
      <c r="S31" s="303"/>
      <c r="T31" s="296"/>
      <c r="U31" s="415"/>
      <c r="V31" s="416"/>
      <c r="W31" s="294"/>
      <c r="X31" s="297"/>
    </row>
    <row r="32" spans="2:24" ht="15.75" x14ac:dyDescent="0.25">
      <c r="B32" s="9">
        <f t="shared" si="2"/>
        <v>26</v>
      </c>
      <c r="C32" s="414" t="str">
        <f>'רמה אומנותית'!B38</f>
        <v>אנאבל דביר</v>
      </c>
      <c r="D32" s="501">
        <f>IF(C32="","",סיווג!AB46)</f>
        <v>1</v>
      </c>
      <c r="E32" s="499">
        <f>הרצות!G34</f>
        <v>1.7964141256099117E-2</v>
      </c>
      <c r="F32" s="499">
        <f>'רקדנים ומבצעים'!I34</f>
        <v>1.4670070122935188E-2</v>
      </c>
      <c r="G32" s="499"/>
      <c r="H32" s="499">
        <f>'מיקום ההרצות'!J38</f>
        <v>2.3768318317203066E-2</v>
      </c>
      <c r="I32" s="499"/>
      <c r="J32" s="499">
        <f>'הכנסות עצמיות'!G34</f>
        <v>1.9255784378813458E-2</v>
      </c>
      <c r="K32" s="499"/>
      <c r="L32" s="499">
        <f>'רמה אומנותית'!G38</f>
        <v>7.2290898575869305E-3</v>
      </c>
      <c r="M32" s="53">
        <f t="shared" si="0"/>
        <v>1.5997063080417158E-2</v>
      </c>
      <c r="N32" s="53">
        <f t="shared" si="1"/>
        <v>1.5997063080417151E-2</v>
      </c>
      <c r="O32" s="297">
        <f t="shared" si="3"/>
        <v>129300.48557212485</v>
      </c>
      <c r="P32" s="290"/>
      <c r="Q32" s="53"/>
      <c r="R32" s="53"/>
      <c r="S32" s="303"/>
      <c r="T32" s="296"/>
      <c r="U32" s="415"/>
      <c r="V32" s="416"/>
      <c r="W32" s="294"/>
      <c r="X32" s="297"/>
    </row>
    <row r="33" spans="2:24" ht="15.75" x14ac:dyDescent="0.25">
      <c r="B33" s="9">
        <f t="shared" si="2"/>
        <v>27</v>
      </c>
      <c r="C33" s="414" t="str">
        <f>'רמה אומנותית'!B39</f>
        <v>יוסי ברג ועודד גרף</v>
      </c>
      <c r="D33" s="501">
        <f>IF(C33="","",סיווג!AB47)</f>
        <v>1</v>
      </c>
      <c r="E33" s="499">
        <f>הרצות!G35</f>
        <v>1.7964141256099117E-2</v>
      </c>
      <c r="F33" s="499">
        <f>'רקדנים ומבצעים'!I35</f>
        <v>1.1736056098348151E-2</v>
      </c>
      <c r="G33" s="499"/>
      <c r="H33" s="499">
        <f>'מיקום ההרצות'!J39</f>
        <v>1.039863926377634E-2</v>
      </c>
      <c r="I33" s="499"/>
      <c r="J33" s="499">
        <f>'הכנסות עצמיות'!G35</f>
        <v>2.110009638534921E-2</v>
      </c>
      <c r="K33" s="499"/>
      <c r="L33" s="499">
        <f>'רמה אומנותית'!G39</f>
        <v>1.8072724643967326E-2</v>
      </c>
      <c r="M33" s="53">
        <f t="shared" si="0"/>
        <v>1.6610881728740309E-2</v>
      </c>
      <c r="N33" s="53">
        <f t="shared" si="1"/>
        <v>1.6610881728740302E-2</v>
      </c>
      <c r="O33" s="297">
        <f t="shared" si="3"/>
        <v>134261.83684531986</v>
      </c>
      <c r="P33" s="290"/>
      <c r="Q33" s="53"/>
      <c r="R33" s="53"/>
      <c r="S33" s="303"/>
      <c r="T33" s="296"/>
      <c r="U33" s="415"/>
      <c r="V33" s="416"/>
      <c r="W33" s="294"/>
      <c r="X33" s="297"/>
    </row>
    <row r="34" spans="2:24" ht="15.75" x14ac:dyDescent="0.25">
      <c r="B34" s="9">
        <f t="shared" si="2"/>
        <v>28</v>
      </c>
      <c r="C34" s="414" t="str">
        <f>'רמה אומנותית'!B40</f>
        <v>נדין בומר</v>
      </c>
      <c r="D34" s="501">
        <f>IF(C34="","",סיווג!AB48)</f>
        <v>1</v>
      </c>
      <c r="E34" s="499">
        <f>הרצות!G36</f>
        <v>1.3907722262786413E-2</v>
      </c>
      <c r="F34" s="499">
        <f>'רקדנים ומבצעים'!I36</f>
        <v>1.6137077135228706E-2</v>
      </c>
      <c r="G34" s="499"/>
      <c r="H34" s="499">
        <f>'מיקום ההרצות'!J40</f>
        <v>2.2282798422377874E-3</v>
      </c>
      <c r="I34" s="499"/>
      <c r="J34" s="499">
        <f>'הכנסות עצמיות'!G36</f>
        <v>1.6953981705210255E-2</v>
      </c>
      <c r="K34" s="499"/>
      <c r="L34" s="499">
        <f>'רמה אומנותית'!G40</f>
        <v>7.2290898575869305E-3</v>
      </c>
      <c r="M34" s="53">
        <f t="shared" si="0"/>
        <v>1.2459174402664881E-2</v>
      </c>
      <c r="N34" s="53">
        <f t="shared" si="1"/>
        <v>1.2459174402664875E-2</v>
      </c>
      <c r="O34" s="297">
        <f t="shared" si="3"/>
        <v>100704.56633158115</v>
      </c>
      <c r="P34" s="290"/>
      <c r="Q34" s="53"/>
      <c r="R34" s="53"/>
      <c r="S34" s="303"/>
      <c r="T34" s="296"/>
      <c r="U34" s="415"/>
      <c r="V34" s="416"/>
      <c r="W34" s="294"/>
      <c r="X34" s="297"/>
    </row>
    <row r="35" spans="2:24" ht="15.75" x14ac:dyDescent="0.25">
      <c r="B35" s="9">
        <f t="shared" si="2"/>
        <v>29</v>
      </c>
      <c r="C35" s="414" t="str">
        <f>'רמה אומנותית'!B41</f>
        <v xml:space="preserve">להקת בלט פאנוב </v>
      </c>
      <c r="D35" s="501">
        <f>IF(C35="","",סיווג!AB49)</f>
        <v>1</v>
      </c>
      <c r="E35" s="499">
        <f>הרצות!G37</f>
        <v>4.2302655215975343E-2</v>
      </c>
      <c r="F35" s="499">
        <f>'רקדנים ומבצעים'!I37</f>
        <v>1.4670070122935188E-2</v>
      </c>
      <c r="G35" s="499"/>
      <c r="H35" s="499">
        <f>'מיקום ההרצות'!J41</f>
        <v>5.3478716213706895E-2</v>
      </c>
      <c r="I35" s="499"/>
      <c r="J35" s="499">
        <f>'הכנסות עצמיות'!G37</f>
        <v>1.8248945260331547E-2</v>
      </c>
      <c r="K35" s="499"/>
      <c r="L35" s="499">
        <f>'רמה אומנותית'!G41</f>
        <v>1.8072724643967326E-2</v>
      </c>
      <c r="M35" s="53">
        <f t="shared" si="0"/>
        <v>2.8237016191610106E-2</v>
      </c>
      <c r="N35" s="53">
        <f t="shared" si="1"/>
        <v>2.8237016191610093E-2</v>
      </c>
      <c r="O35" s="297">
        <f t="shared" si="3"/>
        <v>228233.13794096315</v>
      </c>
      <c r="P35" s="290"/>
      <c r="Q35" s="53"/>
      <c r="R35" s="53"/>
      <c r="S35" s="303"/>
      <c r="T35" s="296"/>
      <c r="U35" s="415"/>
      <c r="V35" s="416"/>
      <c r="W35" s="294"/>
      <c r="X35" s="297"/>
    </row>
    <row r="36" spans="2:24" ht="15.75" x14ac:dyDescent="0.25">
      <c r="B36" s="9">
        <f t="shared" si="2"/>
        <v>30</v>
      </c>
      <c r="C36" s="414" t="str">
        <f>'רמה אומנותית'!B42</f>
        <v/>
      </c>
      <c r="D36" s="501" t="str">
        <f>IF(C36="","",סיווג!AB50)</f>
        <v/>
      </c>
      <c r="E36" s="499" t="str">
        <f>הרצות!G38</f>
        <v/>
      </c>
      <c r="F36" s="499" t="str">
        <f>'רקדנים ומבצעים'!I38</f>
        <v/>
      </c>
      <c r="G36" s="499"/>
      <c r="H36" s="499" t="str">
        <f>'מיקום ההרצות'!J42</f>
        <v/>
      </c>
      <c r="I36" s="499"/>
      <c r="J36" s="499" t="str">
        <f>'הכנסות עצמיות'!G38</f>
        <v/>
      </c>
      <c r="K36" s="499"/>
      <c r="L36" s="499" t="str">
        <f>'רמה אומנותית'!G42</f>
        <v/>
      </c>
      <c r="M36" s="53" t="str">
        <f t="shared" si="0"/>
        <v/>
      </c>
      <c r="N36" s="53" t="str">
        <f t="shared" si="1"/>
        <v/>
      </c>
      <c r="O36" s="297" t="str">
        <f t="shared" si="3"/>
        <v/>
      </c>
      <c r="P36" s="290"/>
      <c r="Q36" s="53"/>
      <c r="R36" s="53"/>
      <c r="S36" s="303"/>
      <c r="T36" s="296"/>
      <c r="U36" s="415"/>
      <c r="V36" s="416"/>
      <c r="W36" s="294"/>
      <c r="X36" s="297"/>
    </row>
    <row r="37" spans="2:24" ht="15.75" x14ac:dyDescent="0.25">
      <c r="B37" s="9">
        <f t="shared" si="2"/>
        <v>31</v>
      </c>
      <c r="C37" s="414" t="str">
        <f>'רמה אומנותית'!B43</f>
        <v/>
      </c>
      <c r="D37" s="501" t="str">
        <f>IF(C37="","",סיווג!AB51)</f>
        <v/>
      </c>
      <c r="E37" s="499" t="str">
        <f>הרצות!G39</f>
        <v/>
      </c>
      <c r="F37" s="499" t="str">
        <f>'רקדנים ומבצעים'!I39</f>
        <v/>
      </c>
      <c r="G37" s="499"/>
      <c r="H37" s="499" t="str">
        <f>'מיקום ההרצות'!J43</f>
        <v/>
      </c>
      <c r="I37" s="499"/>
      <c r="J37" s="499" t="str">
        <f>'הכנסות עצמיות'!G39</f>
        <v/>
      </c>
      <c r="K37" s="499"/>
      <c r="L37" s="499" t="str">
        <f>'רמה אומנותית'!G43</f>
        <v/>
      </c>
      <c r="M37" s="53" t="str">
        <f t="shared" si="0"/>
        <v/>
      </c>
      <c r="N37" s="53" t="str">
        <f t="shared" si="1"/>
        <v/>
      </c>
      <c r="O37" s="297" t="str">
        <f t="shared" si="3"/>
        <v/>
      </c>
      <c r="P37" s="290"/>
      <c r="Q37" s="53"/>
      <c r="R37" s="53"/>
      <c r="S37" s="303"/>
      <c r="T37" s="296"/>
      <c r="U37" s="415"/>
      <c r="V37" s="416"/>
      <c r="W37" s="294"/>
      <c r="X37" s="297"/>
    </row>
    <row r="38" spans="2:24" ht="15.75" x14ac:dyDescent="0.25">
      <c r="B38" s="9">
        <f t="shared" si="2"/>
        <v>32</v>
      </c>
      <c r="C38" s="414" t="str">
        <f>'רמה אומנותית'!B44</f>
        <v>מיכל סממה</v>
      </c>
      <c r="D38" s="501">
        <f>IF(C38="","",סיווג!AB52)</f>
        <v>1</v>
      </c>
      <c r="E38" s="499">
        <f>הרצות!G40</f>
        <v>9.8513032694737095E-3</v>
      </c>
      <c r="F38" s="499">
        <f>'רקדנים ומבצעים'!I40</f>
        <v>5.8680280491740754E-3</v>
      </c>
      <c r="G38" s="499"/>
      <c r="H38" s="499">
        <f>'מיקום ההרצות'!J44</f>
        <v>2.9710397896503832E-3</v>
      </c>
      <c r="I38" s="499"/>
      <c r="J38" s="499">
        <f>'הכנסות עצמיות'!G40</f>
        <v>5.0303054904755565E-3</v>
      </c>
      <c r="K38" s="499"/>
      <c r="L38" s="499">
        <f>'רמה אומנותית'!G44</f>
        <v>7.2290898575869305E-3</v>
      </c>
      <c r="M38" s="53">
        <f t="shared" si="0"/>
        <v>6.8779796392544629E-3</v>
      </c>
      <c r="N38" s="53">
        <f t="shared" si="1"/>
        <v>6.8779796392544595E-3</v>
      </c>
      <c r="O38" s="297">
        <f t="shared" si="3"/>
        <v>55593.086220898935</v>
      </c>
      <c r="P38" s="290"/>
      <c r="Q38" s="53"/>
      <c r="R38" s="53"/>
      <c r="S38" s="303"/>
      <c r="T38" s="296"/>
      <c r="U38" s="415"/>
      <c r="V38" s="416"/>
      <c r="W38" s="294"/>
      <c r="X38" s="297"/>
    </row>
    <row r="39" spans="2:24" ht="15.75" x14ac:dyDescent="0.25">
      <c r="B39" s="9">
        <f t="shared" si="2"/>
        <v>33</v>
      </c>
      <c r="C39" s="414" t="str">
        <f>'רמה אומנותית'!B45</f>
        <v>מאיה ברינר</v>
      </c>
      <c r="D39" s="501">
        <f>IF(C39="","",סיווג!AB53)</f>
        <v>1</v>
      </c>
      <c r="E39" s="499">
        <f>הרצות!G41</f>
        <v>4.114367836074314E-2</v>
      </c>
      <c r="F39" s="499">
        <f>'רקדנים ומבצעים'!I41</f>
        <v>5.2812252442566675E-2</v>
      </c>
      <c r="G39" s="499"/>
      <c r="H39" s="499">
        <f>'מיקום ההרצות'!J45</f>
        <v>0.11364227195412716</v>
      </c>
      <c r="I39" s="499"/>
      <c r="J39" s="499">
        <f>'הכנסות עצמיות'!G41</f>
        <v>5.5569005154836463E-3</v>
      </c>
      <c r="K39" s="499"/>
      <c r="L39" s="499">
        <f>'רמה אומנותית'!G45</f>
        <v>1.8072724643967326E-2</v>
      </c>
      <c r="M39" s="53">
        <f t="shared" si="0"/>
        <v>3.8995706224039188E-2</v>
      </c>
      <c r="N39" s="53">
        <f t="shared" ref="N39:N70" si="4">IF($C39="","",IFERROR(M39/$M$119,0))</f>
        <v>3.8995706224039174E-2</v>
      </c>
      <c r="O39" s="297">
        <f t="shared" si="3"/>
        <v>315193.09042223979</v>
      </c>
      <c r="P39" s="290"/>
      <c r="Q39" s="53"/>
      <c r="R39" s="53"/>
      <c r="S39" s="303"/>
      <c r="T39" s="296"/>
      <c r="U39" s="415"/>
      <c r="V39" s="416"/>
      <c r="W39" s="294"/>
      <c r="X39" s="297"/>
    </row>
    <row r="40" spans="2:24" ht="15.75" x14ac:dyDescent="0.25">
      <c r="B40" s="9">
        <f t="shared" si="2"/>
        <v>34</v>
      </c>
      <c r="C40" s="414" t="str">
        <f>'רמה אומנותית'!B46</f>
        <v>מאיה מכלל גלפנד</v>
      </c>
      <c r="D40" s="501">
        <f>IF(C40="","",סיווג!AB54)</f>
        <v>1</v>
      </c>
      <c r="E40" s="499">
        <f>הרצות!G42</f>
        <v>7.5333495590093075E-3</v>
      </c>
      <c r="F40" s="499">
        <f>'רקדנים ומבצעים'!I42</f>
        <v>4.4010210368805565E-3</v>
      </c>
      <c r="G40" s="499"/>
      <c r="H40" s="499">
        <f>'מיקום ההרצות'!J46</f>
        <v>3.7137997370629786E-3</v>
      </c>
      <c r="I40" s="499"/>
      <c r="J40" s="499">
        <f>'הכנסות עצמיות'!G42</f>
        <v>2.4460300377597147E-3</v>
      </c>
      <c r="K40" s="499"/>
      <c r="L40" s="499">
        <f>'רמה אומנותית'!G46</f>
        <v>1.0843634786380396E-2</v>
      </c>
      <c r="M40" s="53">
        <f t="shared" si="0"/>
        <v>6.1695220136132236E-3</v>
      </c>
      <c r="N40" s="53">
        <f t="shared" si="4"/>
        <v>6.169522013613221E-3</v>
      </c>
      <c r="O40" s="297">
        <f t="shared" si="3"/>
        <v>49866.790428840453</v>
      </c>
      <c r="P40" s="290"/>
      <c r="Q40" s="53"/>
      <c r="R40" s="53"/>
      <c r="S40" s="303"/>
      <c r="T40" s="296"/>
      <c r="U40" s="415"/>
      <c r="V40" s="416"/>
      <c r="W40" s="294"/>
      <c r="X40" s="297"/>
    </row>
    <row r="41" spans="2:24" ht="15.75" x14ac:dyDescent="0.25">
      <c r="B41" s="9">
        <f t="shared" si="2"/>
        <v>35</v>
      </c>
      <c r="C41" s="414" t="str">
        <f>'רמה אומנותית'!B47</f>
        <v>מיה שטרן ותומר שרעבי</v>
      </c>
      <c r="D41" s="501">
        <f>IF(C41="","",סיווג!AB55)</f>
        <v>1</v>
      </c>
      <c r="E41" s="499">
        <f>הרצות!G43</f>
        <v>4.0564189933127038E-3</v>
      </c>
      <c r="F41" s="499">
        <f>'רקדנים ומבצעים'!I43</f>
        <v>4.4010210368805565E-3</v>
      </c>
      <c r="G41" s="499"/>
      <c r="H41" s="499">
        <f>'מיקום ההרצות'!J47</f>
        <v>2.9710397896503832E-3</v>
      </c>
      <c r="I41" s="499"/>
      <c r="J41" s="499">
        <f>'הכנסות עצמיות'!G43</f>
        <v>7.5467243537956251E-3</v>
      </c>
      <c r="K41" s="499"/>
      <c r="L41" s="499">
        <f>'רמה אומנותית'!G47</f>
        <v>7.2290898575869305E-3</v>
      </c>
      <c r="M41" s="53">
        <f t="shared" si="0"/>
        <v>5.3493967266114726E-3</v>
      </c>
      <c r="N41" s="53">
        <f t="shared" si="4"/>
        <v>5.34939672661147E-3</v>
      </c>
      <c r="O41" s="297">
        <f t="shared" si="3"/>
        <v>43237.911283573034</v>
      </c>
      <c r="P41" s="290"/>
      <c r="Q41" s="53"/>
      <c r="R41" s="53"/>
      <c r="S41" s="303"/>
      <c r="T41" s="296"/>
      <c r="U41" s="415"/>
      <c r="V41" s="416"/>
      <c r="W41" s="294"/>
      <c r="X41" s="297"/>
    </row>
    <row r="42" spans="2:24" ht="15.75" x14ac:dyDescent="0.25">
      <c r="B42" s="9">
        <f t="shared" si="2"/>
        <v>36</v>
      </c>
      <c r="C42" s="414" t="str">
        <f>'רמה אומנותית'!B48</f>
        <v>מיכאל גטמן</v>
      </c>
      <c r="D42" s="501">
        <f>IF(C42="","",סיווג!AB56)</f>
        <v>1</v>
      </c>
      <c r="E42" s="499">
        <f>הרצות!G44</f>
        <v>9.2718148418576094E-3</v>
      </c>
      <c r="F42" s="499">
        <f>'רקדנים ומבצעים'!I44</f>
        <v>1.1736056098348151E-2</v>
      </c>
      <c r="G42" s="499"/>
      <c r="H42" s="499">
        <f>'מיקום ההרצות'!J48</f>
        <v>8.9131193689511497E-3</v>
      </c>
      <c r="I42" s="499"/>
      <c r="J42" s="499">
        <f>'הכנסות עצמיות'!G44</f>
        <v>1.8568520804116511E-2</v>
      </c>
      <c r="K42" s="499"/>
      <c r="L42" s="499">
        <f>'רמה אומנותית'!G48</f>
        <v>1.8072724643967326E-2</v>
      </c>
      <c r="M42" s="53">
        <f t="shared" si="0"/>
        <v>1.3348316698738797E-2</v>
      </c>
      <c r="N42" s="53">
        <f t="shared" si="4"/>
        <v>1.3348316698738791E-2</v>
      </c>
      <c r="O42" s="297">
        <f t="shared" si="3"/>
        <v>107891.29367316475</v>
      </c>
      <c r="P42" s="290"/>
      <c r="Q42" s="53"/>
      <c r="R42" s="53"/>
      <c r="S42" s="303"/>
      <c r="T42" s="296"/>
      <c r="U42" s="415"/>
      <c r="V42" s="416"/>
      <c r="W42" s="294"/>
      <c r="X42" s="297"/>
    </row>
    <row r="43" spans="2:24" ht="15.75" x14ac:dyDescent="0.25">
      <c r="B43" s="9">
        <f t="shared" si="2"/>
        <v>37</v>
      </c>
      <c r="C43" s="414" t="str">
        <f>'רמה אומנותית'!B49</f>
        <v>מיכל הרמן</v>
      </c>
      <c r="D43" s="501">
        <f>IF(C43="","",סיווג!AB57)</f>
        <v>1</v>
      </c>
      <c r="E43" s="499">
        <f>הרצות!G45</f>
        <v>4.0564189933127038E-3</v>
      </c>
      <c r="F43" s="499">
        <f>'רקדנים ומבצעים'!I45</f>
        <v>2.9340140245870377E-3</v>
      </c>
      <c r="G43" s="499"/>
      <c r="H43" s="499">
        <f>'מיקום ההרצות'!J49</f>
        <v>4.4565596844755749E-3</v>
      </c>
      <c r="I43" s="499"/>
      <c r="J43" s="499">
        <f>'הכנסות עצמיות'!G45</f>
        <v>3.156083737937881E-3</v>
      </c>
      <c r="K43" s="499"/>
      <c r="L43" s="499">
        <f>'רמה אומנותית'!G49</f>
        <v>1.0843634786380396E-2</v>
      </c>
      <c r="M43" s="53">
        <f t="shared" si="0"/>
        <v>5.0493281762224312E-3</v>
      </c>
      <c r="N43" s="53">
        <f t="shared" si="4"/>
        <v>5.0493281762224286E-3</v>
      </c>
      <c r="O43" s="297">
        <f t="shared" si="3"/>
        <v>40812.528006956301</v>
      </c>
      <c r="P43" s="290"/>
      <c r="Q43" s="53"/>
      <c r="R43" s="53"/>
      <c r="S43" s="303"/>
      <c r="T43" s="296"/>
      <c r="U43" s="415"/>
      <c r="V43" s="416"/>
      <c r="W43" s="294"/>
      <c r="X43" s="297"/>
    </row>
    <row r="44" spans="2:24" ht="15.75" x14ac:dyDescent="0.25">
      <c r="B44" s="9">
        <f t="shared" si="2"/>
        <v>38</v>
      </c>
      <c r="C44" s="414" t="str">
        <f>'רמה אומנותית'!B50</f>
        <v>מירב דגן</v>
      </c>
      <c r="D44" s="501">
        <f>IF(C44="","",סיווג!AB58)</f>
        <v>1</v>
      </c>
      <c r="E44" s="499">
        <f>הרצות!G46</f>
        <v>6.3743727037771057E-3</v>
      </c>
      <c r="F44" s="499">
        <f>'רקדנים ומבצעים'!I46</f>
        <v>1.1736056098348151E-2</v>
      </c>
      <c r="G44" s="499"/>
      <c r="H44" s="499">
        <f>'מיקום ההרצות'!J50</f>
        <v>1.2626919106014128E-2</v>
      </c>
      <c r="I44" s="499"/>
      <c r="J44" s="499">
        <f>'הכנסות עצמיות'!G46</f>
        <v>7.1631089243991827E-3</v>
      </c>
      <c r="K44" s="499"/>
      <c r="L44" s="499">
        <f>'רמה אומנותית'!G50</f>
        <v>1.8072724643967326E-2</v>
      </c>
      <c r="M44" s="53">
        <f t="shared" si="0"/>
        <v>1.0569381655077476E-2</v>
      </c>
      <c r="N44" s="53">
        <f t="shared" si="4"/>
        <v>1.0569381655077471E-2</v>
      </c>
      <c r="O44" s="297">
        <f t="shared" si="3"/>
        <v>85429.817543920595</v>
      </c>
      <c r="P44" s="290"/>
      <c r="Q44" s="53"/>
      <c r="R44" s="53"/>
      <c r="S44" s="303"/>
      <c r="T44" s="296"/>
      <c r="U44" s="415"/>
      <c r="V44" s="416"/>
      <c r="W44" s="294"/>
      <c r="X44" s="297"/>
    </row>
    <row r="45" spans="2:24" ht="15.75" x14ac:dyDescent="0.25">
      <c r="B45" s="9">
        <f t="shared" si="2"/>
        <v>39</v>
      </c>
      <c r="C45" s="414" t="str">
        <f>'רמה אומנותית'!B51</f>
        <v>תמר לם ודיוויד קרן</v>
      </c>
      <c r="D45" s="501">
        <f>IF(C45="","",סיווג!AB59)</f>
        <v>1</v>
      </c>
      <c r="E45" s="499">
        <f>הרצות!G47</f>
        <v>3.4769305656966033E-3</v>
      </c>
      <c r="F45" s="499">
        <f>'רקדנים ומבצעים'!I47</f>
        <v>4.4010210368805565E-3</v>
      </c>
      <c r="G45" s="499"/>
      <c r="H45" s="499">
        <f>'מיקום ההרצות'!J51</f>
        <v>6.6848395267133619E-3</v>
      </c>
      <c r="I45" s="499"/>
      <c r="J45" s="499">
        <f>'הכנסות עצמיות'!G47</f>
        <v>2.6880971354636212E-3</v>
      </c>
      <c r="K45" s="499"/>
      <c r="L45" s="499">
        <f>'רמה אומנותית'!G51</f>
        <v>1.8072724643967326E-2</v>
      </c>
      <c r="M45" s="53">
        <f t="shared" si="0"/>
        <v>6.743931685642619E-3</v>
      </c>
      <c r="N45" s="53">
        <f t="shared" si="4"/>
        <v>6.7439316856426164E-3</v>
      </c>
      <c r="O45" s="297">
        <f t="shared" si="3"/>
        <v>54509.608247171454</v>
      </c>
      <c r="P45" s="290"/>
      <c r="Q45" s="53"/>
      <c r="R45" s="53"/>
      <c r="S45" s="303"/>
      <c r="T45" s="296"/>
      <c r="U45" s="415"/>
      <c r="V45" s="416"/>
      <c r="W45" s="294"/>
      <c r="X45" s="297"/>
    </row>
    <row r="46" spans="2:24" ht="15.75" x14ac:dyDescent="0.25">
      <c r="B46" s="9">
        <f t="shared" si="2"/>
        <v>40</v>
      </c>
      <c r="C46" s="414" t="str">
        <f>'רמה אומנותית'!B52</f>
        <v>סיגל ברגמן</v>
      </c>
      <c r="D46" s="501">
        <f>IF(C46="","",סיווג!AB60)</f>
        <v>1</v>
      </c>
      <c r="E46" s="499">
        <f>הרצות!G48</f>
        <v>7.5333495590093075E-3</v>
      </c>
      <c r="F46" s="499">
        <f>'רקדנים ומבצעים'!I48</f>
        <v>1.1736056098348151E-2</v>
      </c>
      <c r="G46" s="499"/>
      <c r="H46" s="499">
        <f>'מיקום ההרצות'!J52</f>
        <v>8.9131193689511497E-3</v>
      </c>
      <c r="I46" s="499"/>
      <c r="J46" s="499">
        <f>'הכנסות עצמיות'!G48</f>
        <v>6.5779788750069618E-3</v>
      </c>
      <c r="K46" s="499"/>
      <c r="L46" s="499">
        <f>'רמה אומנותית'!G52</f>
        <v>1.0843634786380396E-2</v>
      </c>
      <c r="M46" s="53">
        <f t="shared" si="0"/>
        <v>8.9828507565450095E-3</v>
      </c>
      <c r="N46" s="53">
        <f t="shared" si="4"/>
        <v>8.982850756545006E-3</v>
      </c>
      <c r="O46" s="297">
        <f t="shared" si="3"/>
        <v>72606.262712374737</v>
      </c>
      <c r="P46" s="290"/>
      <c r="Q46" s="53"/>
      <c r="R46" s="53"/>
      <c r="S46" s="303"/>
      <c r="T46" s="296"/>
      <c r="U46" s="415"/>
      <c r="V46" s="416"/>
      <c r="W46" s="294"/>
      <c r="X46" s="297"/>
    </row>
    <row r="47" spans="2:24" ht="15.75" x14ac:dyDescent="0.25">
      <c r="B47" s="9">
        <f t="shared" si="2"/>
        <v>41</v>
      </c>
      <c r="C47" s="414" t="str">
        <f>'רמה אומנותית'!B53</f>
        <v>מעין ליבמן שרון</v>
      </c>
      <c r="D47" s="501">
        <f>IF(C47="","",סיווג!AB61)</f>
        <v>1</v>
      </c>
      <c r="E47" s="499">
        <f>הרצות!G49</f>
        <v>1.2169256979938111E-2</v>
      </c>
      <c r="F47" s="499">
        <f>'רקדנים ומבצעים'!I49</f>
        <v>1.1736056098348151E-2</v>
      </c>
      <c r="G47" s="499"/>
      <c r="H47" s="499">
        <f>'מיקום ההרצות'!J53</f>
        <v>2.0797278527552681E-2</v>
      </c>
      <c r="I47" s="499"/>
      <c r="J47" s="499">
        <f>'הכנסות עצמיות'!G49</f>
        <v>4.6858479739429817E-3</v>
      </c>
      <c r="K47" s="499"/>
      <c r="L47" s="499">
        <f>'רמה אומנותית'!G53</f>
        <v>7.2290898575869305E-3</v>
      </c>
      <c r="M47" s="53">
        <f t="shared" si="0"/>
        <v>1.0460703732712314E-2</v>
      </c>
      <c r="N47" s="53">
        <f t="shared" si="4"/>
        <v>1.0460703732712309E-2</v>
      </c>
      <c r="O47" s="297">
        <f t="shared" si="3"/>
        <v>84551.39954543268</v>
      </c>
      <c r="P47" s="290"/>
      <c r="Q47" s="53"/>
      <c r="R47" s="53"/>
      <c r="S47" s="303"/>
      <c r="T47" s="296"/>
      <c r="U47" s="415"/>
      <c r="V47" s="416"/>
      <c r="W47" s="294"/>
      <c r="X47" s="297"/>
    </row>
    <row r="48" spans="2:24" ht="15.75" x14ac:dyDescent="0.25">
      <c r="B48" s="9">
        <f t="shared" si="2"/>
        <v>42</v>
      </c>
      <c r="C48" s="414" t="str">
        <f>'רמה אומנותית'!B54</f>
        <v>אודליה קופרברג</v>
      </c>
      <c r="D48" s="501">
        <f>IF(C48="","",סיווג!AB62)</f>
        <v>1</v>
      </c>
      <c r="E48" s="499">
        <f>הרצות!G50</f>
        <v>4.0564189933127038E-3</v>
      </c>
      <c r="F48" s="499">
        <f>'רקדנים ומבצעים'!I50</f>
        <v>1.1736056098348151E-2</v>
      </c>
      <c r="G48" s="499"/>
      <c r="H48" s="499">
        <f>'מיקום ההרצות'!J54</f>
        <v>7.4275994741259581E-4</v>
      </c>
      <c r="I48" s="499"/>
      <c r="J48" s="499">
        <f>'הכנסות עצמיות'!G50</f>
        <v>6.21605259884627E-3</v>
      </c>
      <c r="K48" s="499"/>
      <c r="L48" s="499">
        <f>'רמה אומנותית'!G54</f>
        <v>1.0843634786380396E-2</v>
      </c>
      <c r="M48" s="53">
        <f t="shared" si="0"/>
        <v>7.0503503894500351E-3</v>
      </c>
      <c r="N48" s="53">
        <f t="shared" si="4"/>
        <v>7.0503503894500316E-3</v>
      </c>
      <c r="O48" s="297">
        <f t="shared" si="3"/>
        <v>56986.318315232696</v>
      </c>
      <c r="P48" s="290"/>
      <c r="Q48" s="53"/>
      <c r="R48" s="53"/>
      <c r="S48" s="303"/>
      <c r="T48" s="296"/>
      <c r="U48" s="415"/>
      <c r="V48" s="416"/>
      <c r="W48" s="294"/>
      <c r="X48" s="297"/>
    </row>
    <row r="49" spans="2:24" ht="15.75" x14ac:dyDescent="0.25">
      <c r="B49" s="9">
        <f t="shared" si="2"/>
        <v>43</v>
      </c>
      <c r="C49" s="414" t="str">
        <f>'רמה אומנותית'!B55</f>
        <v>נועה צוק</v>
      </c>
      <c r="D49" s="501">
        <f>IF(C49="","",סיווג!AB63)</f>
        <v>1</v>
      </c>
      <c r="E49" s="499">
        <f>הרצות!G51</f>
        <v>1.2169256979938111E-2</v>
      </c>
      <c r="F49" s="499">
        <f>'רקדנים ומבצעים'!I51</f>
        <v>7.3350350614675942E-3</v>
      </c>
      <c r="G49" s="499"/>
      <c r="H49" s="499">
        <f>'מיקום ההרצות'!J55</f>
        <v>3.7137997370629786E-3</v>
      </c>
      <c r="I49" s="499"/>
      <c r="J49" s="499">
        <f>'הכנסות עצמיות'!G51</f>
        <v>1.9888659924584207E-2</v>
      </c>
      <c r="K49" s="499"/>
      <c r="L49" s="499">
        <f>'רמה אומנותית'!G55</f>
        <v>1.8072724643967326E-2</v>
      </c>
      <c r="M49" s="53">
        <f t="shared" si="0"/>
        <v>1.3081440993691558E-2</v>
      </c>
      <c r="N49" s="53">
        <f t="shared" si="4"/>
        <v>1.3081440993691552E-2</v>
      </c>
      <c r="O49" s="297">
        <f t="shared" si="3"/>
        <v>105734.20033193431</v>
      </c>
      <c r="P49" s="290"/>
      <c r="Q49" s="53"/>
      <c r="R49" s="53"/>
      <c r="S49" s="303"/>
      <c r="T49" s="296"/>
      <c r="U49" s="415"/>
      <c r="V49" s="416"/>
      <c r="W49" s="294"/>
      <c r="X49" s="297"/>
    </row>
    <row r="50" spans="2:24" ht="15.75" x14ac:dyDescent="0.25">
      <c r="B50" s="9">
        <f t="shared" si="2"/>
        <v>44</v>
      </c>
      <c r="C50" s="414" t="str">
        <f>'רמה אומנותית'!B56</f>
        <v>נטע פולברמכר</v>
      </c>
      <c r="D50" s="501">
        <f>IF(C50="","",סיווג!AB64)</f>
        <v>1</v>
      </c>
      <c r="E50" s="499">
        <f>הרצות!G52</f>
        <v>9.8513032694737095E-3</v>
      </c>
      <c r="F50" s="499">
        <f>'רקדנים ומבצעים'!I52</f>
        <v>1.0269049086054631E-2</v>
      </c>
      <c r="G50" s="499"/>
      <c r="H50" s="499">
        <f>'מיקום ההרצות'!J56</f>
        <v>9.6558793163637451E-3</v>
      </c>
      <c r="I50" s="499"/>
      <c r="J50" s="499">
        <f>'הכנסות עצמיות'!G52</f>
        <v>5.0072584714703945E-3</v>
      </c>
      <c r="K50" s="499"/>
      <c r="L50" s="499">
        <f>'רמה אומנותית'!G56</f>
        <v>1.0843634786380396E-2</v>
      </c>
      <c r="M50" s="53">
        <f t="shared" si="0"/>
        <v>9.1449673812595712E-3</v>
      </c>
      <c r="N50" s="53">
        <f t="shared" si="4"/>
        <v>9.1449673812595677E-3</v>
      </c>
      <c r="O50" s="297">
        <f t="shared" si="3"/>
        <v>73916.613130419108</v>
      </c>
      <c r="P50" s="290"/>
      <c r="Q50" s="53"/>
      <c r="R50" s="53"/>
      <c r="S50" s="303"/>
      <c r="T50" s="296"/>
      <c r="U50" s="415"/>
      <c r="V50" s="416"/>
      <c r="W50" s="294"/>
      <c r="X50" s="297"/>
    </row>
    <row r="51" spans="2:24" ht="15.75" x14ac:dyDescent="0.25">
      <c r="B51" s="9">
        <f t="shared" si="2"/>
        <v>45</v>
      </c>
      <c r="C51" s="414" t="str">
        <f>'רמה אומנותית'!B57</f>
        <v>ניב שינפלד ואורן לאור</v>
      </c>
      <c r="D51" s="501">
        <f>IF(C51="","",סיווג!AB65)</f>
        <v>1</v>
      </c>
      <c r="E51" s="499">
        <f>הרצות!G53</f>
        <v>3.0712886663653328E-2</v>
      </c>
      <c r="F51" s="499">
        <f>'רקדנים ומבצעים'!I53</f>
        <v>2.6406126221283337E-2</v>
      </c>
      <c r="G51" s="499"/>
      <c r="H51" s="499">
        <f>'מיקום ההרצות'!J57</f>
        <v>1.3369679053426724E-2</v>
      </c>
      <c r="I51" s="499"/>
      <c r="J51" s="499">
        <f>'הכנסות עצמיות'!G53</f>
        <v>2.5427724689691247E-2</v>
      </c>
      <c r="K51" s="499"/>
      <c r="L51" s="499">
        <f>'רמה אומנותית'!G57</f>
        <v>1.8072724643967326E-2</v>
      </c>
      <c r="M51" s="53">
        <f t="shared" si="0"/>
        <v>2.4532149015427055E-2</v>
      </c>
      <c r="N51" s="53">
        <f t="shared" si="4"/>
        <v>2.4532149015427045E-2</v>
      </c>
      <c r="O51" s="297">
        <f t="shared" si="3"/>
        <v>198287.57090452916</v>
      </c>
      <c r="P51" s="290"/>
      <c r="Q51" s="53"/>
      <c r="R51" s="53"/>
      <c r="S51" s="303"/>
      <c r="T51" s="296"/>
      <c r="U51" s="415"/>
      <c r="V51" s="416"/>
      <c r="W51" s="294"/>
      <c r="X51" s="297"/>
    </row>
    <row r="52" spans="2:24" ht="15.75" x14ac:dyDescent="0.25">
      <c r="B52" s="9">
        <f t="shared" si="2"/>
        <v>46</v>
      </c>
      <c r="C52" s="414" t="str">
        <f>'רמה אומנותית'!B58</f>
        <v>נימה יעקובי</v>
      </c>
      <c r="D52" s="501">
        <f>IF(C52="","",סיווג!AB66)</f>
        <v>1</v>
      </c>
      <c r="E52" s="499">
        <f>הרצות!G54</f>
        <v>4.2302655215975343E-2</v>
      </c>
      <c r="F52" s="499">
        <f>'רקדנים ומבצעים'!I54</f>
        <v>1.0269049086054631E-2</v>
      </c>
      <c r="G52" s="499"/>
      <c r="H52" s="499">
        <f>'מיקום ההרצות'!J58</f>
        <v>7.2047714899021786E-2</v>
      </c>
      <c r="I52" s="499"/>
      <c r="J52" s="499">
        <f>'הכנסות עצמיות'!G54</f>
        <v>8.8623494880568972E-3</v>
      </c>
      <c r="K52" s="499"/>
      <c r="L52" s="499">
        <f>'רמה אומנותית'!G58</f>
        <v>7.2290898575869305E-3</v>
      </c>
      <c r="M52" s="53">
        <f t="shared" si="0"/>
        <v>2.5167665741034472E-2</v>
      </c>
      <c r="N52" s="53">
        <f t="shared" si="4"/>
        <v>2.5167665741034462E-2</v>
      </c>
      <c r="O52" s="297">
        <f t="shared" si="3"/>
        <v>203424.30261566667</v>
      </c>
      <c r="P52" s="290"/>
      <c r="Q52" s="53"/>
      <c r="R52" s="53"/>
      <c r="S52" s="303"/>
      <c r="T52" s="296"/>
      <c r="U52" s="415"/>
      <c r="V52" s="416"/>
      <c r="W52" s="294"/>
      <c r="X52" s="297"/>
    </row>
    <row r="53" spans="2:24" ht="15.75" x14ac:dyDescent="0.25">
      <c r="B53" s="9">
        <f t="shared" si="2"/>
        <v>47</v>
      </c>
      <c r="C53" s="414" t="str">
        <f>'רמה אומנותית'!B59</f>
        <v>נמרוד פריד</v>
      </c>
      <c r="D53" s="501">
        <f>IF(C53="","",סיווג!AB67)</f>
        <v>1</v>
      </c>
      <c r="E53" s="499">
        <f>הרצות!G55</f>
        <v>6.3743727037771057E-3</v>
      </c>
      <c r="F53" s="499">
        <f>'רקדנים ומבצעים'!I55</f>
        <v>7.3350350614675942E-3</v>
      </c>
      <c r="G53" s="499"/>
      <c r="H53" s="499">
        <f>'מיקום ההרצות'!J59</f>
        <v>4.4565596844755749E-3</v>
      </c>
      <c r="I53" s="499"/>
      <c r="J53" s="499">
        <f>'הכנסות עצמיות'!G55</f>
        <v>5.0402142406847832E-3</v>
      </c>
      <c r="K53" s="499"/>
      <c r="L53" s="499">
        <f>'רמה אומנותית'!G59</f>
        <v>7.2290898575869305E-3</v>
      </c>
      <c r="M53" s="53">
        <f t="shared" si="0"/>
        <v>6.2788356115285509E-3</v>
      </c>
      <c r="N53" s="53">
        <f t="shared" si="4"/>
        <v>6.2788356115285483E-3</v>
      </c>
      <c r="O53" s="297">
        <f t="shared" si="3"/>
        <v>50750.346442780938</v>
      </c>
      <c r="P53" s="290"/>
      <c r="Q53" s="53"/>
      <c r="R53" s="53"/>
      <c r="S53" s="303"/>
      <c r="T53" s="296"/>
      <c r="U53" s="415"/>
      <c r="V53" s="416"/>
      <c r="W53" s="294"/>
      <c r="X53" s="297"/>
    </row>
    <row r="54" spans="2:24" ht="15.75" x14ac:dyDescent="0.25">
      <c r="B54" s="9">
        <f t="shared" si="2"/>
        <v>48</v>
      </c>
      <c r="C54" s="414" t="str">
        <f>'רמה אומנותית'!B60</f>
        <v>נעה דר</v>
      </c>
      <c r="D54" s="501">
        <f>IF(C54="","",סיווג!AB68)</f>
        <v>1</v>
      </c>
      <c r="E54" s="499">
        <f>הרצות!G56</f>
        <v>7.5333495590093075E-3</v>
      </c>
      <c r="F54" s="499">
        <f>'רקדנים ומבצעים'!I56</f>
        <v>7.3350350614675942E-3</v>
      </c>
      <c r="G54" s="499"/>
      <c r="H54" s="499">
        <f>'מיקום ההרצות'!J60</f>
        <v>8.1703594215385526E-3</v>
      </c>
      <c r="I54" s="499"/>
      <c r="J54" s="499">
        <f>'הכנסות עצמיות'!G56</f>
        <v>2.2653568223706757E-2</v>
      </c>
      <c r="K54" s="499"/>
      <c r="L54" s="499">
        <f>'רמה אומנותית'!G60</f>
        <v>7.2290898575869305E-3</v>
      </c>
      <c r="M54" s="53">
        <f t="shared" si="0"/>
        <v>1.0520579438408905E-2</v>
      </c>
      <c r="N54" s="53">
        <f t="shared" si="4"/>
        <v>1.05205794384089E-2</v>
      </c>
      <c r="O54" s="297">
        <f t="shared" si="3"/>
        <v>85035.360743911675</v>
      </c>
      <c r="P54" s="290"/>
      <c r="Q54" s="53"/>
      <c r="R54" s="53"/>
      <c r="S54" s="303"/>
      <c r="T54" s="296"/>
      <c r="U54" s="415"/>
      <c r="V54" s="416"/>
      <c r="W54" s="294"/>
      <c r="X54" s="297"/>
    </row>
    <row r="55" spans="2:24" ht="15.75" x14ac:dyDescent="0.25">
      <c r="B55" s="9">
        <f t="shared" si="2"/>
        <v>49</v>
      </c>
      <c r="C55" s="414" t="str">
        <f>'רמה אומנותית'!B61</f>
        <v>נעה שדור</v>
      </c>
      <c r="D55" s="501">
        <f>IF(C55="","",סיווג!AB69)</f>
        <v>1</v>
      </c>
      <c r="E55" s="499">
        <f>הרצות!G57</f>
        <v>8.1128379866254076E-3</v>
      </c>
      <c r="F55" s="499">
        <f>'רקדנים ומבצעים'!I57</f>
        <v>8.802042073761113E-3</v>
      </c>
      <c r="G55" s="499"/>
      <c r="H55" s="499">
        <f>'מיקום ההרצות'!J61</f>
        <v>0</v>
      </c>
      <c r="I55" s="499"/>
      <c r="J55" s="499">
        <f>'הכנסות עצמיות'!G57</f>
        <v>3.0010301467009184E-3</v>
      </c>
      <c r="K55" s="499"/>
      <c r="L55" s="499">
        <f>'רמה אומנותית'!G61</f>
        <v>7.2290898575869305E-3</v>
      </c>
      <c r="M55" s="53">
        <f t="shared" si="0"/>
        <v>6.2402838115974153E-3</v>
      </c>
      <c r="N55" s="53">
        <f t="shared" si="4"/>
        <v>6.2402838115974127E-3</v>
      </c>
      <c r="O55" s="297">
        <f t="shared" si="3"/>
        <v>50438.74134216235</v>
      </c>
      <c r="P55" s="290"/>
      <c r="Q55" s="53"/>
      <c r="R55" s="53"/>
      <c r="S55" s="303"/>
      <c r="T55" s="296"/>
      <c r="U55" s="415"/>
      <c r="V55" s="416"/>
      <c r="W55" s="294"/>
      <c r="X55" s="297"/>
    </row>
    <row r="56" spans="2:24" ht="15.75" x14ac:dyDescent="0.25">
      <c r="B56" s="9">
        <f t="shared" si="2"/>
        <v>50</v>
      </c>
      <c r="C56" s="414" t="str">
        <f>'רמה אומנותית'!B62</f>
        <v>סאלי אן פרילנד</v>
      </c>
      <c r="D56" s="501">
        <f>IF(C56="","",סיווג!AB70)</f>
        <v>1</v>
      </c>
      <c r="E56" s="499">
        <f>הרצות!G58</f>
        <v>5.7948842761610057E-3</v>
      </c>
      <c r="F56" s="499">
        <f>'רקדנים ומבצעים'!I58</f>
        <v>5.8680280491740754E-3</v>
      </c>
      <c r="G56" s="499"/>
      <c r="H56" s="499">
        <f>'מיקום ההרצות'!J62</f>
        <v>1.4855198948251916E-3</v>
      </c>
      <c r="I56" s="499"/>
      <c r="J56" s="499">
        <f>'הכנסות עצמיות'!G58</f>
        <v>6.9733380083550796E-3</v>
      </c>
      <c r="K56" s="499"/>
      <c r="L56" s="499">
        <f>'רמה אומנותית'!G62</f>
        <v>7.2290898575869305E-3</v>
      </c>
      <c r="M56" s="53">
        <f t="shared" si="0"/>
        <v>5.9011084553540379E-3</v>
      </c>
      <c r="N56" s="53">
        <f t="shared" si="4"/>
        <v>5.9011084553540353E-3</v>
      </c>
      <c r="O56" s="297">
        <f t="shared" si="3"/>
        <v>47697.266983031201</v>
      </c>
      <c r="P56" s="290"/>
      <c r="Q56" s="53"/>
      <c r="R56" s="53"/>
      <c r="S56" s="303"/>
      <c r="T56" s="296"/>
      <c r="U56" s="415"/>
      <c r="V56" s="416"/>
      <c r="W56" s="294"/>
      <c r="X56" s="297"/>
    </row>
    <row r="57" spans="2:24" ht="15.75" x14ac:dyDescent="0.25">
      <c r="B57" s="9">
        <f t="shared" si="2"/>
        <v>51</v>
      </c>
      <c r="C57" s="414" t="str">
        <f>'רמה אומנותית'!B63</f>
        <v>סהר עזימי</v>
      </c>
      <c r="D57" s="501">
        <f>IF(C57="","",סיווג!AB71)</f>
        <v>1</v>
      </c>
      <c r="E57" s="499">
        <f>הרצות!G59</f>
        <v>7.5333495590093075E-3</v>
      </c>
      <c r="F57" s="499">
        <f>'רקדנים ומבצעים'!I59</f>
        <v>2.9340140245870377E-3</v>
      </c>
      <c r="G57" s="499"/>
      <c r="H57" s="499">
        <f>'מיקום ההרצות'!J63</f>
        <v>3.7137997370629786E-3</v>
      </c>
      <c r="I57" s="499"/>
      <c r="J57" s="499">
        <f>'הכנסות עצמיות'!G59</f>
        <v>1.1620615254631778E-2</v>
      </c>
      <c r="K57" s="499"/>
      <c r="L57" s="499">
        <f>'רמה אומנותית'!G63</f>
        <v>1.0843634786380396E-2</v>
      </c>
      <c r="M57" s="53">
        <f t="shared" si="0"/>
        <v>7.7110376545289315E-3</v>
      </c>
      <c r="N57" s="53">
        <f t="shared" si="4"/>
        <v>7.711037654528928E-3</v>
      </c>
      <c r="O57" s="297">
        <f t="shared" si="3"/>
        <v>62326.49755667086</v>
      </c>
      <c r="P57" s="290"/>
      <c r="Q57" s="53"/>
      <c r="R57" s="53"/>
      <c r="S57" s="303"/>
      <c r="T57" s="296"/>
      <c r="U57" s="415"/>
      <c r="V57" s="416"/>
      <c r="W57" s="294"/>
      <c r="X57" s="297"/>
    </row>
    <row r="58" spans="2:24" ht="15.75" x14ac:dyDescent="0.25">
      <c r="B58" s="9">
        <f t="shared" si="2"/>
        <v>52</v>
      </c>
      <c r="C58" s="414" t="str">
        <f>'רמה אומנותית'!B64</f>
        <v>עדו פדר</v>
      </c>
      <c r="D58" s="501">
        <f>IF(C58="","",סיווג!AB72)</f>
        <v>1</v>
      </c>
      <c r="E58" s="499">
        <f>הרצות!G60</f>
        <v>5.7948842761610057E-3</v>
      </c>
      <c r="F58" s="499">
        <f>'רקדנים ומבצעים'!I60</f>
        <v>7.3350350614675942E-3</v>
      </c>
      <c r="G58" s="499"/>
      <c r="H58" s="499">
        <f>'מיקום ההרצות'!J64</f>
        <v>2.2282798422377874E-3</v>
      </c>
      <c r="I58" s="499"/>
      <c r="J58" s="499">
        <f>'הכנסות עצמיות'!G60</f>
        <v>1.1582558314013381E-2</v>
      </c>
      <c r="K58" s="499"/>
      <c r="L58" s="499">
        <f>'רמה אומנותית'!G64</f>
        <v>7.2290898575869305E-3</v>
      </c>
      <c r="M58" s="53">
        <f t="shared" si="0"/>
        <v>7.1906299136856623E-3</v>
      </c>
      <c r="N58" s="53">
        <f t="shared" si="4"/>
        <v>7.1906299136856588E-3</v>
      </c>
      <c r="O58" s="297">
        <f t="shared" si="3"/>
        <v>58120.164603661549</v>
      </c>
      <c r="P58" s="290"/>
      <c r="Q58" s="53"/>
      <c r="R58" s="53"/>
      <c r="S58" s="303"/>
      <c r="T58" s="296"/>
      <c r="U58" s="415"/>
      <c r="V58" s="416"/>
      <c r="W58" s="294"/>
      <c r="X58" s="297"/>
    </row>
    <row r="59" spans="2:24" ht="15.75" x14ac:dyDescent="0.25">
      <c r="B59" s="9">
        <f t="shared" si="2"/>
        <v>53</v>
      </c>
      <c r="C59" s="414" t="str">
        <f>'רמה אומנותית'!B65</f>
        <v>עודד רונן</v>
      </c>
      <c r="D59" s="501">
        <f>IF(C59="","",סיווג!AB73)</f>
        <v>1</v>
      </c>
      <c r="E59" s="499">
        <f>הרצות!G61</f>
        <v>3.4769305656966033E-3</v>
      </c>
      <c r="F59" s="499">
        <f>'רקדנים ומבצעים'!I61</f>
        <v>4.4010210368805565E-3</v>
      </c>
      <c r="G59" s="499"/>
      <c r="H59" s="499">
        <f>'מיקום ההרצות'!J65</f>
        <v>2.2282798422377874E-3</v>
      </c>
      <c r="I59" s="499"/>
      <c r="J59" s="499">
        <f>'הכנסות עצמיות'!G61</f>
        <v>1.1923566117510151E-2</v>
      </c>
      <c r="K59" s="499"/>
      <c r="L59" s="499">
        <f>'רמה אומנותית'!G65</f>
        <v>1.0843634786380396E-2</v>
      </c>
      <c r="M59" s="53">
        <f t="shared" si="0"/>
        <v>6.699551542086981E-3</v>
      </c>
      <c r="N59" s="53">
        <f t="shared" si="4"/>
        <v>6.6995515420869784E-3</v>
      </c>
      <c r="O59" s="297">
        <f t="shared" si="3"/>
        <v>54150.894020525113</v>
      </c>
      <c r="P59" s="290"/>
      <c r="Q59" s="53"/>
      <c r="R59" s="53"/>
      <c r="S59" s="303"/>
      <c r="T59" s="296"/>
      <c r="U59" s="415"/>
      <c r="V59" s="416"/>
      <c r="W59" s="294"/>
      <c r="X59" s="297"/>
    </row>
    <row r="60" spans="2:24" ht="15.75" x14ac:dyDescent="0.25">
      <c r="B60" s="9">
        <f t="shared" si="2"/>
        <v>54</v>
      </c>
      <c r="C60" s="414" t="str">
        <f>'רמה אומנותית'!B66</f>
        <v>עידן כהן</v>
      </c>
      <c r="D60" s="501">
        <f>IF(C60="","",סיווג!AB74)</f>
        <v>1</v>
      </c>
      <c r="E60" s="499">
        <f>הרצות!G62</f>
        <v>4.0564189933127038E-3</v>
      </c>
      <c r="F60" s="499">
        <f>'רקדנים ומבצעים'!I62</f>
        <v>1.4670070122935188E-3</v>
      </c>
      <c r="G60" s="499"/>
      <c r="H60" s="499">
        <f>'מיקום ההרצות'!J66</f>
        <v>6.6848395267133619E-3</v>
      </c>
      <c r="I60" s="499"/>
      <c r="J60" s="499">
        <f>'הכנסות עצמיות'!G62</f>
        <v>3.5343411024063719E-3</v>
      </c>
      <c r="K60" s="499"/>
      <c r="L60" s="499">
        <f>'רמה אומנותית'!G66</f>
        <v>1.0843634786380396E-2</v>
      </c>
      <c r="M60" s="53">
        <f t="shared" si="0"/>
        <v>5.0544062308812048E-3</v>
      </c>
      <c r="N60" s="53">
        <f t="shared" si="4"/>
        <v>5.0544062308812022E-3</v>
      </c>
      <c r="O60" s="297">
        <f t="shared" si="3"/>
        <v>40853.572724342266</v>
      </c>
      <c r="P60" s="290"/>
      <c r="Q60" s="53"/>
      <c r="R60" s="53"/>
      <c r="S60" s="303"/>
      <c r="T60" s="296"/>
      <c r="U60" s="415"/>
      <c r="V60" s="416"/>
      <c r="W60" s="294"/>
      <c r="X60" s="297"/>
    </row>
    <row r="61" spans="2:24" ht="15.75" x14ac:dyDescent="0.25">
      <c r="B61" s="9">
        <f t="shared" si="2"/>
        <v>55</v>
      </c>
      <c r="C61" s="414" t="str">
        <f>'רמה אומנותית'!B67</f>
        <v>עידן שרעבי</v>
      </c>
      <c r="D61" s="501">
        <f>IF(C61="","",סיווג!AB75)</f>
        <v>1</v>
      </c>
      <c r="E61" s="499">
        <f>הרצות!G63</f>
        <v>6.9538611313932066E-3</v>
      </c>
      <c r="F61" s="499">
        <f>'רקדנים ומבצעים'!I63</f>
        <v>5.8680280491740754E-3</v>
      </c>
      <c r="G61" s="499"/>
      <c r="H61" s="499">
        <f>'מיקום ההרצות'!J67</f>
        <v>9.6558793163637451E-3</v>
      </c>
      <c r="I61" s="499"/>
      <c r="J61" s="499">
        <f>'הכנסות עצמיות'!G63</f>
        <v>8.8769557198467922E-3</v>
      </c>
      <c r="K61" s="499"/>
      <c r="L61" s="499">
        <f>'רמה אומנותית'!G67</f>
        <v>7.2290898575869305E-3</v>
      </c>
      <c r="M61" s="53">
        <f t="shared" si="0"/>
        <v>7.4465609963758955E-3</v>
      </c>
      <c r="N61" s="53">
        <f t="shared" si="4"/>
        <v>7.446560996375892E-3</v>
      </c>
      <c r="O61" s="297">
        <f t="shared" si="3"/>
        <v>60188.795145311189</v>
      </c>
      <c r="P61" s="290"/>
      <c r="Q61" s="53"/>
      <c r="R61" s="53"/>
      <c r="S61" s="303"/>
      <c r="T61" s="296"/>
      <c r="U61" s="415"/>
      <c r="V61" s="416"/>
      <c r="W61" s="294"/>
      <c r="X61" s="297"/>
    </row>
    <row r="62" spans="2:24" ht="15.75" x14ac:dyDescent="0.25">
      <c r="B62" s="9">
        <f t="shared" si="2"/>
        <v>56</v>
      </c>
      <c r="C62" s="414" t="str">
        <f>'רמה אומנותית'!B68</f>
        <v>ענת גריגוריו</v>
      </c>
      <c r="D62" s="501">
        <f>IF(C62="","",סיווג!AB76)</f>
        <v>1</v>
      </c>
      <c r="E62" s="499">
        <f>הרצות!G64</f>
        <v>6.9538611313932066E-3</v>
      </c>
      <c r="F62" s="499">
        <f>'רקדנים ומבצעים'!I64</f>
        <v>2.9340140245870377E-3</v>
      </c>
      <c r="G62" s="499"/>
      <c r="H62" s="499">
        <f>'מיקום ההרצות'!J68</f>
        <v>5.1993196318881702E-3</v>
      </c>
      <c r="I62" s="499"/>
      <c r="J62" s="499">
        <f>'הכנסות עצמיות'!G64</f>
        <v>1.245412464260193E-2</v>
      </c>
      <c r="K62" s="499"/>
      <c r="L62" s="499">
        <f>'רמה אומנותית'!G68</f>
        <v>1.8072724643967326E-2</v>
      </c>
      <c r="M62" s="53">
        <f t="shared" si="0"/>
        <v>9.2982629648380374E-3</v>
      </c>
      <c r="N62" s="53">
        <f t="shared" si="4"/>
        <v>9.298262964838034E-3</v>
      </c>
      <c r="O62" s="297">
        <f t="shared" si="3"/>
        <v>75155.665154726128</v>
      </c>
      <c r="P62" s="290"/>
      <c r="Q62" s="53"/>
      <c r="R62" s="53"/>
      <c r="S62" s="303"/>
      <c r="T62" s="296"/>
      <c r="U62" s="415"/>
      <c r="V62" s="416"/>
      <c r="W62" s="294"/>
      <c r="X62" s="297"/>
    </row>
    <row r="63" spans="2:24" ht="15.75" x14ac:dyDescent="0.25">
      <c r="B63" s="9">
        <f t="shared" si="2"/>
        <v>57</v>
      </c>
      <c r="C63" s="414" t="str">
        <f>'רמה אומנותית'!B69</f>
        <v>ענת דניאלי</v>
      </c>
      <c r="D63" s="501">
        <f>IF(C63="","",סיווג!AB77)</f>
        <v>1</v>
      </c>
      <c r="E63" s="499">
        <f>הרצות!G65</f>
        <v>8.1128379866254076E-3</v>
      </c>
      <c r="F63" s="499">
        <f>'רקדנים ומבצעים'!I65</f>
        <v>1.3203063110641669E-2</v>
      </c>
      <c r="G63" s="499"/>
      <c r="H63" s="499">
        <f>'מיקום ההרצות'!J69</f>
        <v>1.4855198948251915E-2</v>
      </c>
      <c r="I63" s="499"/>
      <c r="J63" s="499">
        <f>'הכנסות עצמיות'!G65</f>
        <v>1.2504035384396551E-2</v>
      </c>
      <c r="K63" s="499"/>
      <c r="L63" s="499">
        <f>'רמה אומנותית'!G69</f>
        <v>1.0843634786380396E-2</v>
      </c>
      <c r="M63" s="53">
        <f t="shared" si="0"/>
        <v>1.1229517947096536E-2</v>
      </c>
      <c r="N63" s="53">
        <f t="shared" si="4"/>
        <v>1.1229517947096531E-2</v>
      </c>
      <c r="O63" s="297">
        <f t="shared" si="3"/>
        <v>90765.543400145747</v>
      </c>
      <c r="P63" s="290"/>
      <c r="Q63" s="53"/>
      <c r="R63" s="53"/>
      <c r="S63" s="303"/>
      <c r="T63" s="296"/>
      <c r="U63" s="415"/>
      <c r="V63" s="416"/>
      <c r="W63" s="294"/>
      <c r="X63" s="297"/>
    </row>
    <row r="64" spans="2:24" ht="15.75" x14ac:dyDescent="0.25">
      <c r="B64" s="9">
        <f t="shared" si="2"/>
        <v>58</v>
      </c>
      <c r="C64" s="414" t="str">
        <f>'רמה אומנותית'!B70</f>
        <v>ענת כץ וארז מעיין</v>
      </c>
      <c r="D64" s="501">
        <f>IF(C64="","",סיווג!AB78)</f>
        <v>1</v>
      </c>
      <c r="E64" s="499">
        <f>הרצות!G66</f>
        <v>1.043079169708981E-2</v>
      </c>
      <c r="F64" s="499">
        <f>'רקדנים ומבצעים'!I66</f>
        <v>1.1736056098348151E-2</v>
      </c>
      <c r="G64" s="499"/>
      <c r="H64" s="499">
        <f>'מיקום ההרצות'!J70</f>
        <v>2.9710397896503832E-3</v>
      </c>
      <c r="I64" s="499"/>
      <c r="J64" s="499">
        <f>'הכנסות עצמיות'!G66</f>
        <v>3.9910977879768416E-3</v>
      </c>
      <c r="K64" s="499"/>
      <c r="L64" s="499">
        <f>'רמה אומנותית'!G70</f>
        <v>7.2290898575869305E-3</v>
      </c>
      <c r="M64" s="53">
        <f t="shared" si="0"/>
        <v>8.0175902368743671E-3</v>
      </c>
      <c r="N64" s="53">
        <f t="shared" si="4"/>
        <v>8.0175902368743637E-3</v>
      </c>
      <c r="O64" s="297">
        <f t="shared" si="3"/>
        <v>64804.289733359576</v>
      </c>
      <c r="P64" s="290"/>
      <c r="Q64" s="53"/>
      <c r="R64" s="53"/>
      <c r="S64" s="303"/>
      <c r="T64" s="296"/>
      <c r="U64" s="415"/>
      <c r="V64" s="416"/>
      <c r="W64" s="294"/>
      <c r="X64" s="297"/>
    </row>
    <row r="65" spans="2:24" ht="15.75" x14ac:dyDescent="0.25">
      <c r="B65" s="9">
        <f t="shared" si="2"/>
        <v>59</v>
      </c>
      <c r="C65" s="414" t="str">
        <f>'רמה אומנותית'!B71</f>
        <v>ענת שמגר</v>
      </c>
      <c r="D65" s="501">
        <f>IF(C65="","",סיווג!AB79)</f>
        <v>1</v>
      </c>
      <c r="E65" s="499">
        <f>הרצות!G67</f>
        <v>7.5333495590093075E-3</v>
      </c>
      <c r="F65" s="499">
        <f>'רקדנים ומבצעים'!I67</f>
        <v>1.1736056098348151E-2</v>
      </c>
      <c r="G65" s="499"/>
      <c r="H65" s="499">
        <f>'מיקום ההרצות'!J71</f>
        <v>1.931175863272749E-2</v>
      </c>
      <c r="I65" s="499"/>
      <c r="J65" s="499">
        <f>'הכנסות עצמיות'!G67</f>
        <v>3.3587360292539775E-3</v>
      </c>
      <c r="K65" s="499"/>
      <c r="L65" s="499">
        <f>'רמה אומנותית'!G71</f>
        <v>7.2290898575869305E-3</v>
      </c>
      <c r="M65" s="53">
        <f t="shared" si="0"/>
        <v>8.6559571280133522E-3</v>
      </c>
      <c r="N65" s="53">
        <f t="shared" si="4"/>
        <v>8.6559571280133488E-3</v>
      </c>
      <c r="O65" s="297">
        <f t="shared" si="3"/>
        <v>69964.058659849688</v>
      </c>
      <c r="P65" s="290"/>
      <c r="Q65" s="53"/>
      <c r="R65" s="53"/>
      <c r="S65" s="303"/>
      <c r="T65" s="296"/>
      <c r="U65" s="415"/>
      <c r="V65" s="416"/>
      <c r="W65" s="294"/>
      <c r="X65" s="297"/>
    </row>
    <row r="66" spans="2:24" ht="15.75" x14ac:dyDescent="0.25">
      <c r="B66" s="9">
        <f t="shared" si="2"/>
        <v>60</v>
      </c>
      <c r="C66" s="414" t="str">
        <f>'רמה אומנותית'!B72</f>
        <v>ק.ט.מ.ו.ן קבוצת מחול בירושלים</v>
      </c>
      <c r="D66" s="501">
        <f>IF(C66="","",סיווג!AB80)</f>
        <v>1</v>
      </c>
      <c r="E66" s="499">
        <f>הרצות!G68</f>
        <v>1.2748745407554211E-2</v>
      </c>
      <c r="F66" s="499">
        <f>'רקדנים ומבצעים'!I68</f>
        <v>1.6137077135228706E-2</v>
      </c>
      <c r="G66" s="499"/>
      <c r="H66" s="499">
        <f>'מיקום ההרצות'!J72</f>
        <v>0</v>
      </c>
      <c r="I66" s="499"/>
      <c r="J66" s="499">
        <f>'הכנסות עצמיות'!G68</f>
        <v>2.4215150557605924E-2</v>
      </c>
      <c r="K66" s="499"/>
      <c r="L66" s="499">
        <f>'רמה אומנותית'!G72</f>
        <v>7.2290898575869305E-3</v>
      </c>
      <c r="M66" s="53">
        <f t="shared" si="0"/>
        <v>1.3340887132350578E-2</v>
      </c>
      <c r="N66" s="53">
        <f t="shared" si="4"/>
        <v>1.3340887132350572E-2</v>
      </c>
      <c r="O66" s="297">
        <f t="shared" si="3"/>
        <v>107831.24224142644</v>
      </c>
      <c r="P66" s="290"/>
      <c r="Q66" s="53"/>
      <c r="R66" s="53"/>
      <c r="S66" s="303"/>
      <c r="T66" s="296"/>
      <c r="U66" s="415"/>
      <c r="V66" s="416"/>
      <c r="W66" s="294"/>
      <c r="X66" s="297"/>
    </row>
    <row r="67" spans="2:24" ht="15.75" x14ac:dyDescent="0.25">
      <c r="B67" s="9">
        <f t="shared" si="2"/>
        <v>61</v>
      </c>
      <c r="C67" s="414" t="str">
        <f>'רמה אומנותית'!B73</f>
        <v>רונית זיו</v>
      </c>
      <c r="D67" s="501">
        <f>IF(C67="","",סיווג!AB81)</f>
        <v>1</v>
      </c>
      <c r="E67" s="499">
        <f>הרצות!G69</f>
        <v>1.043079169708981E-2</v>
      </c>
      <c r="F67" s="499">
        <f>'רקדנים ומבצעים'!I69</f>
        <v>4.4010210368805565E-3</v>
      </c>
      <c r="G67" s="499"/>
      <c r="H67" s="499">
        <f>'מיקום ההרצות'!J73</f>
        <v>2.3025558369790467E-2</v>
      </c>
      <c r="I67" s="499"/>
      <c r="J67" s="499">
        <f>'הכנסות עצמיות'!G69</f>
        <v>9.4833345335765765E-3</v>
      </c>
      <c r="K67" s="499"/>
      <c r="L67" s="499">
        <f>'רמה אומנותית'!G73</f>
        <v>7.2290898575869305E-3</v>
      </c>
      <c r="M67" s="53">
        <f t="shared" si="0"/>
        <v>9.6544824317148017E-3</v>
      </c>
      <c r="N67" s="53">
        <f t="shared" si="4"/>
        <v>9.6544824317147983E-3</v>
      </c>
      <c r="O67" s="297">
        <f t="shared" si="3"/>
        <v>78034.903037696829</v>
      </c>
      <c r="P67" s="290"/>
      <c r="Q67" s="53"/>
      <c r="R67" s="53"/>
      <c r="S67" s="303"/>
      <c r="T67" s="296"/>
      <c r="U67" s="415"/>
      <c r="V67" s="416"/>
      <c r="W67" s="294"/>
      <c r="X67" s="297"/>
    </row>
    <row r="68" spans="2:24" ht="15.75" x14ac:dyDescent="0.25">
      <c r="B68" s="9">
        <f t="shared" si="2"/>
        <v>62</v>
      </c>
      <c r="C68" s="414" t="str">
        <f>'רמה אומנותית'!B74</f>
        <v>טלי זבילביץ</v>
      </c>
      <c r="D68" s="501">
        <f>IF(C68="","",סיווג!AB82)</f>
        <v>1</v>
      </c>
      <c r="E68" s="499">
        <f>הרצות!G70</f>
        <v>7.5333495590093075E-3</v>
      </c>
      <c r="F68" s="499">
        <f>'רקדנים ומבצעים'!I70</f>
        <v>1.1736056098348151E-2</v>
      </c>
      <c r="G68" s="499"/>
      <c r="H68" s="499">
        <f>'מיקום ההרצות'!J74</f>
        <v>0</v>
      </c>
      <c r="I68" s="499"/>
      <c r="J68" s="499">
        <f>'הכנסות עצמיות'!G70</f>
        <v>9.4338641806801439E-4</v>
      </c>
      <c r="K68" s="499"/>
      <c r="L68" s="499">
        <f>'רמה אומנותית'!G74</f>
        <v>7.2290898575869305E-3</v>
      </c>
      <c r="M68" s="53">
        <f t="shared" si="0"/>
        <v>6.2417113425034115E-3</v>
      </c>
      <c r="N68" s="53">
        <f t="shared" si="4"/>
        <v>6.2417113425034089E-3</v>
      </c>
      <c r="O68" s="297">
        <f t="shared" si="3"/>
        <v>50450.279737578225</v>
      </c>
      <c r="P68" s="290"/>
      <c r="Q68" s="53"/>
      <c r="R68" s="53"/>
      <c r="S68" s="303"/>
      <c r="T68" s="296"/>
      <c r="U68" s="415"/>
      <c r="V68" s="416"/>
      <c r="W68" s="294"/>
      <c r="X68" s="297"/>
    </row>
    <row r="69" spans="2:24" ht="15.75" x14ac:dyDescent="0.25">
      <c r="B69" s="9">
        <f t="shared" si="2"/>
        <v>63</v>
      </c>
      <c r="C69" s="414" t="str">
        <f>'רמה אומנותית'!B75</f>
        <v>רייצ'ל ארדוס</v>
      </c>
      <c r="D69" s="501">
        <f>IF(C69="","",סיווג!AB83)</f>
        <v>1</v>
      </c>
      <c r="E69" s="499">
        <f>הרצות!G71</f>
        <v>1.3907722262786413E-2</v>
      </c>
      <c r="F69" s="499">
        <f>'רקדנים ומבצעים'!I71</f>
        <v>1.9071091159815746E-2</v>
      </c>
      <c r="G69" s="499"/>
      <c r="H69" s="499">
        <f>'מיקום ההרצות'!J75</f>
        <v>1.8568998685314895E-2</v>
      </c>
      <c r="I69" s="499"/>
      <c r="J69" s="499">
        <f>'הכנסות עצמיות'!G71</f>
        <v>1.6042927172084196E-2</v>
      </c>
      <c r="K69" s="499"/>
      <c r="L69" s="499">
        <f>'רמה אומנותית'!G75</f>
        <v>7.2290898575869305E-3</v>
      </c>
      <c r="M69" s="53">
        <f t="shared" si="0"/>
        <v>1.4497838185264789E-2</v>
      </c>
      <c r="N69" s="53">
        <f t="shared" si="4"/>
        <v>1.4497838185264782E-2</v>
      </c>
      <c r="O69" s="297">
        <f t="shared" si="3"/>
        <v>117182.6045616835</v>
      </c>
      <c r="P69" s="290"/>
      <c r="Q69" s="53"/>
      <c r="R69" s="53"/>
      <c r="S69" s="303"/>
      <c r="T69" s="296"/>
      <c r="U69" s="415"/>
      <c r="V69" s="416"/>
      <c r="W69" s="294"/>
      <c r="X69" s="297"/>
    </row>
    <row r="70" spans="2:24" ht="15.75" x14ac:dyDescent="0.25">
      <c r="B70" s="9">
        <f t="shared" si="2"/>
        <v>64</v>
      </c>
      <c r="C70" s="414" t="str">
        <f>'רמה אומנותית'!B76</f>
        <v>שירה אביתר</v>
      </c>
      <c r="D70" s="501">
        <f>IF(C70="","",סיווג!AB84)</f>
        <v>1</v>
      </c>
      <c r="E70" s="499">
        <f>הרצות!G72</f>
        <v>5.7948842761610057E-3</v>
      </c>
      <c r="F70" s="499">
        <f>'רקדנים ומבצעים'!I72</f>
        <v>7.3350350614675942E-3</v>
      </c>
      <c r="G70" s="499"/>
      <c r="H70" s="499">
        <f>'מיקום ההרצות'!J76</f>
        <v>6.6848395267133619E-3</v>
      </c>
      <c r="I70" s="499"/>
      <c r="J70" s="499">
        <f>'הכנסות עצמיות'!G72</f>
        <v>9.5424934422331403E-4</v>
      </c>
      <c r="K70" s="499"/>
      <c r="L70" s="499">
        <f>'רמה אומנותית'!G76</f>
        <v>7.2290898575869305E-3</v>
      </c>
      <c r="M70" s="53">
        <f t="shared" si="0"/>
        <v>5.5106240881752054E-3</v>
      </c>
      <c r="N70" s="53">
        <f t="shared" si="4"/>
        <v>5.5106240881752028E-3</v>
      </c>
      <c r="O70" s="297">
        <f t="shared" si="3"/>
        <v>44541.073997435356</v>
      </c>
      <c r="P70" s="290"/>
      <c r="Q70" s="53"/>
      <c r="R70" s="53"/>
      <c r="S70" s="303"/>
      <c r="T70" s="296"/>
      <c r="U70" s="415"/>
      <c r="V70" s="416"/>
      <c r="W70" s="294"/>
      <c r="X70" s="297"/>
    </row>
    <row r="71" spans="2:24" ht="15.75" x14ac:dyDescent="0.25">
      <c r="B71" s="9">
        <f t="shared" si="2"/>
        <v>65</v>
      </c>
      <c r="C71" s="414" t="str">
        <f>'רמה אומנותית'!B77</f>
        <v>שלומית פונדמינסקי</v>
      </c>
      <c r="D71" s="501">
        <f>IF(C71="","",סיווג!AB85)</f>
        <v>1</v>
      </c>
      <c r="E71" s="499">
        <f>הרצות!G73</f>
        <v>2.6076979242724525E-2</v>
      </c>
      <c r="F71" s="499">
        <f>'רקדנים ומבצעים'!I73</f>
        <v>2.0538098172109262E-2</v>
      </c>
      <c r="G71" s="499"/>
      <c r="H71" s="499">
        <f>'מיקום ההרצות'!J77</f>
        <v>5.1993196318881704E-2</v>
      </c>
      <c r="I71" s="499"/>
      <c r="J71" s="499">
        <f>'הכנסות עצמיות'!G73</f>
        <v>1.441176339227135E-2</v>
      </c>
      <c r="K71" s="499"/>
      <c r="L71" s="499">
        <f>'רמה אומנותית'!G77</f>
        <v>7.2290898575869305E-3</v>
      </c>
      <c r="M71" s="53">
        <f t="shared" ref="M71:M102" si="5">IF(D71="","",SUMPRODUCT($E$6:$L$6,E71:L71))</f>
        <v>2.1458203689099037E-2</v>
      </c>
      <c r="N71" s="53">
        <f t="shared" ref="N71:N102" si="6">IF($C71="","",IFERROR(M71/$M$119,0))</f>
        <v>2.1458203689099026E-2</v>
      </c>
      <c r="O71" s="297">
        <f t="shared" si="3"/>
        <v>173441.59628291681</v>
      </c>
      <c r="P71" s="290"/>
      <c r="Q71" s="53"/>
      <c r="R71" s="53"/>
      <c r="S71" s="303"/>
      <c r="T71" s="296"/>
      <c r="U71" s="415"/>
      <c r="V71" s="416"/>
      <c r="W71" s="294"/>
      <c r="X71" s="297"/>
    </row>
    <row r="72" spans="2:24" ht="15.75" x14ac:dyDescent="0.25">
      <c r="B72" s="9">
        <f t="shared" ref="B72:B118" si="7">ROW()-6</f>
        <v>66</v>
      </c>
      <c r="C72" s="414" t="str">
        <f>'רמה אומנותית'!B78</f>
        <v/>
      </c>
      <c r="D72" s="501" t="str">
        <f>IF(C72="","",סיווג!AB86)</f>
        <v/>
      </c>
      <c r="E72" s="499" t="str">
        <f>הרצות!G74</f>
        <v/>
      </c>
      <c r="F72" s="499" t="str">
        <f>'רקדנים ומבצעים'!I74</f>
        <v/>
      </c>
      <c r="G72" s="499"/>
      <c r="H72" s="499" t="str">
        <f>'מיקום ההרצות'!J78</f>
        <v/>
      </c>
      <c r="I72" s="499"/>
      <c r="J72" s="499" t="str">
        <f>'הכנסות עצמיות'!G74</f>
        <v/>
      </c>
      <c r="K72" s="499"/>
      <c r="L72" s="499" t="str">
        <f>'רמה אומנותית'!G78</f>
        <v/>
      </c>
      <c r="M72" s="53" t="str">
        <f t="shared" si="5"/>
        <v/>
      </c>
      <c r="N72" s="53" t="str">
        <f t="shared" si="6"/>
        <v/>
      </c>
      <c r="O72" s="297" t="str">
        <f t="shared" ref="O72:O106" si="8">IF(N72="","",N72*$O$6)</f>
        <v/>
      </c>
      <c r="P72" s="290"/>
      <c r="Q72" s="53"/>
      <c r="R72" s="53"/>
      <c r="S72" s="303"/>
      <c r="T72" s="296"/>
      <c r="U72" s="415"/>
      <c r="V72" s="416"/>
      <c r="W72" s="294"/>
      <c r="X72" s="297"/>
    </row>
    <row r="73" spans="2:24" ht="15.75" x14ac:dyDescent="0.25">
      <c r="B73" s="9">
        <f t="shared" si="7"/>
        <v>67</v>
      </c>
      <c r="C73" s="414" t="str">
        <f>'רמה אומנותית'!B79</f>
        <v>שרון וזנה</v>
      </c>
      <c r="D73" s="501">
        <f>IF(C73="","",סיווג!AB87)</f>
        <v>1</v>
      </c>
      <c r="E73" s="499">
        <f>הרצות!G75</f>
        <v>8.6923264142415076E-3</v>
      </c>
      <c r="F73" s="499">
        <f>'רקדנים ומבצעים'!I75</f>
        <v>1.0269049086054631E-2</v>
      </c>
      <c r="G73" s="499"/>
      <c r="H73" s="499">
        <f>'מיקום ההרצות'!J79</f>
        <v>8.9131193689511497E-3</v>
      </c>
      <c r="I73" s="499"/>
      <c r="J73" s="499">
        <f>'הכנסות עצמיות'!G75</f>
        <v>1.3881021371805325E-2</v>
      </c>
      <c r="K73" s="499"/>
      <c r="L73" s="499">
        <f>'רמה אומנותית'!G79</f>
        <v>7.2290898575869305E-3</v>
      </c>
      <c r="M73" s="53">
        <f t="shared" si="5"/>
        <v>9.7748419242569447E-3</v>
      </c>
      <c r="N73" s="53">
        <f t="shared" si="6"/>
        <v>9.7748419242569395E-3</v>
      </c>
      <c r="O73" s="297">
        <f t="shared" si="8"/>
        <v>79007.740411074716</v>
      </c>
      <c r="P73" s="290"/>
      <c r="Q73" s="53"/>
      <c r="R73" s="53"/>
      <c r="S73" s="303"/>
      <c r="T73" s="296"/>
      <c r="U73" s="415"/>
      <c r="V73" s="416"/>
      <c r="W73" s="294"/>
      <c r="X73" s="297"/>
    </row>
    <row r="74" spans="2:24" ht="15.75" x14ac:dyDescent="0.25">
      <c r="B74" s="9">
        <f t="shared" si="7"/>
        <v>68</v>
      </c>
      <c r="C74" s="414" t="str">
        <f>'רמה אומנותית'!B80</f>
        <v>שרונה פלורסהיים</v>
      </c>
      <c r="D74" s="501">
        <f>IF(C74="","",סיווג!AB88)</f>
        <v>1</v>
      </c>
      <c r="E74" s="499">
        <f>הרצות!G76</f>
        <v>1.1010280124705911E-2</v>
      </c>
      <c r="F74" s="499">
        <f>'רקדנים ומבצעים'!I76</f>
        <v>2.3472112196696301E-2</v>
      </c>
      <c r="G74" s="499"/>
      <c r="H74" s="499">
        <f>'מיקום ההרצות'!J80</f>
        <v>1.1884159158601533E-2</v>
      </c>
      <c r="I74" s="499"/>
      <c r="J74" s="499">
        <f>'הכנסות עצמיות'!G76</f>
        <v>2.0942070169049479E-2</v>
      </c>
      <c r="K74" s="499"/>
      <c r="L74" s="499">
        <f>'רמה אומנותית'!G80</f>
        <v>1.8072724643967326E-2</v>
      </c>
      <c r="M74" s="53">
        <f t="shared" si="5"/>
        <v>1.698888135521455E-2</v>
      </c>
      <c r="N74" s="53">
        <f t="shared" si="6"/>
        <v>1.6988881355214543E-2</v>
      </c>
      <c r="O74" s="297">
        <f t="shared" si="8"/>
        <v>137317.11861819931</v>
      </c>
      <c r="P74" s="290"/>
      <c r="Q74" s="53"/>
      <c r="R74" s="53"/>
      <c r="S74" s="303"/>
      <c r="T74" s="296"/>
      <c r="U74" s="415"/>
      <c r="V74" s="416"/>
      <c r="W74" s="294"/>
      <c r="X74" s="297"/>
    </row>
    <row r="75" spans="2:24" ht="15.75" x14ac:dyDescent="0.25">
      <c r="B75" s="9">
        <f t="shared" si="7"/>
        <v>69</v>
      </c>
      <c r="C75" s="414" t="str">
        <f>'רמה אומנותית'!B81</f>
        <v>תמי ליבוביץ</v>
      </c>
      <c r="D75" s="501">
        <f>IF(C75="","",סיווג!AB89)</f>
        <v>1</v>
      </c>
      <c r="E75" s="499">
        <f>הרצות!G77</f>
        <v>8.1128379866254076E-3</v>
      </c>
      <c r="F75" s="499">
        <f>'רקדנים ומבצעים'!I77</f>
        <v>5.8680280491740754E-3</v>
      </c>
      <c r="G75" s="499"/>
      <c r="H75" s="499">
        <f>'מיקום ההרצות'!J81</f>
        <v>1.1141399211188936E-2</v>
      </c>
      <c r="I75" s="499"/>
      <c r="J75" s="499">
        <f>'הכנסות עצמיות'!G77</f>
        <v>4.7109868402145363E-3</v>
      </c>
      <c r="K75" s="499"/>
      <c r="L75" s="499">
        <f>'רמה אומנותית'!G81</f>
        <v>7.2290898575869305E-3</v>
      </c>
      <c r="M75" s="53">
        <f t="shared" si="5"/>
        <v>7.109612266501625E-3</v>
      </c>
      <c r="N75" s="53">
        <f t="shared" si="6"/>
        <v>7.1096122665016215E-3</v>
      </c>
      <c r="O75" s="297">
        <f t="shared" si="8"/>
        <v>57465.318081637713</v>
      </c>
      <c r="P75" s="290"/>
      <c r="Q75" s="53"/>
      <c r="R75" s="53"/>
      <c r="S75" s="303"/>
      <c r="T75" s="296"/>
      <c r="U75" s="415"/>
      <c r="V75" s="416"/>
      <c r="W75" s="294"/>
      <c r="X75" s="297"/>
    </row>
    <row r="76" spans="2:24" ht="15.75" x14ac:dyDescent="0.25">
      <c r="B76" s="9">
        <f t="shared" si="7"/>
        <v>70</v>
      </c>
      <c r="C76" s="414" t="str">
        <f>'רמה אומנותית'!B82</f>
        <v>תמר בורר</v>
      </c>
      <c r="D76" s="501">
        <f>IF(C76="","",סיווג!AB90)</f>
        <v>1</v>
      </c>
      <c r="E76" s="499">
        <f>הרצות!G78</f>
        <v>7.5333495590093075E-3</v>
      </c>
      <c r="F76" s="499">
        <f>'רקדנים ומבצעים'!I78</f>
        <v>1.3203063110641669E-2</v>
      </c>
      <c r="G76" s="499"/>
      <c r="H76" s="499">
        <f>'מיקום ההרצות'!J82</f>
        <v>0</v>
      </c>
      <c r="I76" s="499"/>
      <c r="J76" s="499">
        <f>'הכנסות עצמיות'!G78</f>
        <v>6.060962308534458E-3</v>
      </c>
      <c r="K76" s="499"/>
      <c r="L76" s="499">
        <f>'רמה אומנותית'!G82</f>
        <v>7.2290898575869305E-3</v>
      </c>
      <c r="M76" s="53">
        <f t="shared" si="5"/>
        <v>7.5586279230554039E-3</v>
      </c>
      <c r="N76" s="53">
        <f t="shared" si="6"/>
        <v>7.5586279230554004E-3</v>
      </c>
      <c r="O76" s="297">
        <f t="shared" si="8"/>
        <v>61094.605665866962</v>
      </c>
      <c r="P76" s="290"/>
      <c r="Q76" s="53"/>
      <c r="R76" s="53"/>
      <c r="S76" s="303"/>
      <c r="T76" s="296"/>
      <c r="U76" s="415"/>
      <c r="V76" s="416"/>
      <c r="W76" s="294"/>
      <c r="X76" s="297"/>
    </row>
    <row r="77" spans="2:24" ht="15.75" x14ac:dyDescent="0.25">
      <c r="B77" s="9">
        <f t="shared" si="7"/>
        <v>71</v>
      </c>
      <c r="C77" s="414" t="str">
        <f>'רמה אומנותית'!B83</f>
        <v>תמי ורונן יצחקי</v>
      </c>
      <c r="D77" s="501">
        <f>IF(C77="","",סיווג!AB91)</f>
        <v>1</v>
      </c>
      <c r="E77" s="499">
        <f>הרצות!G79</f>
        <v>8.6923264142415076E-3</v>
      </c>
      <c r="F77" s="499">
        <f>'רקדנים ומבצעים'!I79</f>
        <v>4.4010210368805565E-3</v>
      </c>
      <c r="G77" s="499"/>
      <c r="H77" s="499">
        <f>'מיקום ההרצות'!J83</f>
        <v>8.9131193689511497E-3</v>
      </c>
      <c r="I77" s="499"/>
      <c r="J77" s="499">
        <f>'הכנסות עצמיות'!G79</f>
        <v>1.8500444020271643E-2</v>
      </c>
      <c r="K77" s="499"/>
      <c r="L77" s="499">
        <f>'רמה אומנותית'!G83</f>
        <v>7.2290898575869305E-3</v>
      </c>
      <c r="M77" s="53">
        <f t="shared" si="5"/>
        <v>9.5251208441153937E-3</v>
      </c>
      <c r="N77" s="53">
        <f t="shared" si="6"/>
        <v>9.5251208441153902E-3</v>
      </c>
      <c r="O77" s="297">
        <f t="shared" si="8"/>
        <v>76989.303854465485</v>
      </c>
      <c r="P77" s="290"/>
      <c r="Q77" s="53"/>
      <c r="R77" s="53"/>
      <c r="S77" s="303"/>
      <c r="T77" s="296"/>
      <c r="U77" s="415"/>
      <c r="V77" s="416"/>
      <c r="W77" s="294"/>
      <c r="X77" s="297"/>
    </row>
    <row r="78" spans="2:24" ht="15.75" x14ac:dyDescent="0.25">
      <c r="B78" s="9">
        <f t="shared" si="7"/>
        <v>72</v>
      </c>
      <c r="C78" s="414" t="str">
        <f>'רמה אומנותית'!B84</f>
        <v>רננה רז</v>
      </c>
      <c r="D78" s="501">
        <f>IF(C78="","",סיווג!AB92)</f>
        <v>1</v>
      </c>
      <c r="E78" s="499">
        <f>הרצות!G80</f>
        <v>4.6359074209288047E-3</v>
      </c>
      <c r="F78" s="499">
        <f>'רקדנים ומבצעים'!I80</f>
        <v>5.8680280491740754E-3</v>
      </c>
      <c r="G78" s="499"/>
      <c r="H78" s="499">
        <f>'מיקום ההרצות'!J84</f>
        <v>1.4855198948251916E-3</v>
      </c>
      <c r="I78" s="499"/>
      <c r="J78" s="499">
        <f>'הכנסות עצמיות'!G80</f>
        <v>6.0256027499174608E-2</v>
      </c>
      <c r="K78" s="499"/>
      <c r="L78" s="499">
        <f>'רמה אומנותית'!G84</f>
        <v>1.8072724643967326E-2</v>
      </c>
      <c r="M78" s="53">
        <f t="shared" si="5"/>
        <v>1.8378680254224365E-2</v>
      </c>
      <c r="N78" s="53">
        <f t="shared" si="6"/>
        <v>1.8378680254224358E-2</v>
      </c>
      <c r="O78" s="297">
        <f t="shared" si="8"/>
        <v>148550.53512635548</v>
      </c>
      <c r="P78" s="290"/>
      <c r="Q78" s="53"/>
      <c r="R78" s="53"/>
      <c r="S78" s="303"/>
      <c r="T78" s="296"/>
      <c r="U78" s="415"/>
      <c r="V78" s="416"/>
      <c r="W78" s="294"/>
      <c r="X78" s="297"/>
    </row>
    <row r="79" spans="2:24" ht="15.75" x14ac:dyDescent="0.25">
      <c r="B79" s="9">
        <f t="shared" si="7"/>
        <v>73</v>
      </c>
      <c r="C79" s="414" t="str">
        <f>'רמה אומנותית'!B85</f>
        <v>רתם תשח</v>
      </c>
      <c r="D79" s="501">
        <f>IF(C79="","",סיווג!AB93)</f>
        <v>1</v>
      </c>
      <c r="E79" s="499">
        <f>הרצות!G81</f>
        <v>2.8974421380805028E-3</v>
      </c>
      <c r="F79" s="499">
        <f>'רקדנים ומבצעים'!I81</f>
        <v>1.4670070122935188E-3</v>
      </c>
      <c r="G79" s="499"/>
      <c r="H79" s="499">
        <f>'מיקום ההרצות'!J85</f>
        <v>0</v>
      </c>
      <c r="I79" s="499"/>
      <c r="J79" s="499">
        <f>'הכנסות עצמיות'!G81</f>
        <v>5.9993812609378605E-3</v>
      </c>
      <c r="K79" s="499"/>
      <c r="L79" s="499">
        <f>'רמה אומנותית'!G85</f>
        <v>1.0843634786380396E-2</v>
      </c>
      <c r="M79" s="53">
        <f t="shared" si="5"/>
        <v>4.5312372533465057E-3</v>
      </c>
      <c r="N79" s="53">
        <f t="shared" si="6"/>
        <v>4.531237253346504E-3</v>
      </c>
      <c r="O79" s="297">
        <f t="shared" si="8"/>
        <v>36624.921346808005</v>
      </c>
      <c r="P79" s="290"/>
      <c r="Q79" s="53"/>
      <c r="R79" s="53"/>
      <c r="S79" s="303"/>
      <c r="T79" s="296"/>
      <c r="U79" s="415"/>
      <c r="V79" s="416"/>
      <c r="W79" s="294"/>
      <c r="X79" s="297"/>
    </row>
    <row r="80" spans="2:24" ht="15.75" x14ac:dyDescent="0.25">
      <c r="B80" s="9">
        <f t="shared" si="7"/>
        <v>74</v>
      </c>
      <c r="C80" s="414" t="str">
        <f>'רמה אומנותית'!B86</f>
        <v/>
      </c>
      <c r="D80" s="501" t="str">
        <f>IF(C80="","",סיווג!AB94)</f>
        <v/>
      </c>
      <c r="E80" s="499" t="str">
        <f>הרצות!G82</f>
        <v/>
      </c>
      <c r="F80" s="499" t="str">
        <f>'רקדנים ומבצעים'!I82</f>
        <v/>
      </c>
      <c r="G80" s="499"/>
      <c r="H80" s="499" t="str">
        <f>'מיקום ההרצות'!J86</f>
        <v/>
      </c>
      <c r="I80" s="499"/>
      <c r="J80" s="499" t="str">
        <f>'הכנסות עצמיות'!G82</f>
        <v/>
      </c>
      <c r="K80" s="499"/>
      <c r="L80" s="499" t="str">
        <f>'רמה אומנותית'!G86</f>
        <v/>
      </c>
      <c r="M80" s="53" t="str">
        <f t="shared" si="5"/>
        <v/>
      </c>
      <c r="N80" s="53" t="str">
        <f t="shared" si="6"/>
        <v/>
      </c>
      <c r="O80" s="297" t="str">
        <f t="shared" si="8"/>
        <v/>
      </c>
      <c r="P80" s="290"/>
      <c r="Q80" s="53"/>
      <c r="R80" s="53"/>
      <c r="S80" s="303"/>
      <c r="T80" s="296"/>
      <c r="U80" s="415"/>
      <c r="V80" s="416"/>
      <c r="W80" s="294"/>
      <c r="X80" s="297"/>
    </row>
    <row r="81" spans="2:24" ht="15.75" x14ac:dyDescent="0.25">
      <c r="B81" s="9">
        <f t="shared" si="7"/>
        <v>75</v>
      </c>
      <c r="C81" s="414" t="str">
        <f>'רמה אומנותית'!B87</f>
        <v/>
      </c>
      <c r="D81" s="501" t="str">
        <f>IF(C81="","",סיווג!AB95)</f>
        <v/>
      </c>
      <c r="E81" s="499" t="str">
        <f>הרצות!G83</f>
        <v/>
      </c>
      <c r="F81" s="499" t="str">
        <f>'רקדנים ומבצעים'!I83</f>
        <v/>
      </c>
      <c r="G81" s="499"/>
      <c r="H81" s="499" t="str">
        <f>'מיקום ההרצות'!J87</f>
        <v/>
      </c>
      <c r="I81" s="499"/>
      <c r="J81" s="499" t="str">
        <f>'הכנסות עצמיות'!G83</f>
        <v/>
      </c>
      <c r="K81" s="499"/>
      <c r="L81" s="499" t="str">
        <f>'רמה אומנותית'!G87</f>
        <v/>
      </c>
      <c r="M81" s="53" t="str">
        <f t="shared" si="5"/>
        <v/>
      </c>
      <c r="N81" s="53" t="str">
        <f t="shared" si="6"/>
        <v/>
      </c>
      <c r="O81" s="297" t="str">
        <f t="shared" si="8"/>
        <v/>
      </c>
      <c r="P81" s="290"/>
      <c r="Q81" s="53"/>
      <c r="R81" s="53"/>
      <c r="S81" s="303"/>
      <c r="T81" s="296"/>
      <c r="U81" s="415"/>
      <c r="V81" s="416"/>
      <c r="W81" s="294"/>
      <c r="X81" s="297"/>
    </row>
    <row r="82" spans="2:24" ht="15.75" x14ac:dyDescent="0.25">
      <c r="B82" s="9">
        <f t="shared" si="7"/>
        <v>76</v>
      </c>
      <c r="C82" s="414" t="str">
        <f>'רמה אומנותית'!B88</f>
        <v>שרון שגיא - פלמנקו</v>
      </c>
      <c r="D82" s="501">
        <f>IF(C82="","",סיווג!AB96)</f>
        <v>1</v>
      </c>
      <c r="E82" s="499">
        <f>הרצות!G84</f>
        <v>3.7666747795046536E-2</v>
      </c>
      <c r="F82" s="499">
        <f>'רקדנים ומבצעים'!I84</f>
        <v>2.2005105184402782E-2</v>
      </c>
      <c r="G82" s="499"/>
      <c r="H82" s="499">
        <f>'מיקום ההרצות'!J88</f>
        <v>5.7935275898182467E-2</v>
      </c>
      <c r="I82" s="499"/>
      <c r="J82" s="499">
        <f>'הכנסות עצמיות'!G84</f>
        <v>1.9940809309944615E-2</v>
      </c>
      <c r="K82" s="499"/>
      <c r="L82" s="499">
        <f>'רמה אומנותית'!G88</f>
        <v>1.8072724643967326E-2</v>
      </c>
      <c r="M82" s="53">
        <f t="shared" si="5"/>
        <v>2.9097279755995156E-2</v>
      </c>
      <c r="N82" s="53">
        <f t="shared" si="6"/>
        <v>2.9097279755995142E-2</v>
      </c>
      <c r="O82" s="297">
        <f t="shared" si="8"/>
        <v>235186.44530968633</v>
      </c>
      <c r="P82" s="290"/>
      <c r="Q82" s="53"/>
      <c r="R82" s="53"/>
      <c r="S82" s="303"/>
      <c r="T82" s="296"/>
      <c r="U82" s="415"/>
      <c r="V82" s="416"/>
      <c r="W82" s="294"/>
      <c r="X82" s="297"/>
    </row>
    <row r="83" spans="2:24" ht="15.75" x14ac:dyDescent="0.25">
      <c r="B83" s="9">
        <f t="shared" si="7"/>
        <v>77</v>
      </c>
      <c r="C83" s="414" t="str">
        <f>'רמה אומנותית'!B89</f>
        <v/>
      </c>
      <c r="D83" s="501" t="str">
        <f>IF(C83="","",סיווג!AB97)</f>
        <v/>
      </c>
      <c r="E83" s="499" t="str">
        <f>הרצות!G85</f>
        <v/>
      </c>
      <c r="F83" s="499" t="str">
        <f>'רקדנים ומבצעים'!I85</f>
        <v/>
      </c>
      <c r="G83" s="499"/>
      <c r="H83" s="499" t="str">
        <f>'מיקום ההרצות'!J89</f>
        <v/>
      </c>
      <c r="I83" s="499"/>
      <c r="J83" s="499" t="str">
        <f>'הכנסות עצמיות'!G85</f>
        <v/>
      </c>
      <c r="K83" s="499"/>
      <c r="L83" s="499" t="str">
        <f>'רמה אומנותית'!G89</f>
        <v/>
      </c>
      <c r="M83" s="53" t="str">
        <f t="shared" si="5"/>
        <v/>
      </c>
      <c r="N83" s="53" t="str">
        <f t="shared" si="6"/>
        <v/>
      </c>
      <c r="O83" s="297" t="str">
        <f t="shared" si="8"/>
        <v/>
      </c>
      <c r="P83" s="290"/>
      <c r="Q83" s="53"/>
      <c r="R83" s="53"/>
      <c r="S83" s="303"/>
      <c r="T83" s="296"/>
      <c r="U83" s="415"/>
      <c r="V83" s="416"/>
      <c r="W83" s="294"/>
      <c r="X83" s="297"/>
    </row>
    <row r="84" spans="2:24" ht="15.75" x14ac:dyDescent="0.25">
      <c r="B84" s="9">
        <f t="shared" si="7"/>
        <v>78</v>
      </c>
      <c r="C84" s="414" t="str">
        <f>'רמה אומנותית'!B90</f>
        <v>אוליביה קורט מסה</v>
      </c>
      <c r="D84" s="501">
        <f>IF(C84="","",סיווג!AB98)</f>
        <v>1</v>
      </c>
      <c r="E84" s="499">
        <f>הרצות!G86</f>
        <v>8.6923264142415076E-3</v>
      </c>
      <c r="F84" s="499">
        <f>'רקדנים ומבצעים'!I86</f>
        <v>8.802042073761113E-3</v>
      </c>
      <c r="G84" s="499"/>
      <c r="H84" s="499">
        <f>'מיקום ההרצות'!J90</f>
        <v>9.6558793163637451E-3</v>
      </c>
      <c r="I84" s="499"/>
      <c r="J84" s="499">
        <f>'הכנסות עצמיות'!G86</f>
        <v>1.8284102974036875E-2</v>
      </c>
      <c r="K84" s="499"/>
      <c r="L84" s="499">
        <f>'רמה אומנותית'!G90</f>
        <v>1.8072724643967326E-2</v>
      </c>
      <c r="M84" s="53">
        <f t="shared" si="5"/>
        <v>1.2605059794261889E-2</v>
      </c>
      <c r="N84" s="53">
        <f t="shared" si="6"/>
        <v>1.2605059794261884E-2</v>
      </c>
      <c r="O84" s="297">
        <f t="shared" si="8"/>
        <v>101883.72352290736</v>
      </c>
      <c r="P84" s="290"/>
      <c r="Q84" s="53"/>
      <c r="R84" s="53"/>
      <c r="S84" s="303"/>
      <c r="T84" s="296"/>
      <c r="U84" s="415"/>
      <c r="V84" s="416"/>
      <c r="W84" s="294"/>
      <c r="X84" s="297"/>
    </row>
    <row r="85" spans="2:24" ht="15.75" x14ac:dyDescent="0.25">
      <c r="B85" s="9">
        <f t="shared" si="7"/>
        <v>79</v>
      </c>
      <c r="C85" s="414" t="str">
        <f>'רמה אומנותית'!B91</f>
        <v/>
      </c>
      <c r="D85" s="501" t="str">
        <f>IF(C85="","",סיווג!AB99)</f>
        <v/>
      </c>
      <c r="E85" s="499" t="str">
        <f>הרצות!G87</f>
        <v/>
      </c>
      <c r="F85" s="499" t="str">
        <f>'רקדנים ומבצעים'!I87</f>
        <v/>
      </c>
      <c r="G85" s="499"/>
      <c r="H85" s="499" t="str">
        <f>'מיקום ההרצות'!J91</f>
        <v/>
      </c>
      <c r="I85" s="499"/>
      <c r="J85" s="499" t="str">
        <f>'הכנסות עצמיות'!G87</f>
        <v/>
      </c>
      <c r="K85" s="499"/>
      <c r="L85" s="499" t="str">
        <f>'רמה אומנותית'!G91</f>
        <v/>
      </c>
      <c r="M85" s="53" t="str">
        <f t="shared" si="5"/>
        <v/>
      </c>
      <c r="N85" s="53" t="str">
        <f t="shared" si="6"/>
        <v/>
      </c>
      <c r="O85" s="297" t="str">
        <f t="shared" si="8"/>
        <v/>
      </c>
      <c r="P85" s="290"/>
      <c r="Q85" s="53"/>
      <c r="R85" s="53"/>
      <c r="S85" s="303"/>
      <c r="T85" s="296"/>
      <c r="U85" s="415"/>
      <c r="V85" s="416"/>
      <c r="W85" s="294"/>
      <c r="X85" s="297"/>
    </row>
    <row r="86" spans="2:24" ht="15.75" x14ac:dyDescent="0.25">
      <c r="B86" s="9">
        <f t="shared" si="7"/>
        <v>80</v>
      </c>
      <c r="C86" s="414" t="str">
        <f>'רמה אומנותית'!B92</f>
        <v/>
      </c>
      <c r="D86" s="501" t="str">
        <f>IF(C86="","",סיווג!AB100)</f>
        <v/>
      </c>
      <c r="E86" s="499" t="str">
        <f>הרצות!G88</f>
        <v/>
      </c>
      <c r="F86" s="499" t="str">
        <f>'רקדנים ומבצעים'!I88</f>
        <v/>
      </c>
      <c r="G86" s="499"/>
      <c r="H86" s="499" t="str">
        <f>'מיקום ההרצות'!J92</f>
        <v/>
      </c>
      <c r="I86" s="499"/>
      <c r="J86" s="499" t="str">
        <f>'הכנסות עצמיות'!G88</f>
        <v/>
      </c>
      <c r="K86" s="499"/>
      <c r="L86" s="499" t="str">
        <f>'רמה אומנותית'!G92</f>
        <v/>
      </c>
      <c r="M86" s="53" t="str">
        <f t="shared" si="5"/>
        <v/>
      </c>
      <c r="N86" s="53" t="str">
        <f t="shared" si="6"/>
        <v/>
      </c>
      <c r="O86" s="297" t="str">
        <f t="shared" si="8"/>
        <v/>
      </c>
      <c r="P86" s="290"/>
      <c r="Q86" s="53"/>
      <c r="R86" s="53"/>
      <c r="S86" s="303"/>
      <c r="T86" s="296"/>
      <c r="U86" s="415"/>
      <c r="V86" s="416"/>
      <c r="W86" s="294"/>
      <c r="X86" s="297"/>
    </row>
    <row r="87" spans="2:24" ht="15.75" x14ac:dyDescent="0.25">
      <c r="B87" s="9">
        <f t="shared" si="7"/>
        <v>81</v>
      </c>
      <c r="C87" s="414" t="str">
        <f>'רמה אומנותית'!B93</f>
        <v>דגה פדר</v>
      </c>
      <c r="D87" s="501">
        <f>IF(C87="","",סיווג!AB101)</f>
        <v>1</v>
      </c>
      <c r="E87" s="499">
        <f>הרצות!G89</f>
        <v>2.8974421380805028E-3</v>
      </c>
      <c r="F87" s="499">
        <f>'רקדנים ומבצעים'!I89</f>
        <v>1.4670070122935188E-3</v>
      </c>
      <c r="G87" s="499"/>
      <c r="H87" s="499">
        <f>'מיקום ההרצות'!J93</f>
        <v>1.039863926377634E-2</v>
      </c>
      <c r="I87" s="499"/>
      <c r="J87" s="499">
        <f>'הכנסות עצמיות'!G89</f>
        <v>2.4353506069786602E-3</v>
      </c>
      <c r="K87" s="499"/>
      <c r="L87" s="499">
        <f>'רמה אומנותית'!G93</f>
        <v>7.2290898575869305E-3</v>
      </c>
      <c r="M87" s="53">
        <f t="shared" si="5"/>
        <v>4.1353860631736065E-3</v>
      </c>
      <c r="N87" s="53">
        <f t="shared" si="6"/>
        <v>4.1353860631736048E-3</v>
      </c>
      <c r="O87" s="297">
        <f t="shared" si="8"/>
        <v>33425.349597521337</v>
      </c>
      <c r="P87" s="290"/>
      <c r="Q87" s="53"/>
      <c r="R87" s="53"/>
      <c r="S87" s="303"/>
      <c r="T87" s="296"/>
      <c r="U87" s="415"/>
      <c r="V87" s="416"/>
      <c r="W87" s="294"/>
      <c r="X87" s="297"/>
    </row>
    <row r="88" spans="2:24" ht="15.75" x14ac:dyDescent="0.25">
      <c r="B88" s="9">
        <f t="shared" si="7"/>
        <v>82</v>
      </c>
      <c r="C88" s="414" t="str">
        <f>'רמה אומנותית'!B94</f>
        <v>דנה חפוטה</v>
      </c>
      <c r="D88" s="501">
        <f>IF(C88="","",סיווג!AB102)</f>
        <v>1</v>
      </c>
      <c r="E88" s="499">
        <f>הרצות!G90</f>
        <v>5.2153958485449048E-3</v>
      </c>
      <c r="F88" s="499">
        <f>'רקדנים ומבצעים'!I90</f>
        <v>1.0269049086054631E-2</v>
      </c>
      <c r="G88" s="499"/>
      <c r="H88" s="499">
        <f>'מיקום ההרצות'!J94</f>
        <v>9.6558793163637451E-3</v>
      </c>
      <c r="I88" s="499"/>
      <c r="J88" s="499">
        <f>'הכנסות עצמיות'!G90</f>
        <v>2.363420420274649E-3</v>
      </c>
      <c r="K88" s="499"/>
      <c r="L88" s="499">
        <f>'רמה אומנותית'!G94</f>
        <v>1.0843634786380396E-2</v>
      </c>
      <c r="M88" s="53">
        <f t="shared" si="5"/>
        <v>7.2254275447417807E-3</v>
      </c>
      <c r="N88" s="53">
        <f t="shared" si="6"/>
        <v>7.2254275447417773E-3</v>
      </c>
      <c r="O88" s="297">
        <f t="shared" si="8"/>
        <v>58401.425643247225</v>
      </c>
      <c r="P88" s="290"/>
      <c r="Q88" s="53"/>
      <c r="R88" s="53"/>
      <c r="S88" s="303"/>
      <c r="T88" s="296"/>
      <c r="U88" s="415"/>
      <c r="V88" s="416"/>
      <c r="W88" s="294"/>
      <c r="X88" s="297"/>
    </row>
    <row r="89" spans="2:24" ht="15.75" x14ac:dyDescent="0.25">
      <c r="B89" s="9">
        <f t="shared" si="7"/>
        <v>83</v>
      </c>
      <c r="C89" s="414" t="str">
        <f>'רמה אומנותית'!B95</f>
        <v/>
      </c>
      <c r="D89" s="501" t="str">
        <f>IF(C89="","",סיווג!AB103)</f>
        <v/>
      </c>
      <c r="E89" s="499" t="str">
        <f>הרצות!G91</f>
        <v/>
      </c>
      <c r="F89" s="499" t="str">
        <f>'רקדנים ומבצעים'!I91</f>
        <v/>
      </c>
      <c r="G89" s="499"/>
      <c r="H89" s="499" t="str">
        <f>'מיקום ההרצות'!J95</f>
        <v/>
      </c>
      <c r="I89" s="499"/>
      <c r="J89" s="499" t="str">
        <f>'הכנסות עצמיות'!G91</f>
        <v/>
      </c>
      <c r="K89" s="499"/>
      <c r="L89" s="499" t="str">
        <f>'רמה אומנותית'!G95</f>
        <v/>
      </c>
      <c r="M89" s="53" t="str">
        <f t="shared" si="5"/>
        <v/>
      </c>
      <c r="N89" s="53" t="str">
        <f t="shared" si="6"/>
        <v/>
      </c>
      <c r="O89" s="297" t="str">
        <f t="shared" si="8"/>
        <v/>
      </c>
      <c r="P89" s="290"/>
      <c r="Q89" s="53"/>
      <c r="R89" s="53"/>
      <c r="S89" s="303"/>
      <c r="T89" s="296"/>
      <c r="U89" s="415"/>
      <c r="V89" s="416"/>
      <c r="W89" s="294"/>
      <c r="X89" s="297"/>
    </row>
    <row r="90" spans="2:24" ht="15.75" x14ac:dyDescent="0.25">
      <c r="B90" s="9">
        <f t="shared" si="7"/>
        <v>84</v>
      </c>
      <c r="C90" s="414" t="str">
        <f>'רמה אומנותית'!B96</f>
        <v/>
      </c>
      <c r="D90" s="501" t="str">
        <f>IF(C90="","",סיווג!AB104)</f>
        <v/>
      </c>
      <c r="E90" s="499" t="str">
        <f>הרצות!G92</f>
        <v/>
      </c>
      <c r="F90" s="499" t="str">
        <f>'רקדנים ומבצעים'!I92</f>
        <v/>
      </c>
      <c r="G90" s="499"/>
      <c r="H90" s="499" t="str">
        <f>'מיקום ההרצות'!J96</f>
        <v/>
      </c>
      <c r="I90" s="499"/>
      <c r="J90" s="499" t="str">
        <f>'הכנסות עצמיות'!G92</f>
        <v/>
      </c>
      <c r="K90" s="499"/>
      <c r="L90" s="499" t="str">
        <f>'רמה אומנותית'!G96</f>
        <v/>
      </c>
      <c r="M90" s="53" t="str">
        <f t="shared" si="5"/>
        <v/>
      </c>
      <c r="N90" s="53" t="str">
        <f t="shared" si="6"/>
        <v/>
      </c>
      <c r="O90" s="297" t="str">
        <f t="shared" si="8"/>
        <v/>
      </c>
      <c r="P90" s="290"/>
      <c r="Q90" s="53"/>
      <c r="R90" s="53"/>
      <c r="S90" s="303"/>
      <c r="T90" s="296"/>
      <c r="U90" s="415"/>
      <c r="V90" s="416"/>
      <c r="W90" s="294"/>
      <c r="X90" s="297"/>
    </row>
    <row r="91" spans="2:24" ht="15.75" x14ac:dyDescent="0.25">
      <c r="B91" s="9">
        <f t="shared" si="7"/>
        <v>85</v>
      </c>
      <c r="C91" s="414" t="str">
        <f>'רמה אומנותית'!B97</f>
        <v>יענק'לה פילצר</v>
      </c>
      <c r="D91" s="501">
        <f>IF(C91="","",סיווג!AB105)</f>
        <v>1</v>
      </c>
      <c r="E91" s="499">
        <f>הרצות!G93</f>
        <v>2.3759025532260124E-2</v>
      </c>
      <c r="F91" s="499">
        <f>'רקדנים ומבצעים'!I93</f>
        <v>4.2543203356512044E-2</v>
      </c>
      <c r="G91" s="499"/>
      <c r="H91" s="499">
        <f>'מיקום ההרצות'!J97</f>
        <v>1.1141399211188936E-2</v>
      </c>
      <c r="I91" s="499"/>
      <c r="J91" s="499">
        <f>'הכנסות עצמיות'!G93</f>
        <v>1.6331602094846315E-2</v>
      </c>
      <c r="K91" s="499"/>
      <c r="L91" s="499">
        <f>'רמה אומנותית'!G97</f>
        <v>7.2290898575869305E-3</v>
      </c>
      <c r="M91" s="53">
        <f t="shared" si="5"/>
        <v>2.1462626642585986E-2</v>
      </c>
      <c r="N91" s="53">
        <f t="shared" si="6"/>
        <v>2.1462626642585976E-2</v>
      </c>
      <c r="O91" s="297">
        <f t="shared" si="8"/>
        <v>173477.34597213479</v>
      </c>
      <c r="P91" s="290"/>
      <c r="Q91" s="53"/>
      <c r="R91" s="53"/>
      <c r="S91" s="303"/>
      <c r="T91" s="296"/>
      <c r="U91" s="415"/>
      <c r="V91" s="416"/>
      <c r="W91" s="294"/>
      <c r="X91" s="297"/>
    </row>
    <row r="92" spans="2:24" ht="15.75" x14ac:dyDescent="0.25">
      <c r="B92" s="9">
        <f t="shared" si="7"/>
        <v>86</v>
      </c>
      <c r="C92" s="414" t="str">
        <f>'רמה אומנותית'!B98</f>
        <v>ענבל פינטו</v>
      </c>
      <c r="D92" s="501">
        <f>IF(C92="","",סיווג!AB106)</f>
        <v>1</v>
      </c>
      <c r="E92" s="499">
        <f>הרצות!G94</f>
        <v>1.2748745407554211E-2</v>
      </c>
      <c r="F92" s="499">
        <f>'רקדנים ומבצעים'!I94</f>
        <v>5.8680280491740754E-3</v>
      </c>
      <c r="G92" s="499"/>
      <c r="H92" s="499">
        <f>'מיקום ההרצות'!J98</f>
        <v>0</v>
      </c>
      <c r="I92" s="499"/>
      <c r="J92" s="499">
        <f>'הכנסות עצמיות'!G94</f>
        <v>1.9405736798646413E-2</v>
      </c>
      <c r="K92" s="499"/>
      <c r="L92" s="499">
        <f>'רמה אומנותית'!G98</f>
        <v>1.8072724643967326E-2</v>
      </c>
      <c r="M92" s="53">
        <f t="shared" si="5"/>
        <v>1.2493921520623825E-2</v>
      </c>
      <c r="N92" s="53">
        <f t="shared" si="6"/>
        <v>1.249392152062382E-2</v>
      </c>
      <c r="O92" s="297">
        <f t="shared" si="8"/>
        <v>100985.41908572346</v>
      </c>
      <c r="P92" s="290"/>
      <c r="Q92" s="53"/>
      <c r="R92" s="53"/>
      <c r="S92" s="303"/>
      <c r="T92" s="296"/>
      <c r="U92" s="415"/>
      <c r="V92" s="416"/>
      <c r="W92" s="294"/>
      <c r="X92" s="297"/>
    </row>
    <row r="93" spans="2:24" ht="15.75" x14ac:dyDescent="0.25">
      <c r="B93" s="9">
        <f t="shared" si="7"/>
        <v>87</v>
      </c>
      <c r="C93" s="414" t="str">
        <f>'רמה אומנותית'!B99</f>
        <v>רוני חדש</v>
      </c>
      <c r="D93" s="501">
        <f>IF(C93="","",סיווג!AB107)</f>
        <v>1</v>
      </c>
      <c r="E93" s="499">
        <f>הרצות!G95</f>
        <v>8.6923264142415076E-3</v>
      </c>
      <c r="F93" s="499">
        <f>'רקדנים ומבצעים'!I95</f>
        <v>1.1736056098348151E-2</v>
      </c>
      <c r="G93" s="499"/>
      <c r="H93" s="499">
        <f>'מיקום ההרצות'!J99</f>
        <v>6.6848395267133619E-3</v>
      </c>
      <c r="I93" s="499"/>
      <c r="J93" s="499">
        <f>'הכנסות עצמיות'!G95</f>
        <v>1.0742993578693145E-2</v>
      </c>
      <c r="K93" s="499"/>
      <c r="L93" s="499">
        <f>'רמה אומנותית'!G99</f>
        <v>1.0843634786380396E-2</v>
      </c>
      <c r="M93" s="53">
        <f t="shared" si="5"/>
        <v>9.9407187696281263E-3</v>
      </c>
      <c r="N93" s="53">
        <f t="shared" si="6"/>
        <v>9.9407187696281211E-3</v>
      </c>
      <c r="O93" s="297">
        <f t="shared" si="8"/>
        <v>80348.483805274474</v>
      </c>
      <c r="P93" s="290"/>
      <c r="Q93" s="53"/>
      <c r="R93" s="53"/>
      <c r="S93" s="303"/>
      <c r="T93" s="296"/>
      <c r="U93" s="415"/>
      <c r="V93" s="416"/>
      <c r="W93" s="294"/>
      <c r="X93" s="297"/>
    </row>
    <row r="94" spans="2:24" ht="15.75" x14ac:dyDescent="0.25">
      <c r="B94" s="9">
        <f t="shared" si="7"/>
        <v>88</v>
      </c>
      <c r="C94" s="414" t="str">
        <f>'רמה אומנותית'!B100</f>
        <v>שחר בנימיני</v>
      </c>
      <c r="D94" s="501">
        <f>IF(C94="","",סיווג!AB108)</f>
        <v>1</v>
      </c>
      <c r="E94" s="499">
        <f>הרצות!G96</f>
        <v>1.3328233835170313E-2</v>
      </c>
      <c r="F94" s="499">
        <f>'רקדנים ומבצעים'!I96</f>
        <v>2.0538098172109262E-2</v>
      </c>
      <c r="G94" s="499"/>
      <c r="H94" s="499">
        <f>'מיקום ההרצות'!J100</f>
        <v>6.6848395267133619E-3</v>
      </c>
      <c r="I94" s="499"/>
      <c r="J94" s="499">
        <f>'הכנסות עצמיות'!G96</f>
        <v>5.8080322846752516E-3</v>
      </c>
      <c r="K94" s="499"/>
      <c r="L94" s="499">
        <f>'רמה אומנותית'!G100</f>
        <v>1.0843634786380396E-2</v>
      </c>
      <c r="M94" s="53">
        <f t="shared" si="5"/>
        <v>1.2104907151855412E-2</v>
      </c>
      <c r="N94" s="53">
        <f t="shared" si="6"/>
        <v>1.2104907151855407E-2</v>
      </c>
      <c r="O94" s="297">
        <f t="shared" si="8"/>
        <v>97841.107750359413</v>
      </c>
      <c r="P94" s="290"/>
      <c r="Q94" s="53"/>
      <c r="R94" s="53"/>
      <c r="S94" s="303"/>
      <c r="T94" s="296"/>
      <c r="U94" s="415"/>
      <c r="V94" s="416"/>
      <c r="W94" s="294"/>
      <c r="X94" s="297"/>
    </row>
    <row r="95" spans="2:24" ht="15.75" x14ac:dyDescent="0.25">
      <c r="B95" s="9">
        <f t="shared" si="7"/>
        <v>89</v>
      </c>
      <c r="C95" s="414" t="str">
        <f>'רמה אומנותית'!B101</f>
        <v>רביד אברבאנל</v>
      </c>
      <c r="D95" s="501">
        <f>IF(C95="","",סיווג!AB109)</f>
        <v>1</v>
      </c>
      <c r="E95" s="499">
        <f>הרצות!G97</f>
        <v>1.1589768552322011E-2</v>
      </c>
      <c r="F95" s="499">
        <f>'רקדנים ומבצעים'!I97</f>
        <v>5.8680280491740754E-3</v>
      </c>
      <c r="G95" s="499"/>
      <c r="H95" s="499">
        <f>'מיקום ההרצות'!J101</f>
        <v>8.1703594215385526E-3</v>
      </c>
      <c r="I95" s="499"/>
      <c r="J95" s="499">
        <f>'הכנסות עצמיות'!G97</f>
        <v>7.8969069260046432E-3</v>
      </c>
      <c r="K95" s="499"/>
      <c r="L95" s="499">
        <f>'רמה אומנותית'!G101</f>
        <v>1.0843634786380396E-2</v>
      </c>
      <c r="M95" s="53">
        <f t="shared" si="5"/>
        <v>9.2156804601622819E-3</v>
      </c>
      <c r="N95" s="53">
        <f t="shared" si="6"/>
        <v>9.2156804601622785E-3</v>
      </c>
      <c r="O95" s="297">
        <f t="shared" si="8"/>
        <v>74488.170258903105</v>
      </c>
      <c r="P95" s="290"/>
      <c r="Q95" s="53"/>
      <c r="R95" s="53"/>
      <c r="S95" s="303"/>
      <c r="T95" s="296"/>
      <c r="U95" s="415"/>
      <c r="V95" s="416"/>
      <c r="W95" s="294"/>
      <c r="X95" s="297"/>
    </row>
    <row r="96" spans="2:24" ht="15.75" x14ac:dyDescent="0.25">
      <c r="B96" s="9">
        <f t="shared" si="7"/>
        <v>90</v>
      </c>
      <c r="C96" s="414" t="str">
        <f>'רמה אומנותית'!B102</f>
        <v>שרון פרידמן</v>
      </c>
      <c r="D96" s="501">
        <f>IF(C96="","",סיווג!AB110)</f>
        <v>1</v>
      </c>
      <c r="E96" s="499">
        <f>הרצות!G98</f>
        <v>1.2748745407554211E-2</v>
      </c>
      <c r="F96" s="499">
        <f>'רקדנים ומבצעים'!I98</f>
        <v>5.8680280491740754E-3</v>
      </c>
      <c r="G96" s="499"/>
      <c r="H96" s="499">
        <f>'מיקום ההרצות'!J102</f>
        <v>1.4855198948251915E-2</v>
      </c>
      <c r="I96" s="499"/>
      <c r="J96" s="499">
        <f>'הכנסות עצמיות'!G98</f>
        <v>1.2287914532610876E-2</v>
      </c>
      <c r="K96" s="499"/>
      <c r="L96" s="499">
        <f>'רמה אומנותית'!G102</f>
        <v>2.8916359430347722E-2</v>
      </c>
      <c r="M96" s="53">
        <f t="shared" si="5"/>
        <v>1.4724603919517989E-2</v>
      </c>
      <c r="N96" s="53">
        <f t="shared" si="6"/>
        <v>1.4724603919517982E-2</v>
      </c>
      <c r="O96" s="297">
        <f t="shared" si="8"/>
        <v>119015.49847493884</v>
      </c>
      <c r="P96" s="290"/>
      <c r="Q96" s="53"/>
      <c r="R96" s="53"/>
      <c r="S96" s="303"/>
      <c r="T96" s="296"/>
      <c r="U96" s="415"/>
      <c r="V96" s="416"/>
      <c r="W96" s="294"/>
      <c r="X96" s="297"/>
    </row>
    <row r="97" spans="1:24" ht="15.75" x14ac:dyDescent="0.25">
      <c r="B97" s="9">
        <f t="shared" si="7"/>
        <v>91</v>
      </c>
      <c r="C97" s="414" t="str">
        <f>'רמה אומנותית'!B103</f>
        <v>מירב כהן</v>
      </c>
      <c r="D97" s="501">
        <f>IF(C97="","",סיווג!AB111)</f>
        <v>1</v>
      </c>
      <c r="E97" s="499">
        <f>הרצות!G99</f>
        <v>2.8974421380805028E-3</v>
      </c>
      <c r="F97" s="499">
        <f>'רקדנים ומבצעים'!I99</f>
        <v>4.4010210368805565E-3</v>
      </c>
      <c r="G97" s="499"/>
      <c r="H97" s="499">
        <f>'מיקום ההרצות'!J103</f>
        <v>2.2282798422377874E-3</v>
      </c>
      <c r="I97" s="499"/>
      <c r="J97" s="499">
        <f>'הכנסות עצמיות'!G99</f>
        <v>1.5683716627462329E-3</v>
      </c>
      <c r="K97" s="499"/>
      <c r="L97" s="499">
        <f>'רמה אומנותית'!G103</f>
        <v>1.0843634786380396E-2</v>
      </c>
      <c r="M97" s="53">
        <f t="shared" si="5"/>
        <v>4.4546661228493673E-3</v>
      </c>
      <c r="N97" s="53">
        <f t="shared" si="6"/>
        <v>4.4546661228493656E-3</v>
      </c>
      <c r="O97" s="297">
        <f t="shared" si="8"/>
        <v>36006.014969786433</v>
      </c>
      <c r="P97" s="290"/>
      <c r="Q97" s="53"/>
      <c r="R97" s="53"/>
      <c r="S97" s="303"/>
      <c r="T97" s="296"/>
      <c r="U97" s="415"/>
      <c r="V97" s="416"/>
      <c r="W97" s="294"/>
      <c r="X97" s="297"/>
    </row>
    <row r="98" spans="1:24" ht="15.75" x14ac:dyDescent="0.25">
      <c r="B98" s="9">
        <f t="shared" si="7"/>
        <v>92</v>
      </c>
      <c r="C98" s="414" t="str">
        <f>'רמה אומנותית'!B104</f>
        <v>קים טייטלבאום</v>
      </c>
      <c r="D98" s="501">
        <f>IF(C98="","",סיווג!AB112)</f>
        <v>1</v>
      </c>
      <c r="E98" s="499">
        <f>הרצות!G100</f>
        <v>4.0564189933127038E-3</v>
      </c>
      <c r="F98" s="499">
        <f>'רקדנים ומבצעים'!I100</f>
        <v>5.8680280491740754E-3</v>
      </c>
      <c r="G98" s="499"/>
      <c r="H98" s="499">
        <f>'מיקום ההרצות'!J104</f>
        <v>2.2282798422377874E-3</v>
      </c>
      <c r="I98" s="499"/>
      <c r="J98" s="499">
        <f>'הכנסות עצמיות'!G100</f>
        <v>6.5707491572617122E-3</v>
      </c>
      <c r="K98" s="499"/>
      <c r="L98" s="499">
        <f>'רמה אומנותית'!G104</f>
        <v>7.2290898575869305E-3</v>
      </c>
      <c r="M98" s="53">
        <f t="shared" si="5"/>
        <v>5.3733270950221332E-3</v>
      </c>
      <c r="N98" s="53">
        <f t="shared" si="6"/>
        <v>5.3733270950221306E-3</v>
      </c>
      <c r="O98" s="297">
        <f t="shared" si="8"/>
        <v>43431.334803869453</v>
      </c>
      <c r="P98" s="290"/>
      <c r="Q98" s="53"/>
      <c r="R98" s="53"/>
      <c r="S98" s="303"/>
      <c r="T98" s="296"/>
      <c r="U98" s="415"/>
      <c r="V98" s="416"/>
      <c r="W98" s="294"/>
      <c r="X98" s="297"/>
    </row>
    <row r="99" spans="1:24" ht="15.75" x14ac:dyDescent="0.25">
      <c r="B99" s="9">
        <f t="shared" si="7"/>
        <v>93</v>
      </c>
      <c r="C99" s="414" t="str">
        <f>'רמה אומנותית'!B105</f>
        <v/>
      </c>
      <c r="D99" s="501" t="str">
        <f>IF(C99="","",סיווג!AB113)</f>
        <v/>
      </c>
      <c r="E99" s="499" t="str">
        <f>הרצות!G101</f>
        <v/>
      </c>
      <c r="F99" s="499" t="str">
        <f>'רקדנים ומבצעים'!I101</f>
        <v/>
      </c>
      <c r="G99" s="499"/>
      <c r="H99" s="499" t="str">
        <f>'מיקום ההרצות'!J105</f>
        <v/>
      </c>
      <c r="I99" s="499"/>
      <c r="J99" s="499" t="str">
        <f>'הכנסות עצמיות'!G101</f>
        <v/>
      </c>
      <c r="K99" s="499"/>
      <c r="L99" s="499" t="str">
        <f>'רמה אומנותית'!G105</f>
        <v/>
      </c>
      <c r="M99" s="53" t="str">
        <f t="shared" si="5"/>
        <v/>
      </c>
      <c r="N99" s="53" t="str">
        <f t="shared" si="6"/>
        <v/>
      </c>
      <c r="O99" s="297" t="str">
        <f t="shared" si="8"/>
        <v/>
      </c>
      <c r="P99" s="290"/>
      <c r="Q99" s="53"/>
      <c r="R99" s="53"/>
      <c r="S99" s="303"/>
      <c r="T99" s="296"/>
      <c r="U99" s="415"/>
      <c r="V99" s="416"/>
      <c r="W99" s="294"/>
      <c r="X99" s="297"/>
    </row>
    <row r="100" spans="1:24" ht="15.75" x14ac:dyDescent="0.25">
      <c r="B100" s="9">
        <f t="shared" si="7"/>
        <v>94</v>
      </c>
      <c r="C100" s="414" t="str">
        <f>'רמה אומנותית'!B106</f>
        <v>מאי זרחי</v>
      </c>
      <c r="D100" s="501">
        <f>IF(C100="","",סיווג!AB114)</f>
        <v>1</v>
      </c>
      <c r="E100" s="499">
        <f>הרצות!G102</f>
        <v>5.7948842761610057E-3</v>
      </c>
      <c r="F100" s="499">
        <f>'רקדנים ומבצעים'!I102</f>
        <v>5.8680280491740754E-3</v>
      </c>
      <c r="G100" s="499"/>
      <c r="H100" s="499">
        <f>'מיקום ההרצות'!J106</f>
        <v>1.4855198948251916E-3</v>
      </c>
      <c r="I100" s="499"/>
      <c r="J100" s="499">
        <f>'הכנסות עצמיות'!G102</f>
        <v>3.6553746512583249E-3</v>
      </c>
      <c r="K100" s="499"/>
      <c r="L100" s="499">
        <f>'רמה אומנותית'!G106</f>
        <v>1.0843634786380396E-2</v>
      </c>
      <c r="M100" s="53">
        <f t="shared" si="5"/>
        <v>5.9604247696933808E-3</v>
      </c>
      <c r="N100" s="53">
        <f t="shared" si="6"/>
        <v>5.9604247696933782E-3</v>
      </c>
      <c r="O100" s="297">
        <f t="shared" si="8"/>
        <v>48176.706753185928</v>
      </c>
      <c r="P100" s="290"/>
      <c r="Q100" s="53"/>
      <c r="R100" s="53"/>
      <c r="S100" s="303"/>
      <c r="T100" s="296"/>
      <c r="U100" s="415"/>
      <c r="V100" s="416"/>
      <c r="W100" s="294"/>
      <c r="X100" s="297"/>
    </row>
    <row r="101" spans="1:24" ht="15.75" x14ac:dyDescent="0.25">
      <c r="B101" s="9">
        <f t="shared" si="7"/>
        <v>95</v>
      </c>
      <c r="C101" s="414" t="str">
        <f>'רמה אומנותית'!B107</f>
        <v>דנה מרכוס</v>
      </c>
      <c r="D101" s="501">
        <f>IF(C101="","",סיווג!AB115)</f>
        <v>1</v>
      </c>
      <c r="E101" s="499">
        <f>הרצות!G103</f>
        <v>5.7948842761610057E-3</v>
      </c>
      <c r="F101" s="499">
        <f>'רקדנים ומבצעים'!I103</f>
        <v>5.8680280491740754E-3</v>
      </c>
      <c r="G101" s="499"/>
      <c r="H101" s="499">
        <f>'מיקום ההרצות'!J107</f>
        <v>7.4275994741259573E-3</v>
      </c>
      <c r="I101" s="499"/>
      <c r="J101" s="499">
        <f>'הכנסות עצמיות'!G103</f>
        <v>4.6793522376947115E-3</v>
      </c>
      <c r="K101" s="499"/>
      <c r="L101" s="499">
        <f>'רמה אומנותית'!G107</f>
        <v>7.2290898575869305E-3</v>
      </c>
      <c r="M101" s="53">
        <f t="shared" si="5"/>
        <v>6.0365192591520407E-3</v>
      </c>
      <c r="N101" s="53">
        <f t="shared" si="6"/>
        <v>6.0365192591520381E-3</v>
      </c>
      <c r="O101" s="297">
        <f t="shared" si="8"/>
        <v>48791.760553180764</v>
      </c>
      <c r="P101" s="290"/>
      <c r="Q101" s="53"/>
      <c r="R101" s="53"/>
      <c r="S101" s="303"/>
      <c r="T101" s="296"/>
      <c r="U101" s="415"/>
      <c r="V101" s="416"/>
      <c r="W101" s="294"/>
      <c r="X101" s="297"/>
    </row>
    <row r="102" spans="1:24" ht="15.75" x14ac:dyDescent="0.25">
      <c r="B102" s="9">
        <f t="shared" si="7"/>
        <v>96</v>
      </c>
      <c r="C102" s="414" t="str">
        <f>'רמה אומנותית'!B108</f>
        <v/>
      </c>
      <c r="D102" s="501" t="str">
        <f>IF(C102="","",סיווג!AB116)</f>
        <v/>
      </c>
      <c r="E102" s="499" t="str">
        <f>הרצות!G104</f>
        <v/>
      </c>
      <c r="F102" s="499" t="str">
        <f>'רקדנים ומבצעים'!I104</f>
        <v/>
      </c>
      <c r="G102" s="499"/>
      <c r="H102" s="499" t="str">
        <f>'מיקום ההרצות'!J108</f>
        <v/>
      </c>
      <c r="I102" s="499"/>
      <c r="J102" s="499" t="str">
        <f>'הכנסות עצמיות'!G104</f>
        <v/>
      </c>
      <c r="K102" s="499"/>
      <c r="L102" s="499" t="str">
        <f>'רמה אומנותית'!G108</f>
        <v/>
      </c>
      <c r="M102" s="53" t="str">
        <f t="shared" si="5"/>
        <v/>
      </c>
      <c r="N102" s="53" t="str">
        <f t="shared" si="6"/>
        <v/>
      </c>
      <c r="O102" s="297" t="str">
        <f t="shared" si="8"/>
        <v/>
      </c>
      <c r="P102" s="290"/>
      <c r="Q102" s="53"/>
      <c r="R102" s="53"/>
      <c r="S102" s="303"/>
      <c r="T102" s="296"/>
      <c r="U102" s="415"/>
      <c r="V102" s="416"/>
      <c r="W102" s="294"/>
      <c r="X102" s="297"/>
    </row>
    <row r="103" spans="1:24" ht="15.75" x14ac:dyDescent="0.25">
      <c r="B103" s="9">
        <f t="shared" si="7"/>
        <v>97</v>
      </c>
      <c r="C103" s="414" t="str">
        <f>'רמה אומנותית'!B109</f>
        <v/>
      </c>
      <c r="D103" s="501" t="str">
        <f>IF(C103="","",סיווג!AB117)</f>
        <v/>
      </c>
      <c r="E103" s="499" t="str">
        <f>הרצות!G105</f>
        <v/>
      </c>
      <c r="F103" s="499" t="str">
        <f>'רקדנים ומבצעים'!I105</f>
        <v/>
      </c>
      <c r="G103" s="499"/>
      <c r="H103" s="499" t="str">
        <f>'מיקום ההרצות'!J109</f>
        <v/>
      </c>
      <c r="I103" s="499"/>
      <c r="J103" s="499" t="str">
        <f>'הכנסות עצמיות'!G105</f>
        <v/>
      </c>
      <c r="K103" s="499"/>
      <c r="L103" s="499" t="str">
        <f>'רמה אומנותית'!G109</f>
        <v/>
      </c>
      <c r="M103" s="53" t="str">
        <f>IF(D103="","",SUMPRODUCT($E$6:$L$6,E103:L103))</f>
        <v/>
      </c>
      <c r="N103" s="53" t="str">
        <f t="shared" ref="N103:N106" si="9">IF($C103="","",IFERROR(M103/$M$119,0))</f>
        <v/>
      </c>
      <c r="O103" s="297" t="str">
        <f t="shared" si="8"/>
        <v/>
      </c>
      <c r="P103" s="290"/>
      <c r="Q103" s="53"/>
      <c r="R103" s="53"/>
      <c r="S103" s="303"/>
      <c r="T103" s="296"/>
      <c r="U103" s="415"/>
      <c r="V103" s="416"/>
      <c r="W103" s="294"/>
      <c r="X103" s="297"/>
    </row>
    <row r="104" spans="1:24" ht="15.75" x14ac:dyDescent="0.25">
      <c r="B104" s="9">
        <f t="shared" si="7"/>
        <v>98</v>
      </c>
      <c r="C104" s="414" t="str">
        <f>'רמה אומנותית'!B110</f>
        <v>שקד מוכיח</v>
      </c>
      <c r="D104" s="501">
        <f>IF(C104="","",סיווג!AB118)</f>
        <v>1</v>
      </c>
      <c r="E104" s="499">
        <f>הרצות!G106</f>
        <v>1.5646187545634713E-2</v>
      </c>
      <c r="F104" s="499">
        <f>'רקדנים ומבצעים'!I106</f>
        <v>2.2005105184402782E-2</v>
      </c>
      <c r="G104" s="499"/>
      <c r="H104" s="499">
        <f>'מיקום ההרצות'!J110</f>
        <v>1.7083478790489704E-2</v>
      </c>
      <c r="I104" s="499"/>
      <c r="J104" s="499">
        <f>'הכנסות עצמיות'!G106</f>
        <v>1.256227681618189E-2</v>
      </c>
      <c r="K104" s="499"/>
      <c r="L104" s="499">
        <f>'רמה אומנותית'!G110</f>
        <v>7.2290898575869305E-3</v>
      </c>
      <c r="M104" s="53">
        <f>IF(D104="","",SUMPRODUCT($E$6:$L$6,E104:L104))</f>
        <v>1.4761498514373705E-2</v>
      </c>
      <c r="N104" s="53">
        <f t="shared" si="9"/>
        <v>1.4761498514373698E-2</v>
      </c>
      <c r="O104" s="297">
        <f t="shared" si="8"/>
        <v>119313.70877803321</v>
      </c>
      <c r="P104" s="290"/>
      <c r="Q104" s="53"/>
      <c r="R104" s="53"/>
      <c r="S104" s="303"/>
      <c r="T104" s="296"/>
      <c r="U104" s="415"/>
      <c r="V104" s="416"/>
      <c r="W104" s="294"/>
      <c r="X104" s="297"/>
    </row>
    <row r="105" spans="1:24" ht="15.75" x14ac:dyDescent="0.25">
      <c r="B105" s="9">
        <f t="shared" si="7"/>
        <v>99</v>
      </c>
      <c r="C105" s="414" t="str">
        <f>'רמה אומנותית'!B111</f>
        <v>שרון הללי אסא</v>
      </c>
      <c r="D105" s="501">
        <f>IF(C105="","",סיווג!AB119)</f>
        <v>1</v>
      </c>
      <c r="E105" s="499">
        <f>הרצות!G107</f>
        <v>1.1010280124705911E-2</v>
      </c>
      <c r="F105" s="499">
        <f>'רקדנים ומבצעים'!I107</f>
        <v>1.1736056098348151E-2</v>
      </c>
      <c r="G105" s="499"/>
      <c r="H105" s="499">
        <f>'מיקום ההרצות'!J111</f>
        <v>2.0797278527552681E-2</v>
      </c>
      <c r="I105" s="499"/>
      <c r="J105" s="499">
        <f>'הכנסות עצמיות'!G107</f>
        <v>6.9806044251751794E-3</v>
      </c>
      <c r="K105" s="499"/>
      <c r="L105" s="499">
        <f>'רמה אומנותית'!G111</f>
        <v>7.2290898575869305E-3</v>
      </c>
      <c r="M105" s="53">
        <f>IF(D105="","",SUMPRODUCT($E$6:$L$6,E105:L105))</f>
        <v>1.0571961966389093E-2</v>
      </c>
      <c r="N105" s="53">
        <f t="shared" si="9"/>
        <v>1.0571961966389088E-2</v>
      </c>
      <c r="O105" s="297">
        <f t="shared" si="8"/>
        <v>85450.673591298924</v>
      </c>
      <c r="P105" s="290"/>
      <c r="Q105" s="53"/>
      <c r="R105" s="53"/>
      <c r="S105" s="303"/>
      <c r="T105" s="296"/>
      <c r="U105" s="415"/>
      <c r="V105" s="416"/>
      <c r="W105" s="294"/>
      <c r="X105" s="297"/>
    </row>
    <row r="106" spans="1:24" ht="16.5" thickBot="1" x14ac:dyDescent="0.3">
      <c r="B106" s="9">
        <f t="shared" si="7"/>
        <v>100</v>
      </c>
      <c r="C106" s="414" t="str">
        <f>'רמה אומנותית'!B112</f>
        <v>להקת ג'אם</v>
      </c>
      <c r="D106" s="501">
        <f>IF(C106="","",סיווג!AB120)</f>
        <v>1</v>
      </c>
      <c r="E106" s="499">
        <f>הרצות!G108</f>
        <v>2.8974421380805028E-3</v>
      </c>
      <c r="F106" s="499">
        <f>'רקדנים ומבצעים'!I108</f>
        <v>1.1736056098348151E-2</v>
      </c>
      <c r="G106" s="499"/>
      <c r="H106" s="499">
        <f>'מיקום ההרצות'!J112</f>
        <v>7.4275994741259581E-4</v>
      </c>
      <c r="I106" s="499"/>
      <c r="J106" s="499">
        <f>'הכנסות עצמיות'!G108</f>
        <v>6.81927529213904E-3</v>
      </c>
      <c r="K106" s="499"/>
      <c r="L106" s="499">
        <f>'רמה אומנותית'!G112</f>
        <v>1.8072724643967326E-2</v>
      </c>
      <c r="M106" s="53">
        <f>IF(D106="","",SUMPRODUCT($E$6:$L$6,E106:L106))</f>
        <v>8.2691198430563141E-3</v>
      </c>
      <c r="N106" s="53">
        <f t="shared" si="9"/>
        <v>8.2691198430563106E-3</v>
      </c>
      <c r="O106" s="297">
        <f t="shared" si="8"/>
        <v>66837.344179141204</v>
      </c>
      <c r="P106" s="290"/>
      <c r="Q106" s="53"/>
      <c r="R106" s="53"/>
      <c r="S106" s="303"/>
      <c r="T106" s="298"/>
      <c r="U106" s="417"/>
      <c r="V106" s="418"/>
      <c r="W106" s="299"/>
      <c r="X106" s="300"/>
    </row>
    <row r="107" spans="1:24" ht="16.5" thickBot="1" x14ac:dyDescent="0.3">
      <c r="A107" s="29"/>
      <c r="B107" s="9">
        <f t="shared" si="7"/>
        <v>101</v>
      </c>
      <c r="C107" s="414" t="str">
        <f>'רמה אומנותית'!B113</f>
        <v/>
      </c>
      <c r="D107" s="501" t="str">
        <f>IF(C107="","",סיווג!AB121)</f>
        <v/>
      </c>
      <c r="E107" s="499" t="str">
        <f>הרצות!G109</f>
        <v/>
      </c>
      <c r="F107" s="499" t="str">
        <f>'רקדנים ומבצעים'!I109</f>
        <v/>
      </c>
      <c r="G107" s="499"/>
      <c r="H107" s="499" t="str">
        <f>'מיקום ההרצות'!J113</f>
        <v/>
      </c>
      <c r="I107" s="499"/>
      <c r="J107" s="499" t="str">
        <f>'הכנסות עצמיות'!G109</f>
        <v/>
      </c>
      <c r="K107" s="499"/>
      <c r="L107" s="499" t="str">
        <f>'רמה אומנותית'!G113</f>
        <v/>
      </c>
      <c r="M107" s="53" t="str">
        <f t="shared" ref="M107:M118" si="10">IF(D107="","",SUMPRODUCT($E$6:$L$6,E107:L107))</f>
        <v/>
      </c>
      <c r="N107" s="53" t="str">
        <f t="shared" ref="N107:N118" si="11">IF($C107="","",IFERROR(M107/$M$119,0))</f>
        <v/>
      </c>
      <c r="O107" s="297" t="str">
        <f t="shared" ref="O107:O118" si="12">IF(N107="","",N107*$O$6)</f>
        <v/>
      </c>
      <c r="P107" s="290"/>
      <c r="Q107" s="53"/>
      <c r="R107" s="53"/>
      <c r="S107" s="303"/>
      <c r="T107" s="298"/>
      <c r="U107" s="417"/>
      <c r="V107" s="418"/>
      <c r="W107" s="299"/>
      <c r="X107" s="300"/>
    </row>
    <row r="108" spans="1:24" ht="15.75" x14ac:dyDescent="0.25">
      <c r="B108" s="9">
        <f t="shared" si="7"/>
        <v>102</v>
      </c>
      <c r="C108" s="414" t="str">
        <f>'רמה אומנותית'!B114</f>
        <v/>
      </c>
      <c r="D108" s="501" t="str">
        <f>IF(C108="","",סיווג!AB122)</f>
        <v/>
      </c>
      <c r="E108" s="499" t="str">
        <f>הרצות!G110</f>
        <v/>
      </c>
      <c r="F108" s="499" t="str">
        <f>'רקדנים ומבצעים'!I110</f>
        <v/>
      </c>
      <c r="G108" s="499"/>
      <c r="H108" s="499" t="str">
        <f>'מיקום ההרצות'!J114</f>
        <v/>
      </c>
      <c r="I108" s="499"/>
      <c r="J108" s="499" t="str">
        <f>'הכנסות עצמיות'!G110</f>
        <v/>
      </c>
      <c r="K108" s="499"/>
      <c r="L108" s="499" t="str">
        <f>'רמה אומנותית'!G114</f>
        <v/>
      </c>
      <c r="M108" s="53" t="str">
        <f t="shared" si="10"/>
        <v/>
      </c>
      <c r="N108" s="53" t="str">
        <f t="shared" si="11"/>
        <v/>
      </c>
      <c r="O108" s="297" t="str">
        <f t="shared" si="12"/>
        <v/>
      </c>
      <c r="P108" s="290"/>
      <c r="Q108" s="53"/>
      <c r="R108" s="53"/>
      <c r="S108" s="303"/>
      <c r="T108" s="298"/>
      <c r="U108" s="417"/>
      <c r="V108" s="418"/>
      <c r="W108" s="299"/>
      <c r="X108" s="300"/>
    </row>
    <row r="109" spans="1:24" ht="15.75" x14ac:dyDescent="0.25">
      <c r="B109" s="9">
        <f t="shared" si="7"/>
        <v>103</v>
      </c>
      <c r="C109" s="414" t="str">
        <f>'רמה אומנותית'!B115</f>
        <v/>
      </c>
      <c r="D109" s="501" t="str">
        <f>IF(C109="","",סיווג!AB123)</f>
        <v/>
      </c>
      <c r="E109" s="499" t="str">
        <f>הרצות!G111</f>
        <v/>
      </c>
      <c r="F109" s="499" t="str">
        <f>'רקדנים ומבצעים'!I111</f>
        <v/>
      </c>
      <c r="G109" s="499"/>
      <c r="H109" s="499" t="str">
        <f>'מיקום ההרצות'!J115</f>
        <v/>
      </c>
      <c r="I109" s="499"/>
      <c r="J109" s="499" t="str">
        <f>'הכנסות עצמיות'!G111</f>
        <v/>
      </c>
      <c r="K109" s="499"/>
      <c r="L109" s="499" t="str">
        <f>'רמה אומנותית'!G115</f>
        <v/>
      </c>
      <c r="M109" s="53" t="str">
        <f t="shared" si="10"/>
        <v/>
      </c>
      <c r="N109" s="53" t="str">
        <f t="shared" si="11"/>
        <v/>
      </c>
      <c r="O109" s="297" t="str">
        <f t="shared" si="12"/>
        <v/>
      </c>
      <c r="P109" s="290"/>
      <c r="Q109" s="53"/>
      <c r="R109" s="53"/>
      <c r="S109" s="303"/>
      <c r="T109" s="298"/>
      <c r="U109" s="417"/>
      <c r="V109" s="418"/>
      <c r="W109" s="299"/>
      <c r="X109" s="300"/>
    </row>
    <row r="110" spans="1:24" ht="15.75" x14ac:dyDescent="0.25">
      <c r="B110" s="9">
        <f t="shared" si="7"/>
        <v>104</v>
      </c>
      <c r="C110" s="414" t="str">
        <f>'רמה אומנותית'!B116</f>
        <v/>
      </c>
      <c r="D110" s="501" t="str">
        <f>IF(C110="","",סיווג!AB124)</f>
        <v/>
      </c>
      <c r="E110" s="499" t="str">
        <f>הרצות!G112</f>
        <v/>
      </c>
      <c r="F110" s="499" t="str">
        <f>'רקדנים ומבצעים'!I112</f>
        <v/>
      </c>
      <c r="G110" s="499"/>
      <c r="H110" s="499" t="str">
        <f>'מיקום ההרצות'!J116</f>
        <v/>
      </c>
      <c r="I110" s="499"/>
      <c r="J110" s="499" t="str">
        <f>'הכנסות עצמיות'!G112</f>
        <v/>
      </c>
      <c r="K110" s="499"/>
      <c r="L110" s="499" t="str">
        <f>'רמה אומנותית'!G116</f>
        <v/>
      </c>
      <c r="M110" s="53" t="str">
        <f t="shared" si="10"/>
        <v/>
      </c>
      <c r="N110" s="53" t="str">
        <f t="shared" si="11"/>
        <v/>
      </c>
      <c r="O110" s="297" t="str">
        <f t="shared" si="12"/>
        <v/>
      </c>
      <c r="P110" s="290"/>
      <c r="Q110" s="53"/>
      <c r="R110" s="53"/>
      <c r="S110" s="303"/>
      <c r="T110" s="298"/>
      <c r="U110" s="417"/>
      <c r="V110" s="418"/>
      <c r="W110" s="299"/>
      <c r="X110" s="300"/>
    </row>
    <row r="111" spans="1:24" ht="15.75" x14ac:dyDescent="0.25">
      <c r="B111" s="9">
        <f t="shared" si="7"/>
        <v>105</v>
      </c>
      <c r="C111" s="414" t="str">
        <f>'רמה אומנותית'!B117</f>
        <v>מורן אברג'ל יצחקי</v>
      </c>
      <c r="D111" s="501">
        <f>IF(C111="","",סיווג!AB125)</f>
        <v>1</v>
      </c>
      <c r="E111" s="499">
        <f>הרצות!G113</f>
        <v>3.4769305656966033E-3</v>
      </c>
      <c r="F111" s="499">
        <f>'רקדנים ומבצעים'!I113</f>
        <v>8.802042073761113E-3</v>
      </c>
      <c r="G111" s="499"/>
      <c r="H111" s="499">
        <f>'מיקום ההרצות'!J117</f>
        <v>6.6848395267133619E-3</v>
      </c>
      <c r="I111" s="499"/>
      <c r="J111" s="499">
        <f>'הכנסות עצמיות'!G113</f>
        <v>4.7000505159095389E-3</v>
      </c>
      <c r="K111" s="499"/>
      <c r="L111" s="499">
        <f>'רמה אומנותית'!G117</f>
        <v>7.2290898575869305E-3</v>
      </c>
      <c r="M111" s="53">
        <f t="shared" si="10"/>
        <v>5.8577996118318338E-3</v>
      </c>
      <c r="N111" s="53">
        <f t="shared" si="11"/>
        <v>5.8577996118318312E-3</v>
      </c>
      <c r="O111" s="297">
        <f t="shared" si="12"/>
        <v>47347.211821728299</v>
      </c>
      <c r="P111" s="290"/>
      <c r="Q111" s="53"/>
      <c r="R111" s="53"/>
      <c r="S111" s="303"/>
      <c r="T111" s="298"/>
      <c r="U111" s="417"/>
      <c r="V111" s="418"/>
      <c r="W111" s="299"/>
      <c r="X111" s="300"/>
    </row>
    <row r="112" spans="1:24" ht="15.75" x14ac:dyDescent="0.25">
      <c r="B112" s="9">
        <f t="shared" si="7"/>
        <v>106</v>
      </c>
      <c r="C112" s="414" t="str">
        <f>'רמה אומנותית'!B118</f>
        <v>מיכל בן צבי</v>
      </c>
      <c r="D112" s="501">
        <f>IF(C112="","",סיווג!AB126)</f>
        <v>1</v>
      </c>
      <c r="E112" s="499">
        <f>הרצות!G114</f>
        <v>4.0564189933127038E-3</v>
      </c>
      <c r="F112" s="499">
        <f>'רקדנים ומבצעים'!I114</f>
        <v>1.3203063110641669E-2</v>
      </c>
      <c r="G112" s="499"/>
      <c r="H112" s="499">
        <f>'מיקום ההרצות'!J118</f>
        <v>8.1703594215385526E-3</v>
      </c>
      <c r="I112" s="499"/>
      <c r="J112" s="499">
        <f>'הכנסות עצמיות'!G114</f>
        <v>8.1582410380042665E-3</v>
      </c>
      <c r="K112" s="499"/>
      <c r="L112" s="499">
        <f>'רמה אומנותית'!G118</f>
        <v>7.2290898575869305E-3</v>
      </c>
      <c r="M112" s="53">
        <f t="shared" si="10"/>
        <v>7.7520404413942397E-3</v>
      </c>
      <c r="N112" s="53">
        <f t="shared" si="11"/>
        <v>7.7520404413942362E-3</v>
      </c>
      <c r="O112" s="297">
        <f t="shared" si="12"/>
        <v>62657.91340624544</v>
      </c>
      <c r="P112" s="290"/>
      <c r="Q112" s="53"/>
      <c r="R112" s="53"/>
      <c r="S112" s="303"/>
      <c r="T112" s="298"/>
      <c r="U112" s="417"/>
      <c r="V112" s="418"/>
      <c r="W112" s="299"/>
      <c r="X112" s="300"/>
    </row>
    <row r="113" spans="2:24" ht="15.75" x14ac:dyDescent="0.25">
      <c r="B113" s="9">
        <f t="shared" si="7"/>
        <v>107</v>
      </c>
      <c r="C113" s="414" t="str">
        <f>'רמה אומנותית'!B119</f>
        <v>מיקה קופפר</v>
      </c>
      <c r="D113" s="501">
        <f>IF(C113="","",סיווג!AB127)</f>
        <v>1</v>
      </c>
      <c r="E113" s="499">
        <f>הרצות!G115</f>
        <v>4.6359074209288047E-3</v>
      </c>
      <c r="F113" s="499">
        <f>'רקדנים ומבצעים'!I115</f>
        <v>2.9340140245870377E-3</v>
      </c>
      <c r="G113" s="499"/>
      <c r="H113" s="499">
        <f>'מיקום ההרצות'!J119</f>
        <v>5.1993196318881702E-3</v>
      </c>
      <c r="I113" s="499"/>
      <c r="J113" s="499">
        <f>'הכנסות עצמיות'!G115</f>
        <v>2.9274852007035519E-3</v>
      </c>
      <c r="K113" s="499"/>
      <c r="L113" s="499">
        <f>'רמה אומנותית'!G119</f>
        <v>1.8072724643967326E-2</v>
      </c>
      <c r="M113" s="53">
        <f t="shared" si="10"/>
        <v>6.6975489633190419E-3</v>
      </c>
      <c r="N113" s="53">
        <f t="shared" si="11"/>
        <v>6.6975489633190393E-3</v>
      </c>
      <c r="O113" s="297">
        <f t="shared" si="12"/>
        <v>54134.707648952455</v>
      </c>
      <c r="P113" s="290"/>
      <c r="Q113" s="53"/>
      <c r="R113" s="53"/>
      <c r="S113" s="303"/>
      <c r="T113" s="298"/>
      <c r="U113" s="417"/>
      <c r="V113" s="418"/>
      <c r="W113" s="299"/>
      <c r="X113" s="300"/>
    </row>
    <row r="114" spans="2:24" ht="15.75" x14ac:dyDescent="0.25">
      <c r="B114" s="9">
        <f t="shared" si="7"/>
        <v>108</v>
      </c>
      <c r="C114" s="414" t="str">
        <f>'רמה אומנותית'!B120</f>
        <v/>
      </c>
      <c r="D114" s="501" t="str">
        <f>IF(C114="","",סיווג!AB128)</f>
        <v/>
      </c>
      <c r="E114" s="499" t="str">
        <f>הרצות!G116</f>
        <v/>
      </c>
      <c r="F114" s="499" t="str">
        <f>'רקדנים ומבצעים'!I116</f>
        <v/>
      </c>
      <c r="G114" s="499"/>
      <c r="H114" s="499" t="str">
        <f>'מיקום ההרצות'!J120</f>
        <v/>
      </c>
      <c r="I114" s="499"/>
      <c r="J114" s="499" t="str">
        <f>'הכנסות עצמיות'!G116</f>
        <v/>
      </c>
      <c r="K114" s="499"/>
      <c r="L114" s="499" t="str">
        <f>'רמה אומנותית'!G120</f>
        <v/>
      </c>
      <c r="M114" s="53" t="str">
        <f t="shared" si="10"/>
        <v/>
      </c>
      <c r="N114" s="53" t="str">
        <f t="shared" si="11"/>
        <v/>
      </c>
      <c r="O114" s="297" t="str">
        <f t="shared" si="12"/>
        <v/>
      </c>
      <c r="P114" s="290"/>
      <c r="Q114" s="53"/>
      <c r="R114" s="53"/>
      <c r="S114" s="303"/>
      <c r="T114" s="298"/>
      <c r="U114" s="417"/>
      <c r="V114" s="418"/>
      <c r="W114" s="299"/>
      <c r="X114" s="300"/>
    </row>
    <row r="115" spans="2:24" ht="15.75" x14ac:dyDescent="0.25">
      <c r="B115" s="9">
        <f t="shared" si="7"/>
        <v>109</v>
      </c>
      <c r="C115" s="414" t="str">
        <f>'רמה אומנותית'!B121</f>
        <v>נועה שילה</v>
      </c>
      <c r="D115" s="501">
        <f>IF(C115="","",סיווג!AB129)</f>
        <v>1</v>
      </c>
      <c r="E115" s="499">
        <f>הרצות!G117</f>
        <v>6.3743727037771057E-3</v>
      </c>
      <c r="F115" s="499">
        <f>'רקדנים ומבצעים'!I117</f>
        <v>1.0269049086054631E-2</v>
      </c>
      <c r="G115" s="499"/>
      <c r="H115" s="499">
        <f>'מיקום ההרצות'!J121</f>
        <v>4.4565596844755749E-3</v>
      </c>
      <c r="I115" s="499"/>
      <c r="J115" s="499">
        <f>'הכנסות עצמיות'!G117</f>
        <v>6.721912646564682E-3</v>
      </c>
      <c r="K115" s="499"/>
      <c r="L115" s="499">
        <f>'רמה אומנותית'!G121</f>
        <v>7.2290898575869305E-3</v>
      </c>
      <c r="M115" s="53">
        <f t="shared" si="10"/>
        <v>7.2019780976219369E-3</v>
      </c>
      <c r="N115" s="53">
        <f t="shared" si="11"/>
        <v>7.2019780976219335E-3</v>
      </c>
      <c r="O115" s="297">
        <f t="shared" si="12"/>
        <v>58211.889296247049</v>
      </c>
      <c r="P115" s="290"/>
      <c r="Q115" s="53"/>
      <c r="R115" s="53"/>
      <c r="S115" s="303"/>
      <c r="T115" s="298"/>
      <c r="U115" s="417"/>
      <c r="V115" s="418"/>
      <c r="W115" s="299"/>
      <c r="X115" s="300"/>
    </row>
    <row r="116" spans="2:24" ht="15.75" x14ac:dyDescent="0.25">
      <c r="B116" s="9">
        <f t="shared" si="7"/>
        <v>110</v>
      </c>
      <c r="C116" s="414" t="str">
        <f>'רמה אומנותית'!B122</f>
        <v/>
      </c>
      <c r="D116" s="501" t="str">
        <f>IF(C116="","",סיווג!AB130)</f>
        <v/>
      </c>
      <c r="E116" s="499" t="str">
        <f>הרצות!G118</f>
        <v/>
      </c>
      <c r="F116" s="499" t="str">
        <f>'רקדנים ומבצעים'!I118</f>
        <v/>
      </c>
      <c r="G116" s="499"/>
      <c r="H116" s="499" t="str">
        <f>'מיקום ההרצות'!J122</f>
        <v/>
      </c>
      <c r="I116" s="499"/>
      <c r="J116" s="499" t="str">
        <f>'הכנסות עצמיות'!G118</f>
        <v/>
      </c>
      <c r="K116" s="499"/>
      <c r="L116" s="499" t="str">
        <f>'רמה אומנותית'!G122</f>
        <v/>
      </c>
      <c r="M116" s="53" t="str">
        <f t="shared" si="10"/>
        <v/>
      </c>
      <c r="N116" s="53" t="str">
        <f t="shared" si="11"/>
        <v/>
      </c>
      <c r="O116" s="297" t="str">
        <f t="shared" si="12"/>
        <v/>
      </c>
      <c r="P116" s="290"/>
      <c r="Q116" s="53"/>
      <c r="R116" s="53"/>
      <c r="S116" s="303"/>
      <c r="T116" s="298"/>
      <c r="U116" s="417"/>
      <c r="V116" s="418"/>
      <c r="W116" s="299"/>
      <c r="X116" s="300"/>
    </row>
    <row r="117" spans="2:24" ht="15.75" x14ac:dyDescent="0.25">
      <c r="B117" s="9">
        <f t="shared" si="7"/>
        <v>111</v>
      </c>
      <c r="C117" s="414" t="str">
        <f>'רמה אומנותית'!B123</f>
        <v>עדי בוטרוס אמנויות הבמה (ע"ר)</v>
      </c>
      <c r="D117" s="501">
        <f>IF(C117="","",סיווג!AB131)</f>
        <v>1</v>
      </c>
      <c r="E117" s="499">
        <f>הרצות!G119</f>
        <v>1.2169256979938111E-2</v>
      </c>
      <c r="F117" s="499">
        <f>'רקדנים ומבצעים'!I119</f>
        <v>1.1736056098348151E-2</v>
      </c>
      <c r="G117" s="499"/>
      <c r="H117" s="499">
        <f>'מיקום ההרצות'!J123</f>
        <v>0</v>
      </c>
      <c r="I117" s="499"/>
      <c r="J117" s="499">
        <f>'הכנסות עצמיות'!G119</f>
        <v>3.5697373600982178E-2</v>
      </c>
      <c r="K117" s="499"/>
      <c r="L117" s="499">
        <f>'רמה אומנותית'!G123</f>
        <v>1.0843634786380396E-2</v>
      </c>
      <c r="M117" s="53">
        <f t="shared" si="10"/>
        <v>1.5306189991123579E-2</v>
      </c>
      <c r="N117" s="53">
        <f t="shared" si="11"/>
        <v>1.5306189991123572E-2</v>
      </c>
      <c r="O117" s="297">
        <f t="shared" si="12"/>
        <v>123716.32143741392</v>
      </c>
      <c r="P117" s="290"/>
      <c r="Q117" s="53"/>
      <c r="R117" s="53"/>
      <c r="S117" s="303"/>
      <c r="T117" s="298"/>
      <c r="U117" s="417"/>
      <c r="V117" s="418"/>
      <c r="W117" s="299"/>
      <c r="X117" s="300"/>
    </row>
    <row r="118" spans="2:24" ht="16.5" thickBot="1" x14ac:dyDescent="0.3">
      <c r="B118" s="9">
        <f t="shared" si="7"/>
        <v>112</v>
      </c>
      <c r="C118" s="414" t="str">
        <f>'רמה אומנותית'!B124</f>
        <v/>
      </c>
      <c r="D118" s="501" t="str">
        <f>IF(C118="","",סיווג!AB132)</f>
        <v/>
      </c>
      <c r="E118" s="499" t="str">
        <f>הרצות!G120</f>
        <v/>
      </c>
      <c r="F118" s="499" t="str">
        <f>'רקדנים ומבצעים'!I120</f>
        <v/>
      </c>
      <c r="G118" s="499"/>
      <c r="H118" s="499" t="str">
        <f>'מיקום ההרצות'!J124</f>
        <v/>
      </c>
      <c r="I118" s="499"/>
      <c r="J118" s="499" t="str">
        <f>'הכנסות עצמיות'!G120</f>
        <v/>
      </c>
      <c r="K118" s="499"/>
      <c r="L118" s="499" t="str">
        <f>'רמה אומנותית'!G124</f>
        <v/>
      </c>
      <c r="M118" s="53" t="str">
        <f t="shared" si="10"/>
        <v/>
      </c>
      <c r="N118" s="53" t="str">
        <f t="shared" si="11"/>
        <v/>
      </c>
      <c r="O118" s="297" t="str">
        <f t="shared" si="12"/>
        <v/>
      </c>
      <c r="P118" s="290"/>
      <c r="Q118" s="53"/>
      <c r="R118" s="53"/>
      <c r="S118" s="303"/>
      <c r="T118" s="298"/>
      <c r="U118" s="417"/>
      <c r="V118" s="418"/>
      <c r="W118" s="299"/>
      <c r="X118" s="300"/>
    </row>
    <row r="119" spans="2:24" ht="16.5" thickBot="1" x14ac:dyDescent="0.3">
      <c r="B119" s="807" t="s">
        <v>41</v>
      </c>
      <c r="C119" s="808"/>
      <c r="D119" s="808"/>
      <c r="E119" s="500">
        <f>SUM(E7:E118)</f>
        <v>1.0000000000000004</v>
      </c>
      <c r="F119" s="500">
        <f t="shared" ref="F119:N119" si="13">SUM(F7:F118)</f>
        <v>1.0000000000000004</v>
      </c>
      <c r="G119" s="500">
        <f t="shared" si="13"/>
        <v>0</v>
      </c>
      <c r="H119" s="500">
        <f t="shared" si="13"/>
        <v>1</v>
      </c>
      <c r="I119" s="500">
        <f t="shared" si="13"/>
        <v>0</v>
      </c>
      <c r="J119" s="500">
        <f t="shared" si="13"/>
        <v>0.99999999999999967</v>
      </c>
      <c r="K119" s="500">
        <f t="shared" si="13"/>
        <v>0</v>
      </c>
      <c r="L119" s="500">
        <f t="shared" si="13"/>
        <v>1.0000000000000013</v>
      </c>
      <c r="M119" s="500">
        <f t="shared" si="13"/>
        <v>1.0000000000000004</v>
      </c>
      <c r="N119" s="500">
        <f t="shared" si="13"/>
        <v>0.99999999999999978</v>
      </c>
      <c r="O119" s="595">
        <f>SUM(O7:O118)</f>
        <v>8082763.9999999991</v>
      </c>
    </row>
    <row r="120" spans="2:24" ht="15.75" x14ac:dyDescent="0.25">
      <c r="O120" s="30"/>
    </row>
    <row r="121" spans="2:24" ht="15.75" x14ac:dyDescent="0.25">
      <c r="O121" s="30"/>
    </row>
    <row r="122" spans="2:24" ht="15.75" x14ac:dyDescent="0.25">
      <c r="O122" s="30"/>
    </row>
    <row r="123" spans="2:24" ht="15.75" x14ac:dyDescent="0.25">
      <c r="O123" s="30"/>
    </row>
    <row r="124" spans="2:24" ht="15.75" x14ac:dyDescent="0.25">
      <c r="O124" s="30"/>
    </row>
    <row r="125" spans="2:24" ht="15.75" x14ac:dyDescent="0.25">
      <c r="O125" s="30"/>
    </row>
    <row r="126" spans="2:24" ht="15.75" x14ac:dyDescent="0.25">
      <c r="O126" s="30"/>
    </row>
    <row r="127" spans="2:24" ht="15.75" x14ac:dyDescent="0.25">
      <c r="O127" s="30"/>
    </row>
    <row r="128" spans="2:24" ht="15.75" x14ac:dyDescent="0.25">
      <c r="O128" s="30"/>
    </row>
    <row r="129" spans="15:15" ht="15.75" x14ac:dyDescent="0.25">
      <c r="O129" s="30"/>
    </row>
    <row r="130" spans="15:15" ht="15.75" x14ac:dyDescent="0.25">
      <c r="O130" s="30"/>
    </row>
    <row r="131" spans="15:15" ht="15.75" x14ac:dyDescent="0.25">
      <c r="O131" s="30"/>
    </row>
  </sheetData>
  <sheetProtection algorithmName="SHA-512" hashValue="XvYl01aFqwa/nijF3RGHeqvYw4xweRT2EG4acl0afGBhNQNDM5MRd/LrDgDyftJYtvovx4pOI8bH8ReY0rHYgQ==" saltValue="X6PZaqRjedpmRvBQLqsjQA==" spinCount="100000" sheet="1" scenarios="1" formatColumns="0" formatRows="0" autoFilter="0"/>
  <mergeCells count="3">
    <mergeCell ref="B119:D119"/>
    <mergeCell ref="D1:E1"/>
    <mergeCell ref="D2:E2"/>
  </mergeCells>
  <conditionalFormatting sqref="B7:X118 O119:O131">
    <cfRule type="containsBlanks" dxfId="135" priority="2">
      <formula>LEN(TRIM(B7))=0</formula>
    </cfRule>
  </conditionalFormatting>
  <conditionalFormatting sqref="F2">
    <cfRule type="containsBlanks" dxfId="134" priority="19">
      <formula>LEN(TRIM(F2))=0</formula>
    </cfRule>
  </conditionalFormatting>
  <conditionalFormatting sqref="F1:G1">
    <cfRule type="containsBlanks" dxfId="133" priority="1">
      <formula>LEN(TRIM(F1))=0</formula>
    </cfRule>
  </conditionalFormatting>
  <printOptions horizontalCentered="1"/>
  <pageMargins left="0.27559055118110237" right="0.19685039370078741" top="0.62992125984251968" bottom="0.47244094488188981" header="0.31496062992125984" footer="0.23622047244094491"/>
  <pageSetup paperSize="9" scale="39" orientation="portrait" horizontalDpi="1200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  <colBreaks count="1" manualBreakCount="1">
    <brk id="15" max="118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4">
    <tabColor theme="2" tint="-0.499984740745262"/>
    <pageSetUpPr fitToPage="1"/>
  </sheetPr>
  <dimension ref="A1:F46"/>
  <sheetViews>
    <sheetView rightToLeft="1" view="pageBreakPreview" zoomScale="85" zoomScaleNormal="70" zoomScaleSheetLayoutView="85" workbookViewId="0"/>
  </sheetViews>
  <sheetFormatPr defaultColWidth="9.140625" defaultRowHeight="12.75" x14ac:dyDescent="0.2"/>
  <cols>
    <col min="1" max="1" width="3" style="99" customWidth="1"/>
    <col min="2" max="2" width="38.28515625" style="99" customWidth="1"/>
    <col min="3" max="3" width="34.28515625" style="99" bestFit="1" customWidth="1"/>
    <col min="4" max="4" width="35.7109375" style="99" customWidth="1"/>
    <col min="5" max="5" width="25.42578125" style="99" customWidth="1"/>
    <col min="6" max="6" width="38" style="99" customWidth="1"/>
    <col min="7" max="7" width="14.140625" style="99" customWidth="1"/>
    <col min="8" max="8" width="22.28515625" style="99" customWidth="1"/>
    <col min="9" max="9" width="10.42578125" style="99" customWidth="1"/>
    <col min="10" max="11" width="20.7109375" style="99" customWidth="1"/>
    <col min="12" max="12" width="6" style="99" customWidth="1"/>
    <col min="13" max="13" width="12.7109375" style="99" customWidth="1"/>
    <col min="14" max="14" width="13.140625" style="99" customWidth="1"/>
    <col min="15" max="15" width="15.7109375" style="99" customWidth="1"/>
    <col min="16" max="16" width="15.140625" style="99" customWidth="1"/>
    <col min="17" max="16384" width="9.140625" style="99"/>
  </cols>
  <sheetData>
    <row r="1" spans="1:6" ht="18.75" x14ac:dyDescent="0.2">
      <c r="A1" s="99" t="s">
        <v>243</v>
      </c>
      <c r="B1" s="100" t="s">
        <v>244</v>
      </c>
      <c r="C1" s="13">
        <f>פרמטרים!E1</f>
        <v>2025</v>
      </c>
    </row>
    <row r="2" spans="1:6" ht="19.5" thickBot="1" x14ac:dyDescent="0.25">
      <c r="B2" s="101" t="s">
        <v>245</v>
      </c>
      <c r="C2" s="14">
        <f>פרמטרים!E2</f>
        <v>8082764</v>
      </c>
    </row>
    <row r="4" spans="1:6" ht="15.75" x14ac:dyDescent="0.2">
      <c r="B4" s="102"/>
      <c r="C4" s="102"/>
    </row>
    <row r="5" spans="1:6" ht="18.75" customHeight="1" x14ac:dyDescent="0.2">
      <c r="B5" s="102"/>
      <c r="C5" s="102"/>
    </row>
    <row r="6" spans="1:6" ht="16.5" customHeight="1" x14ac:dyDescent="0.2">
      <c r="B6" s="102"/>
      <c r="C6" s="102"/>
    </row>
    <row r="7" spans="1:6" ht="16.5" customHeight="1" thickBot="1" x14ac:dyDescent="0.25">
      <c r="B7" s="102"/>
      <c r="C7" s="102"/>
    </row>
    <row r="8" spans="1:6" ht="19.5" thickBot="1" x14ac:dyDescent="0.25">
      <c r="B8" s="812" t="s">
        <v>59</v>
      </c>
      <c r="C8" s="814"/>
      <c r="D8" s="814"/>
      <c r="E8" s="814"/>
      <c r="F8" s="813"/>
    </row>
    <row r="9" spans="1:6" ht="16.5" thickBot="1" x14ac:dyDescent="0.25">
      <c r="B9" s="815" t="s">
        <v>60</v>
      </c>
      <c r="C9" s="816"/>
      <c r="D9" s="817"/>
      <c r="E9" s="815" t="s">
        <v>61</v>
      </c>
      <c r="F9" s="817"/>
    </row>
    <row r="10" spans="1:6" ht="32.25" thickBot="1" x14ac:dyDescent="0.25">
      <c r="B10" s="103" t="s">
        <v>62</v>
      </c>
      <c r="C10" s="103" t="s">
        <v>63</v>
      </c>
      <c r="D10" s="103" t="s">
        <v>45</v>
      </c>
      <c r="E10" s="63" t="s">
        <v>64</v>
      </c>
      <c r="F10" s="104" t="s">
        <v>65</v>
      </c>
    </row>
    <row r="11" spans="1:6" ht="16.5" thickBot="1" x14ac:dyDescent="0.25">
      <c r="B11" s="285" t="s">
        <v>66</v>
      </c>
      <c r="C11" s="105">
        <v>0.5</v>
      </c>
      <c r="D11" s="246">
        <v>1</v>
      </c>
      <c r="E11" s="106">
        <v>2</v>
      </c>
      <c r="F11" s="247">
        <v>1</v>
      </c>
    </row>
    <row r="12" spans="1:6" ht="16.5" thickBot="1" x14ac:dyDescent="0.25">
      <c r="B12" s="107" t="s">
        <v>67</v>
      </c>
      <c r="C12" s="108">
        <v>0.85</v>
      </c>
      <c r="D12" s="248">
        <v>0</v>
      </c>
    </row>
    <row r="14" spans="1:6" ht="15.75" x14ac:dyDescent="0.2">
      <c r="B14" s="102"/>
      <c r="C14" s="102"/>
    </row>
    <row r="15" spans="1:6" ht="15.75" x14ac:dyDescent="0.2">
      <c r="B15" s="102"/>
      <c r="C15" s="102"/>
    </row>
    <row r="16" spans="1:6" ht="15.75" x14ac:dyDescent="0.2">
      <c r="B16" s="102"/>
      <c r="C16" s="102"/>
    </row>
    <row r="18" spans="2:4" ht="19.5" thickBot="1" x14ac:dyDescent="0.25">
      <c r="B18" s="818" t="s">
        <v>68</v>
      </c>
      <c r="C18" s="819"/>
    </row>
    <row r="19" spans="2:4" ht="19.5" customHeight="1" thickBot="1" x14ac:dyDescent="0.25">
      <c r="B19" s="815" t="s">
        <v>405</v>
      </c>
      <c r="C19" s="817"/>
    </row>
    <row r="20" spans="2:4" ht="15.75" x14ac:dyDescent="0.2">
      <c r="B20" s="157" t="s">
        <v>70</v>
      </c>
      <c r="C20" s="157" t="s">
        <v>71</v>
      </c>
    </row>
    <row r="21" spans="2:4" ht="15.75" x14ac:dyDescent="0.2">
      <c r="B21" s="419" t="str">
        <f>פרמטרים!B99</f>
        <v>שיעור פיחות מירבי בתמיכה</v>
      </c>
      <c r="C21" s="250">
        <f>פרמטרים!C99</f>
        <v>0.2</v>
      </c>
    </row>
    <row r="22" spans="2:4" ht="15.75" x14ac:dyDescent="0.2">
      <c r="B22" s="419" t="str">
        <f>פרמטרים!B100</f>
        <v>שיעור תמיכה מינימלי משנה קודמת</v>
      </c>
      <c r="C22" s="250">
        <f>פרמטרים!C100</f>
        <v>0.8</v>
      </c>
    </row>
    <row r="24" spans="2:4" x14ac:dyDescent="0.2">
      <c r="D24" s="249"/>
    </row>
    <row r="25" spans="2:4" x14ac:dyDescent="0.2">
      <c r="D25" s="249"/>
    </row>
    <row r="26" spans="2:4" ht="19.5" hidden="1" thickBot="1" x14ac:dyDescent="0.25">
      <c r="B26" s="812" t="s">
        <v>246</v>
      </c>
      <c r="C26" s="813"/>
      <c r="D26" s="249"/>
    </row>
    <row r="27" spans="2:4" ht="15.75" hidden="1" x14ac:dyDescent="0.2">
      <c r="B27" s="810" t="s">
        <v>247</v>
      </c>
      <c r="C27" s="811"/>
      <c r="D27" s="249"/>
    </row>
    <row r="28" spans="2:4" ht="15.75" hidden="1" x14ac:dyDescent="0.2">
      <c r="B28" s="420" t="s">
        <v>248</v>
      </c>
      <c r="C28" s="251">
        <v>5</v>
      </c>
      <c r="D28" s="249"/>
    </row>
    <row r="29" spans="2:4" x14ac:dyDescent="0.2">
      <c r="D29" s="249"/>
    </row>
    <row r="30" spans="2:4" x14ac:dyDescent="0.2">
      <c r="D30" s="249"/>
    </row>
    <row r="31" spans="2:4" ht="16.5" customHeight="1" x14ac:dyDescent="0.2"/>
    <row r="33" spans="5:5" ht="18.75" customHeight="1" x14ac:dyDescent="0.2"/>
    <row r="34" spans="5:5" ht="16.5" customHeight="1" x14ac:dyDescent="0.2"/>
    <row r="41" spans="5:5" ht="19.5" customHeight="1" x14ac:dyDescent="0.2"/>
    <row r="46" spans="5:5" ht="16.5" thickBot="1" x14ac:dyDescent="0.25">
      <c r="E46" s="14"/>
    </row>
  </sheetData>
  <sheetProtection algorithmName="SHA-512" hashValue="cmyovHiAmA2vIUJDNhACa/Aoh34EWUrlEqRj+n/9MS/QEsUp0OQ6txZCe+CWY88Cfb8G0DR5WWUtd70L/yCx+w==" saltValue="KyqpzgjWPdzer8x1x5y61w==" spinCount="100000" sheet="1" scenarios="1" formatColumns="0" formatRows="0" autoFilter="0"/>
  <mergeCells count="7">
    <mergeCell ref="B27:C27"/>
    <mergeCell ref="B26:C26"/>
    <mergeCell ref="B8:F8"/>
    <mergeCell ref="B9:D9"/>
    <mergeCell ref="E9:F9"/>
    <mergeCell ref="B18:C18"/>
    <mergeCell ref="B19:C19"/>
  </mergeCells>
  <conditionalFormatting sqref="B21:B22">
    <cfRule type="containsBlanks" dxfId="132" priority="12">
      <formula>LEN(TRIM(B21))=0</formula>
    </cfRule>
  </conditionalFormatting>
  <conditionalFormatting sqref="B28">
    <cfRule type="containsBlanks" dxfId="131" priority="3">
      <formula>LEN(TRIM(B28))=0</formula>
    </cfRule>
  </conditionalFormatting>
  <conditionalFormatting sqref="B4:C7 B14:C16">
    <cfRule type="containsBlanks" dxfId="130" priority="13">
      <formula>LEN(TRIM(B4))=0</formula>
    </cfRule>
  </conditionalFormatting>
  <conditionalFormatting sqref="B11:C12">
    <cfRule type="containsBlanks" dxfId="129" priority="9">
      <formula>LEN(TRIM(B11))=0</formula>
    </cfRule>
  </conditionalFormatting>
  <conditionalFormatting sqref="C1:C2">
    <cfRule type="containsBlanks" dxfId="128" priority="5">
      <formula>LEN(TRIM(C1))=0</formula>
    </cfRule>
  </conditionalFormatting>
  <conditionalFormatting sqref="E11">
    <cfRule type="containsBlanks" dxfId="127" priority="10">
      <formula>LEN(TRIM(E11))=0</formula>
    </cfRule>
  </conditionalFormatting>
  <conditionalFormatting sqref="E46">
    <cfRule type="containsBlanks" dxfId="126" priority="4">
      <formula>LEN(TRIM(E46))=0</formula>
    </cfRule>
  </conditionalFormatting>
  <printOptions horizontalCentered="1"/>
  <pageMargins left="0.27559055118110237" right="0.19685039370078741" top="0.62992125984251968" bottom="0.47244094488188981" header="0.31496062992125984" footer="0.23622047244094491"/>
  <pageSetup paperSize="9" scale="54" orientation="portrait" horizontalDpi="1200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5">
    <tabColor theme="4" tint="-0.249977111117893"/>
    <pageSetUpPr fitToPage="1"/>
  </sheetPr>
  <dimension ref="A1:S133"/>
  <sheetViews>
    <sheetView rightToLeft="1" view="pageBreakPreview" zoomScaleNormal="100" zoomScaleSheetLayoutView="100" workbookViewId="0"/>
  </sheetViews>
  <sheetFormatPr defaultColWidth="9.140625" defaultRowHeight="12.75" outlineLevelRow="1" x14ac:dyDescent="0.2"/>
  <cols>
    <col min="1" max="1" width="1.42578125" style="18" customWidth="1"/>
    <col min="2" max="2" width="10.140625" style="18" bestFit="1" customWidth="1"/>
    <col min="3" max="3" width="36.42578125" style="18" customWidth="1"/>
    <col min="4" max="4" width="18.42578125" style="18" customWidth="1"/>
    <col min="5" max="5" width="13.42578125" style="18" customWidth="1"/>
    <col min="6" max="6" width="18.140625" style="18" customWidth="1"/>
    <col min="7" max="7" width="18.42578125" style="18" customWidth="1"/>
    <col min="8" max="8" width="17" style="18" customWidth="1"/>
    <col min="9" max="9" width="15.7109375" style="18" customWidth="1"/>
    <col min="10" max="10" width="16.7109375" style="18" customWidth="1"/>
    <col min="11" max="11" width="20.42578125" style="18" customWidth="1"/>
    <col min="12" max="12" width="8.42578125" style="18" hidden="1" customWidth="1"/>
    <col min="13" max="13" width="7.28515625" style="18" hidden="1" customWidth="1"/>
    <col min="14" max="16" width="2.42578125" style="18" hidden="1" customWidth="1"/>
    <col min="17" max="17" width="9.42578125" style="18" hidden="1" customWidth="1"/>
    <col min="18" max="18" width="10" style="18" hidden="1" customWidth="1"/>
    <col min="19" max="19" width="9.140625" style="18" hidden="1" customWidth="1"/>
    <col min="20" max="26" width="0" style="18" hidden="1" customWidth="1"/>
    <col min="27" max="16384" width="9.140625" style="18"/>
  </cols>
  <sheetData>
    <row r="1" spans="3:19" ht="43.5" customHeight="1" outlineLevel="1" thickBot="1" x14ac:dyDescent="0.25">
      <c r="C1" s="826" t="str">
        <f>'פרמטרים לעקרונות חישוב התמיכה'!$B$9</f>
        <v>תאגיד מוסדי או מחויבות ממשלתית</v>
      </c>
      <c r="D1" s="827"/>
      <c r="E1" s="828"/>
      <c r="F1" s="826" t="str">
        <f>'פרמטרים לעקרונות חישוב התמיכה'!$E$9</f>
        <v>תוספת בגין מקורות אחרים</v>
      </c>
      <c r="G1" s="828"/>
      <c r="I1" s="829" t="str">
        <f>'פרמטרים לעקרונות חישוב התמיכה'!$B$1</f>
        <v>שנה</v>
      </c>
      <c r="J1" s="830"/>
      <c r="K1" s="13">
        <f>'פרמטרים לעקרונות חישוב התמיכה'!$C$1</f>
        <v>2025</v>
      </c>
      <c r="L1" s="15"/>
      <c r="M1" s="15"/>
      <c r="S1" s="18" t="s">
        <v>249</v>
      </c>
    </row>
    <row r="2" spans="3:19" ht="32.25" outlineLevel="1" thickBot="1" x14ac:dyDescent="0.25">
      <c r="C2" s="63" t="str">
        <f>'פרמטרים לעקרונות חישוב התמיכה'!$B$10</f>
        <v>סוג</v>
      </c>
      <c r="D2" s="113" t="str">
        <f>'פרמטרים לעקרונות חישוב התמיכה'!$C$10</f>
        <v>שיעור תמיכה</v>
      </c>
      <c r="E2" s="114" t="str">
        <f>'פרמטרים לעקרונות חישוב התמיכה'!$D$10</f>
        <v>סימול</v>
      </c>
      <c r="F2" s="63" t="str">
        <f>'פרמטרים לעקרונות חישוב התמיכה'!$E$10</f>
        <v>מכפלת השקלים שמזכה בתוספת</v>
      </c>
      <c r="G2" s="115" t="str">
        <f>'פרמטרים לעקרונות חישוב התמיכה'!$F$10</f>
        <v>התוספת לכל מכפלה</v>
      </c>
      <c r="I2" s="831" t="str">
        <f>'פרמטרים לעקרונות חישוב התמיכה'!$B$2</f>
        <v>תקציב התמיכה</v>
      </c>
      <c r="J2" s="832"/>
      <c r="K2" s="14">
        <f>'פרמטרים לעקרונות חישוב התמיכה'!$C$2</f>
        <v>8082764</v>
      </c>
      <c r="L2" s="16"/>
      <c r="M2" s="16"/>
    </row>
    <row r="3" spans="3:19" ht="16.5" outlineLevel="1" thickBot="1" x14ac:dyDescent="0.25">
      <c r="C3" s="116" t="str">
        <f>'פרמטרים לעקרונות חישוב התמיכה'!$B$11</f>
        <v>תאגיד מוסדי</v>
      </c>
      <c r="D3" s="117">
        <f>'פרמטרים לעקרונות חישוב התמיכה'!$C$11</f>
        <v>0.5</v>
      </c>
      <c r="E3" s="118">
        <f>'פרמטרים לעקרונות חישוב התמיכה'!$D$11</f>
        <v>1</v>
      </c>
      <c r="F3" s="119">
        <f>'פרמטרים לעקרונות חישוב התמיכה'!$E$11</f>
        <v>2</v>
      </c>
      <c r="G3" s="120">
        <f>'פרמטרים לעקרונות חישוב התמיכה'!$F$11</f>
        <v>1</v>
      </c>
    </row>
    <row r="4" spans="3:19" ht="16.5" outlineLevel="1" thickBot="1" x14ac:dyDescent="0.25">
      <c r="C4" s="107" t="str">
        <f>'פרמטרים לעקרונות חישוב התמיכה'!$B$12</f>
        <v>אינו תאגיד מוסדי</v>
      </c>
      <c r="D4" s="108">
        <f>'פרמטרים לעקרונות חישוב התמיכה'!$C$12</f>
        <v>0.85</v>
      </c>
      <c r="E4" s="121">
        <f>'פרמטרים לעקרונות חישוב התמיכה'!$D$12</f>
        <v>0</v>
      </c>
      <c r="F4" s="99"/>
    </row>
    <row r="5" spans="3:19" ht="13.5" outlineLevel="1" thickBot="1" x14ac:dyDescent="0.25"/>
    <row r="6" spans="3:19" ht="13.5" hidden="1" outlineLevel="1" thickBot="1" x14ac:dyDescent="0.25"/>
    <row r="7" spans="3:19" ht="13.5" hidden="1" outlineLevel="1" thickBot="1" x14ac:dyDescent="0.25"/>
    <row r="8" spans="3:19" ht="13.5" hidden="1" outlineLevel="1" thickBot="1" x14ac:dyDescent="0.25"/>
    <row r="9" spans="3:19" ht="13.5" hidden="1" outlineLevel="1" thickBot="1" x14ac:dyDescent="0.25"/>
    <row r="10" spans="3:19" ht="13.5" hidden="1" outlineLevel="1" thickBot="1" x14ac:dyDescent="0.25"/>
    <row r="11" spans="3:19" ht="13.5" hidden="1" outlineLevel="1" thickBot="1" x14ac:dyDescent="0.25"/>
    <row r="12" spans="3:19" ht="13.5" hidden="1" outlineLevel="1" thickBot="1" x14ac:dyDescent="0.25"/>
    <row r="13" spans="3:19" ht="13.5" hidden="1" outlineLevel="1" thickBot="1" x14ac:dyDescent="0.25"/>
    <row r="14" spans="3:19" ht="13.5" hidden="1" outlineLevel="1" thickBot="1" x14ac:dyDescent="0.25"/>
    <row r="15" spans="3:19" ht="13.5" hidden="1" outlineLevel="1" thickBot="1" x14ac:dyDescent="0.25"/>
    <row r="16" spans="3:19" ht="13.5" hidden="1" thickBot="1" x14ac:dyDescent="0.25"/>
    <row r="17" spans="1:19" ht="13.5" hidden="1" thickBot="1" x14ac:dyDescent="0.25"/>
    <row r="18" spans="1:19" ht="19.5" thickBot="1" x14ac:dyDescent="0.35">
      <c r="B18" s="833" t="s">
        <v>250</v>
      </c>
      <c r="C18" s="834"/>
      <c r="D18" s="834"/>
      <c r="E18" s="834"/>
      <c r="F18" s="834"/>
      <c r="G18" s="834"/>
      <c r="H18" s="834"/>
      <c r="I18" s="834"/>
      <c r="J18" s="834"/>
      <c r="K18" s="835"/>
      <c r="L18" s="122"/>
      <c r="M18" s="122"/>
      <c r="S18" s="18">
        <f>IF(SUM(S21:S120)=COUNT(S21:S120),1,0)</f>
        <v>1</v>
      </c>
    </row>
    <row r="19" spans="1:19" ht="31.5" x14ac:dyDescent="0.2">
      <c r="B19" s="836" t="s">
        <v>206</v>
      </c>
      <c r="C19" s="836" t="s">
        <v>98</v>
      </c>
      <c r="D19" s="836" t="s">
        <v>251</v>
      </c>
      <c r="E19" s="123" t="s">
        <v>66</v>
      </c>
      <c r="F19" s="820" t="s">
        <v>252</v>
      </c>
      <c r="G19" s="123" t="s">
        <v>253</v>
      </c>
      <c r="H19" s="820" t="s">
        <v>254</v>
      </c>
      <c r="I19" s="820" t="s">
        <v>255</v>
      </c>
      <c r="J19" s="820" t="s">
        <v>228</v>
      </c>
      <c r="K19" s="822" t="s">
        <v>256</v>
      </c>
      <c r="L19" s="124"/>
      <c r="M19" s="124"/>
    </row>
    <row r="20" spans="1:19" ht="51.75" thickBot="1" x14ac:dyDescent="0.25">
      <c r="B20" s="837"/>
      <c r="C20" s="837"/>
      <c r="D20" s="837"/>
      <c r="E20" s="422" t="s">
        <v>78</v>
      </c>
      <c r="F20" s="821"/>
      <c r="G20" s="422" t="s">
        <v>257</v>
      </c>
      <c r="H20" s="821"/>
      <c r="I20" s="821"/>
      <c r="J20" s="821"/>
      <c r="K20" s="823"/>
      <c r="L20" s="124"/>
      <c r="M20" s="124"/>
      <c r="N20" s="18">
        <v>0</v>
      </c>
      <c r="O20" s="18">
        <v>1</v>
      </c>
      <c r="Q20" s="125" t="s">
        <v>258</v>
      </c>
      <c r="R20" s="125" t="s">
        <v>259</v>
      </c>
      <c r="S20" s="18" t="s">
        <v>260</v>
      </c>
    </row>
    <row r="21" spans="1:19" ht="15.75" x14ac:dyDescent="0.25">
      <c r="A21" s="211"/>
      <c r="B21" s="212">
        <f>IF(C21="","",ROW()-20)</f>
        <v>1</v>
      </c>
      <c r="C21" s="71" t="str">
        <f>'התחשיב הבסיסי'!C7</f>
        <v>סילביה דוראן</v>
      </c>
      <c r="D21" s="425">
        <f>'התחשיב הבסיסי'!O7</f>
        <v>10488.31930910429</v>
      </c>
      <c r="E21" s="202">
        <v>0</v>
      </c>
      <c r="F21" s="203">
        <f>IF(C21="","",IF(Q21=0,"",IF(E21=$E$3,$D$3*D21,$D$4*D21)))</f>
        <v>8915.0714127386473</v>
      </c>
      <c r="G21" s="591">
        <v>0</v>
      </c>
      <c r="H21" s="558">
        <f>IF(C21="","",IF(R21=0,"",ROUNDDOWN(G21/$F$3,0)*$G$3))</f>
        <v>0</v>
      </c>
      <c r="I21" s="205">
        <f>IF(C21="","",IF(S21&lt;&gt;1,$S$1,MIN(D21,F21+H21)))</f>
        <v>8915.0714127386473</v>
      </c>
      <c r="J21" s="210">
        <f t="shared" ref="J21:J52" si="0">IF(C21="","",IF($S$18&lt;&gt;1,$S$1,IF(ISERR(I21/$I$133),"",I21/$I$133)))</f>
        <v>1.247289396034445E-3</v>
      </c>
      <c r="K21" s="561">
        <f>IF(C21="","",IF(AND($S$18&lt;&gt;1,C21&lt;&gt;""),$S$1,J21*$K$2))</f>
        <v>10081.545827848955</v>
      </c>
      <c r="L21" s="131"/>
      <c r="M21" s="131"/>
      <c r="N21" s="18">
        <f>IF($C21="","",N$20)</f>
        <v>0</v>
      </c>
      <c r="O21" s="18">
        <f>IF($C21="","",O$20)</f>
        <v>1</v>
      </c>
      <c r="Q21" s="18">
        <f>IF(E21="",0,IF(ISERROR(MATCH(E21,$N$20:$O$20,0)),0,1))</f>
        <v>1</v>
      </c>
      <c r="R21" s="27">
        <f>IFERROR(IF(G21*1&gt;=0,1,0),0)</f>
        <v>1</v>
      </c>
      <c r="S21" s="18">
        <f>IF($C21="",1,IFERROR(IF(SUM(Q21:R21)=COUNT(Q21:R21),1,0),0))</f>
        <v>1</v>
      </c>
    </row>
    <row r="22" spans="1:19" ht="15.75" x14ac:dyDescent="0.25">
      <c r="A22" s="213"/>
      <c r="B22" s="424">
        <f t="shared" ref="B22:B85" si="1">IF(C22="","",ROW()-20)</f>
        <v>2</v>
      </c>
      <c r="C22" s="409" t="str">
        <f>'התחשיב הבסיסי'!C8</f>
        <v>רנה שינפלד</v>
      </c>
      <c r="D22" s="425">
        <f>'התחשיב הבסיסי'!O8</f>
        <v>80484.734667700919</v>
      </c>
      <c r="E22" s="423">
        <v>0</v>
      </c>
      <c r="F22" s="426">
        <f t="shared" ref="F22:F85" si="2">IF(C22="","",IF(Q22=0,"",IF(E22=$E$3,$D$3*D22,$D$4*D22)))</f>
        <v>68412.02446754578</v>
      </c>
      <c r="G22" s="591">
        <v>55000</v>
      </c>
      <c r="H22" s="559">
        <f t="shared" ref="H22:H85" si="3">IF(C22="","",IF(R22=0,"",ROUNDDOWN(G22/$F$3,0)*$G$3))</f>
        <v>27500</v>
      </c>
      <c r="I22" s="428">
        <f t="shared" ref="I22:I85" si="4">IF(C22="","",IF(S22&lt;&gt;1,$S$1,MIN(D22,F22+H22)))</f>
        <v>80484.734667700919</v>
      </c>
      <c r="J22" s="429">
        <f t="shared" si="0"/>
        <v>1.126045450967743E-2</v>
      </c>
      <c r="K22" s="151">
        <f t="shared" ref="K22:K85" si="5">IF(C22="","",IF(AND($S$18&lt;&gt;1,C22&lt;&gt;""),$S$1,J22*$K$2))</f>
        <v>91015.596334458387</v>
      </c>
      <c r="L22" s="131"/>
      <c r="M22" s="131"/>
      <c r="N22" s="18">
        <f t="shared" ref="N22:O53" si="6">IF($C22="","",N$20)</f>
        <v>0</v>
      </c>
      <c r="O22" s="18">
        <f t="shared" si="6"/>
        <v>1</v>
      </c>
      <c r="Q22" s="18">
        <f t="shared" ref="Q22:Q85" si="7">IF(E22="",0,IF(ISERROR(MATCH(E22,$N$20:$O$20,0)),0,1))</f>
        <v>1</v>
      </c>
      <c r="R22" s="27">
        <f t="shared" ref="R22:R85" si="8">IFERROR(IF(G22*1&gt;=0,1,0),0)</f>
        <v>1</v>
      </c>
      <c r="S22" s="18">
        <f t="shared" ref="S22:S85" si="9">IF($C22="",1,IFERROR(IF(SUM(Q22:R22)=COUNT(Q22:R22),1,0),0))</f>
        <v>1</v>
      </c>
    </row>
    <row r="23" spans="1:19" ht="15.75" x14ac:dyDescent="0.25">
      <c r="A23" s="213"/>
      <c r="B23" s="424">
        <f t="shared" si="1"/>
        <v>3</v>
      </c>
      <c r="C23" s="409" t="str">
        <f>'התחשיב הבסיסי'!C9</f>
        <v>אבי קייזר וסרג'יו אנטוניניו</v>
      </c>
      <c r="D23" s="425">
        <f>'התחשיב הבסיסי'!O9</f>
        <v>67124.18447412597</v>
      </c>
      <c r="E23" s="423">
        <v>0</v>
      </c>
      <c r="F23" s="426">
        <f t="shared" si="2"/>
        <v>57055.556803007072</v>
      </c>
      <c r="G23" s="591">
        <v>0</v>
      </c>
      <c r="H23" s="559">
        <f t="shared" si="3"/>
        <v>0</v>
      </c>
      <c r="I23" s="428">
        <f t="shared" si="4"/>
        <v>57055.556803007072</v>
      </c>
      <c r="J23" s="429">
        <f t="shared" si="0"/>
        <v>7.9825261840914784E-3</v>
      </c>
      <c r="K23" s="151">
        <f t="shared" si="5"/>
        <v>64520.875269831973</v>
      </c>
      <c r="L23" s="131"/>
      <c r="M23" s="131"/>
      <c r="N23" s="18">
        <f t="shared" si="6"/>
        <v>0</v>
      </c>
      <c r="O23" s="18">
        <f t="shared" si="6"/>
        <v>1</v>
      </c>
      <c r="Q23" s="18">
        <f t="shared" si="7"/>
        <v>1</v>
      </c>
      <c r="R23" s="27">
        <f t="shared" si="8"/>
        <v>1</v>
      </c>
      <c r="S23" s="18">
        <f t="shared" si="9"/>
        <v>1</v>
      </c>
    </row>
    <row r="24" spans="1:19" ht="15.75" x14ac:dyDescent="0.25">
      <c r="A24" s="213"/>
      <c r="B24" s="424" t="str">
        <f t="shared" si="1"/>
        <v/>
      </c>
      <c r="C24" s="409" t="str">
        <f>'התחשיב הבסיסי'!C10</f>
        <v/>
      </c>
      <c r="D24" s="425" t="str">
        <f>'התחשיב הבסיסי'!O10</f>
        <v/>
      </c>
      <c r="E24" s="423"/>
      <c r="F24" s="426" t="str">
        <f t="shared" si="2"/>
        <v/>
      </c>
      <c r="G24" s="591"/>
      <c r="H24" s="559" t="str">
        <f t="shared" si="3"/>
        <v/>
      </c>
      <c r="I24" s="428" t="str">
        <f t="shared" si="4"/>
        <v/>
      </c>
      <c r="J24" s="429" t="str">
        <f t="shared" si="0"/>
        <v/>
      </c>
      <c r="K24" s="151" t="str">
        <f t="shared" si="5"/>
        <v/>
      </c>
      <c r="L24" s="131"/>
      <c r="M24" s="131"/>
      <c r="N24" s="18" t="str">
        <f t="shared" si="6"/>
        <v/>
      </c>
      <c r="O24" s="18" t="str">
        <f t="shared" si="6"/>
        <v/>
      </c>
      <c r="Q24" s="18">
        <f t="shared" si="7"/>
        <v>0</v>
      </c>
      <c r="R24" s="27">
        <f t="shared" si="8"/>
        <v>1</v>
      </c>
      <c r="S24" s="18">
        <f t="shared" si="9"/>
        <v>1</v>
      </c>
    </row>
    <row r="25" spans="1:19" ht="15.75" x14ac:dyDescent="0.25">
      <c r="A25" s="213"/>
      <c r="B25" s="424">
        <f t="shared" si="1"/>
        <v>5</v>
      </c>
      <c r="C25" s="409" t="str">
        <f>'התחשיב הבסיסי'!C11</f>
        <v>אדוה ירמיהו</v>
      </c>
      <c r="D25" s="425">
        <f>'התחשיב הבסיסי'!O11</f>
        <v>101957.01050232763</v>
      </c>
      <c r="E25" s="423">
        <v>0</v>
      </c>
      <c r="F25" s="426">
        <f t="shared" si="2"/>
        <v>86663.458926978477</v>
      </c>
      <c r="G25" s="591">
        <v>0</v>
      </c>
      <c r="H25" s="559">
        <f t="shared" si="3"/>
        <v>0</v>
      </c>
      <c r="I25" s="428">
        <f t="shared" si="4"/>
        <v>86663.458926978477</v>
      </c>
      <c r="J25" s="429">
        <f t="shared" si="0"/>
        <v>1.2124907175598392E-2</v>
      </c>
      <c r="K25" s="151">
        <f t="shared" si="5"/>
        <v>98002.763222268361</v>
      </c>
      <c r="L25" s="131"/>
      <c r="M25" s="131"/>
      <c r="N25" s="18">
        <f t="shared" si="6"/>
        <v>0</v>
      </c>
      <c r="O25" s="18">
        <f t="shared" si="6"/>
        <v>1</v>
      </c>
      <c r="Q25" s="18">
        <f t="shared" si="7"/>
        <v>1</v>
      </c>
      <c r="R25" s="27">
        <f t="shared" si="8"/>
        <v>1</v>
      </c>
      <c r="S25" s="18">
        <f t="shared" si="9"/>
        <v>1</v>
      </c>
    </row>
    <row r="26" spans="1:19" ht="15.75" x14ac:dyDescent="0.25">
      <c r="A26" s="213"/>
      <c r="B26" s="424">
        <f t="shared" si="1"/>
        <v>6</v>
      </c>
      <c r="C26" s="409" t="str">
        <f>'התחשיב הבסיסי'!C12</f>
        <v>אהרונה ישראל</v>
      </c>
      <c r="D26" s="425">
        <f>'התחשיב הבסיסי'!O12</f>
        <v>39847.398885343202</v>
      </c>
      <c r="E26" s="423">
        <v>0</v>
      </c>
      <c r="F26" s="426">
        <f t="shared" si="2"/>
        <v>33870.289052541724</v>
      </c>
      <c r="G26" s="591">
        <v>0</v>
      </c>
      <c r="H26" s="559">
        <f t="shared" si="3"/>
        <v>0</v>
      </c>
      <c r="I26" s="428">
        <f t="shared" si="4"/>
        <v>33870.289052541724</v>
      </c>
      <c r="J26" s="429">
        <f t="shared" si="0"/>
        <v>4.7387228234080014E-3</v>
      </c>
      <c r="K26" s="151">
        <f t="shared" si="5"/>
        <v>38301.978243020552</v>
      </c>
      <c r="L26" s="131"/>
      <c r="M26" s="131"/>
      <c r="N26" s="18">
        <f t="shared" si="6"/>
        <v>0</v>
      </c>
      <c r="O26" s="18">
        <f t="shared" si="6"/>
        <v>1</v>
      </c>
      <c r="Q26" s="18">
        <f t="shared" si="7"/>
        <v>1</v>
      </c>
      <c r="R26" s="27">
        <f t="shared" si="8"/>
        <v>1</v>
      </c>
      <c r="S26" s="18">
        <f t="shared" si="9"/>
        <v>1</v>
      </c>
    </row>
    <row r="27" spans="1:19" ht="15.75" x14ac:dyDescent="0.25">
      <c r="A27" s="213"/>
      <c r="B27" s="424">
        <f t="shared" si="1"/>
        <v>7</v>
      </c>
      <c r="C27" s="409" t="str">
        <f>'התחשיב הבסיסי'!C13</f>
        <v>אופיר יודילביץ</v>
      </c>
      <c r="D27" s="425">
        <f>'התחשיב הבסיסי'!O13</f>
        <v>107906.05175510018</v>
      </c>
      <c r="E27" s="423">
        <v>0</v>
      </c>
      <c r="F27" s="426">
        <f t="shared" si="2"/>
        <v>91720.143991835153</v>
      </c>
      <c r="G27" s="591">
        <v>0</v>
      </c>
      <c r="H27" s="559">
        <f t="shared" si="3"/>
        <v>0</v>
      </c>
      <c r="I27" s="428">
        <f t="shared" si="4"/>
        <v>91720.143991835153</v>
      </c>
      <c r="J27" s="429">
        <f t="shared" si="0"/>
        <v>1.2832377634160201E-2</v>
      </c>
      <c r="K27" s="151">
        <f t="shared" si="5"/>
        <v>103721.07997579525</v>
      </c>
      <c r="L27" s="131"/>
      <c r="M27" s="131"/>
      <c r="N27" s="18">
        <f t="shared" si="6"/>
        <v>0</v>
      </c>
      <c r="O27" s="18">
        <f t="shared" si="6"/>
        <v>1</v>
      </c>
      <c r="Q27" s="18">
        <f t="shared" si="7"/>
        <v>1</v>
      </c>
      <c r="R27" s="27">
        <f t="shared" si="8"/>
        <v>1</v>
      </c>
      <c r="S27" s="18">
        <f t="shared" si="9"/>
        <v>1</v>
      </c>
    </row>
    <row r="28" spans="1:19" ht="15.75" x14ac:dyDescent="0.25">
      <c r="A28" s="213"/>
      <c r="B28" s="424">
        <f t="shared" si="1"/>
        <v>8</v>
      </c>
      <c r="C28" s="409" t="str">
        <f>'התחשיב הבסיסי'!C14</f>
        <v>אור מרין ואורן נחום</v>
      </c>
      <c r="D28" s="425">
        <f>'התחשיב הבסיסי'!O14</f>
        <v>79433.084203877777</v>
      </c>
      <c r="E28" s="423">
        <v>0</v>
      </c>
      <c r="F28" s="426">
        <f t="shared" si="2"/>
        <v>67518.121573296114</v>
      </c>
      <c r="G28" s="591">
        <v>6500</v>
      </c>
      <c r="H28" s="559">
        <f t="shared" si="3"/>
        <v>3250</v>
      </c>
      <c r="I28" s="428">
        <f t="shared" si="4"/>
        <v>70768.121573296114</v>
      </c>
      <c r="J28" s="429">
        <f t="shared" si="0"/>
        <v>9.9010230573726033E-3</v>
      </c>
      <c r="K28" s="151">
        <f t="shared" si="5"/>
        <v>80027.632731301215</v>
      </c>
      <c r="L28" s="131"/>
      <c r="M28" s="131"/>
      <c r="N28" s="18">
        <f t="shared" si="6"/>
        <v>0</v>
      </c>
      <c r="O28" s="18">
        <f t="shared" si="6"/>
        <v>1</v>
      </c>
      <c r="Q28" s="18">
        <f t="shared" si="7"/>
        <v>1</v>
      </c>
      <c r="R28" s="27">
        <f t="shared" si="8"/>
        <v>1</v>
      </c>
      <c r="S28" s="18">
        <f t="shared" si="9"/>
        <v>1</v>
      </c>
    </row>
    <row r="29" spans="1:19" ht="15.75" x14ac:dyDescent="0.25">
      <c r="A29" s="213"/>
      <c r="B29" s="424">
        <f t="shared" si="1"/>
        <v>9</v>
      </c>
      <c r="C29" s="409" t="str">
        <f>'התחשיב הבסיסי'!C15</f>
        <v>אורי שפיר</v>
      </c>
      <c r="D29" s="425">
        <f>'התחשיב הבסיסי'!O15</f>
        <v>113006.64281937206</v>
      </c>
      <c r="E29" s="423">
        <v>0</v>
      </c>
      <c r="F29" s="426">
        <f t="shared" si="2"/>
        <v>96055.646396466254</v>
      </c>
      <c r="G29" s="591">
        <v>0</v>
      </c>
      <c r="H29" s="559">
        <f t="shared" si="3"/>
        <v>0</v>
      </c>
      <c r="I29" s="428">
        <f t="shared" si="4"/>
        <v>96055.646396466254</v>
      </c>
      <c r="J29" s="429">
        <f t="shared" si="0"/>
        <v>1.3438948902680979E-2</v>
      </c>
      <c r="K29" s="151">
        <f t="shared" si="5"/>
        <v>108623.85238842932</v>
      </c>
      <c r="L29" s="131"/>
      <c r="M29" s="131"/>
      <c r="N29" s="18">
        <f t="shared" si="6"/>
        <v>0</v>
      </c>
      <c r="O29" s="18">
        <f t="shared" si="6"/>
        <v>1</v>
      </c>
      <c r="Q29" s="18">
        <f t="shared" si="7"/>
        <v>1</v>
      </c>
      <c r="R29" s="27">
        <f t="shared" si="8"/>
        <v>1</v>
      </c>
      <c r="S29" s="18">
        <f t="shared" si="9"/>
        <v>1</v>
      </c>
    </row>
    <row r="30" spans="1:19" ht="15.75" x14ac:dyDescent="0.25">
      <c r="A30" s="213"/>
      <c r="B30" s="424">
        <f t="shared" si="1"/>
        <v>10</v>
      </c>
      <c r="C30" s="409" t="str">
        <f>'התחשיב הבסיסי'!C16</f>
        <v>אורלי פורטל</v>
      </c>
      <c r="D30" s="425">
        <f>'התחשיב הבסיסי'!O16</f>
        <v>148867.13920857164</v>
      </c>
      <c r="E30" s="423">
        <v>0</v>
      </c>
      <c r="F30" s="426">
        <f t="shared" si="2"/>
        <v>126537.06832728589</v>
      </c>
      <c r="G30" s="591">
        <v>0</v>
      </c>
      <c r="H30" s="559">
        <f t="shared" si="3"/>
        <v>0</v>
      </c>
      <c r="I30" s="428">
        <f t="shared" si="4"/>
        <v>126537.06832728589</v>
      </c>
      <c r="J30" s="429">
        <f t="shared" si="0"/>
        <v>1.7703542262644194E-2</v>
      </c>
      <c r="K30" s="151">
        <f t="shared" si="5"/>
        <v>143093.55407297902</v>
      </c>
      <c r="L30" s="131"/>
      <c r="M30" s="131"/>
      <c r="N30" s="18">
        <f t="shared" si="6"/>
        <v>0</v>
      </c>
      <c r="O30" s="18">
        <f t="shared" si="6"/>
        <v>1</v>
      </c>
      <c r="Q30" s="18">
        <f t="shared" si="7"/>
        <v>1</v>
      </c>
      <c r="R30" s="27">
        <f t="shared" si="8"/>
        <v>1</v>
      </c>
      <c r="S30" s="18">
        <f t="shared" si="9"/>
        <v>1</v>
      </c>
    </row>
    <row r="31" spans="1:19" ht="15.75" x14ac:dyDescent="0.25">
      <c r="A31" s="213"/>
      <c r="B31" s="424" t="str">
        <f t="shared" si="1"/>
        <v/>
      </c>
      <c r="C31" s="409" t="str">
        <f>'התחשיב הבסיסי'!C17</f>
        <v/>
      </c>
      <c r="D31" s="425" t="str">
        <f>'התחשיב הבסיסי'!O17</f>
        <v/>
      </c>
      <c r="E31" s="423"/>
      <c r="F31" s="426" t="str">
        <f t="shared" si="2"/>
        <v/>
      </c>
      <c r="G31" s="591"/>
      <c r="H31" s="559" t="str">
        <f t="shared" si="3"/>
        <v/>
      </c>
      <c r="I31" s="428" t="str">
        <f t="shared" si="4"/>
        <v/>
      </c>
      <c r="J31" s="429" t="str">
        <f t="shared" si="0"/>
        <v/>
      </c>
      <c r="K31" s="151" t="str">
        <f t="shared" si="5"/>
        <v/>
      </c>
      <c r="L31" s="131"/>
      <c r="M31" s="131"/>
      <c r="N31" s="18" t="str">
        <f t="shared" si="6"/>
        <v/>
      </c>
      <c r="O31" s="18" t="str">
        <f t="shared" si="6"/>
        <v/>
      </c>
      <c r="Q31" s="18">
        <f t="shared" si="7"/>
        <v>0</v>
      </c>
      <c r="R31" s="27">
        <f t="shared" si="8"/>
        <v>1</v>
      </c>
      <c r="S31" s="18">
        <f t="shared" si="9"/>
        <v>1</v>
      </c>
    </row>
    <row r="32" spans="1:19" ht="15.75" x14ac:dyDescent="0.25">
      <c r="A32" s="213"/>
      <c r="B32" s="424">
        <f t="shared" si="1"/>
        <v>12</v>
      </c>
      <c r="C32" s="409" t="str">
        <f>'התחשיב הבסיסי'!C18</f>
        <v>אורין יוחנן</v>
      </c>
      <c r="D32" s="425">
        <f>'התחשיב הבסיסי'!O18</f>
        <v>59558.515243769936</v>
      </c>
      <c r="E32" s="423">
        <v>0</v>
      </c>
      <c r="F32" s="426">
        <f t="shared" si="2"/>
        <v>50624.737957204445</v>
      </c>
      <c r="G32" s="591">
        <v>0</v>
      </c>
      <c r="H32" s="559">
        <f t="shared" si="3"/>
        <v>0</v>
      </c>
      <c r="I32" s="428">
        <f t="shared" si="4"/>
        <v>50624.737957204445</v>
      </c>
      <c r="J32" s="429">
        <f t="shared" si="0"/>
        <v>7.0828034804991287E-3</v>
      </c>
      <c r="K32" s="151">
        <f t="shared" si="5"/>
        <v>57248.628991253063</v>
      </c>
      <c r="L32" s="131"/>
      <c r="M32" s="131"/>
      <c r="N32" s="18">
        <f t="shared" si="6"/>
        <v>0</v>
      </c>
      <c r="O32" s="18">
        <f t="shared" si="6"/>
        <v>1</v>
      </c>
      <c r="Q32" s="18">
        <f t="shared" si="7"/>
        <v>1</v>
      </c>
      <c r="R32" s="27">
        <f t="shared" si="8"/>
        <v>1</v>
      </c>
      <c r="S32" s="18">
        <f t="shared" si="9"/>
        <v>1</v>
      </c>
    </row>
    <row r="33" spans="1:19" ht="15.75" x14ac:dyDescent="0.25">
      <c r="A33" s="213"/>
      <c r="B33" s="424">
        <f t="shared" si="1"/>
        <v>13</v>
      </c>
      <c r="C33" s="409" t="str">
        <f>'התחשיב הבסיסי'!C19</f>
        <v>איריס ארז</v>
      </c>
      <c r="D33" s="425">
        <f>'התחשיב הבסיסי'!O19</f>
        <v>193820.45411226875</v>
      </c>
      <c r="E33" s="423">
        <v>0</v>
      </c>
      <c r="F33" s="426">
        <f t="shared" si="2"/>
        <v>164747.38599542843</v>
      </c>
      <c r="G33" s="591">
        <v>32063</v>
      </c>
      <c r="H33" s="559">
        <f t="shared" si="3"/>
        <v>16031</v>
      </c>
      <c r="I33" s="428">
        <f t="shared" si="4"/>
        <v>180778.38599542843</v>
      </c>
      <c r="J33" s="429">
        <f t="shared" si="0"/>
        <v>2.5292334008915462E-2</v>
      </c>
      <c r="K33" s="151">
        <f t="shared" si="5"/>
        <v>204431.96680323756</v>
      </c>
      <c r="L33" s="131"/>
      <c r="M33" s="131"/>
      <c r="N33" s="18">
        <f t="shared" si="6"/>
        <v>0</v>
      </c>
      <c r="O33" s="18">
        <f t="shared" si="6"/>
        <v>1</v>
      </c>
      <c r="Q33" s="18">
        <f t="shared" si="7"/>
        <v>1</v>
      </c>
      <c r="R33" s="27">
        <f t="shared" si="8"/>
        <v>1</v>
      </c>
      <c r="S33" s="18">
        <f t="shared" si="9"/>
        <v>1</v>
      </c>
    </row>
    <row r="34" spans="1:19" ht="15.75" x14ac:dyDescent="0.25">
      <c r="A34" s="213"/>
      <c r="B34" s="424" t="str">
        <f t="shared" si="1"/>
        <v/>
      </c>
      <c r="C34" s="409" t="str">
        <f>'התחשיב הבסיסי'!C20</f>
        <v/>
      </c>
      <c r="D34" s="425" t="str">
        <f>'התחשיב הבסיסי'!O20</f>
        <v/>
      </c>
      <c r="E34" s="423"/>
      <c r="F34" s="426" t="str">
        <f t="shared" si="2"/>
        <v/>
      </c>
      <c r="G34" s="591"/>
      <c r="H34" s="559" t="str">
        <f t="shared" si="3"/>
        <v/>
      </c>
      <c r="I34" s="428" t="str">
        <f t="shared" si="4"/>
        <v/>
      </c>
      <c r="J34" s="429" t="str">
        <f t="shared" si="0"/>
        <v/>
      </c>
      <c r="K34" s="151" t="str">
        <f t="shared" si="5"/>
        <v/>
      </c>
      <c r="L34" s="131"/>
      <c r="M34" s="131"/>
      <c r="N34" s="18" t="str">
        <f t="shared" si="6"/>
        <v/>
      </c>
      <c r="O34" s="18" t="str">
        <f t="shared" si="6"/>
        <v/>
      </c>
      <c r="Q34" s="18">
        <f t="shared" si="7"/>
        <v>0</v>
      </c>
      <c r="R34" s="27">
        <f t="shared" si="8"/>
        <v>1</v>
      </c>
      <c r="S34" s="18">
        <f t="shared" si="9"/>
        <v>1</v>
      </c>
    </row>
    <row r="35" spans="1:19" ht="15.75" x14ac:dyDescent="0.25">
      <c r="A35" s="213"/>
      <c r="B35" s="424">
        <f t="shared" si="1"/>
        <v>15</v>
      </c>
      <c r="C35" s="409" t="str">
        <f>'התחשיב הבסיסי'!C21</f>
        <v>ענבל אושמן</v>
      </c>
      <c r="D35" s="425">
        <f>'התחשיב הבסיסי'!O21</f>
        <v>88439.743246150625</v>
      </c>
      <c r="E35" s="423">
        <v>0</v>
      </c>
      <c r="F35" s="426">
        <f t="shared" si="2"/>
        <v>75173.781759228033</v>
      </c>
      <c r="G35" s="591">
        <v>5000</v>
      </c>
      <c r="H35" s="559">
        <f t="shared" si="3"/>
        <v>2500</v>
      </c>
      <c r="I35" s="428">
        <f t="shared" si="4"/>
        <v>77673.781759228033</v>
      </c>
      <c r="J35" s="429">
        <f t="shared" si="0"/>
        <v>1.0867179841066181E-2</v>
      </c>
      <c r="K35" s="151">
        <f t="shared" si="5"/>
        <v>87836.850000895458</v>
      </c>
      <c r="L35" s="131"/>
      <c r="M35" s="131"/>
      <c r="N35" s="18">
        <f t="shared" si="6"/>
        <v>0</v>
      </c>
      <c r="O35" s="18">
        <f t="shared" si="6"/>
        <v>1</v>
      </c>
      <c r="Q35" s="18">
        <f t="shared" si="7"/>
        <v>1</v>
      </c>
      <c r="R35" s="27">
        <f t="shared" si="8"/>
        <v>1</v>
      </c>
      <c r="S35" s="18">
        <f t="shared" si="9"/>
        <v>1</v>
      </c>
    </row>
    <row r="36" spans="1:19" ht="15.75" x14ac:dyDescent="0.25">
      <c r="A36" s="213"/>
      <c r="B36" s="424">
        <f t="shared" si="1"/>
        <v>16</v>
      </c>
      <c r="C36" s="409" t="str">
        <f>'התחשיב הבסיסי'!C22</f>
        <v>אנדריאה מרטיני</v>
      </c>
      <c r="D36" s="425">
        <f>'התחשיב הבסיסי'!O22</f>
        <v>78684.123536932238</v>
      </c>
      <c r="E36" s="423">
        <v>0</v>
      </c>
      <c r="F36" s="426">
        <f t="shared" si="2"/>
        <v>66881.505006392399</v>
      </c>
      <c r="G36" s="591">
        <v>0</v>
      </c>
      <c r="H36" s="559">
        <f t="shared" si="3"/>
        <v>0</v>
      </c>
      <c r="I36" s="428">
        <f t="shared" si="4"/>
        <v>66881.505006392399</v>
      </c>
      <c r="J36" s="429">
        <f t="shared" si="0"/>
        <v>9.357254487731767E-3</v>
      </c>
      <c r="K36" s="151">
        <f t="shared" si="5"/>
        <v>75632.479712276763</v>
      </c>
      <c r="L36" s="131"/>
      <c r="M36" s="131"/>
      <c r="N36" s="18">
        <f t="shared" si="6"/>
        <v>0</v>
      </c>
      <c r="O36" s="18">
        <f t="shared" si="6"/>
        <v>1</v>
      </c>
      <c r="Q36" s="18">
        <f t="shared" si="7"/>
        <v>1</v>
      </c>
      <c r="R36" s="27">
        <f t="shared" si="8"/>
        <v>1</v>
      </c>
      <c r="S36" s="18">
        <f t="shared" si="9"/>
        <v>1</v>
      </c>
    </row>
    <row r="37" spans="1:19" ht="15.75" x14ac:dyDescent="0.25">
      <c r="A37" s="213"/>
      <c r="B37" s="424">
        <f t="shared" si="1"/>
        <v>17</v>
      </c>
      <c r="C37" s="409" t="str">
        <f>'התחשיב הבסיסי'!C23</f>
        <v>אפרת רובין</v>
      </c>
      <c r="D37" s="425">
        <f>'התחשיב הבסיסי'!O23</f>
        <v>62802.313842708856</v>
      </c>
      <c r="E37" s="423">
        <v>0</v>
      </c>
      <c r="F37" s="426">
        <f t="shared" si="2"/>
        <v>53381.966766302525</v>
      </c>
      <c r="G37" s="591">
        <v>0</v>
      </c>
      <c r="H37" s="559">
        <f t="shared" si="3"/>
        <v>0</v>
      </c>
      <c r="I37" s="428">
        <f t="shared" si="4"/>
        <v>53381.966766302525</v>
      </c>
      <c r="J37" s="429">
        <f t="shared" si="0"/>
        <v>7.4685617203170043E-3</v>
      </c>
      <c r="K37" s="151">
        <f t="shared" si="5"/>
        <v>60366.621804756353</v>
      </c>
      <c r="L37" s="131"/>
      <c r="M37" s="131"/>
      <c r="N37" s="18">
        <f t="shared" si="6"/>
        <v>0</v>
      </c>
      <c r="O37" s="18">
        <f t="shared" si="6"/>
        <v>1</v>
      </c>
      <c r="Q37" s="18">
        <f t="shared" si="7"/>
        <v>1</v>
      </c>
      <c r="R37" s="27">
        <f t="shared" si="8"/>
        <v>1</v>
      </c>
      <c r="S37" s="18">
        <f t="shared" si="9"/>
        <v>1</v>
      </c>
    </row>
    <row r="38" spans="1:19" ht="15.75" x14ac:dyDescent="0.25">
      <c r="A38" s="213"/>
      <c r="B38" s="424">
        <f t="shared" si="1"/>
        <v>18</v>
      </c>
      <c r="C38" s="409" t="str">
        <f>'התחשיב הבסיסי'!C24</f>
        <v>שרון צוקרמן</v>
      </c>
      <c r="D38" s="425">
        <f>'התחשיב הבסיסי'!O24</f>
        <v>68025.100163304334</v>
      </c>
      <c r="E38" s="423">
        <v>0</v>
      </c>
      <c r="F38" s="426">
        <f t="shared" si="2"/>
        <v>57821.335138808681</v>
      </c>
      <c r="G38" s="591">
        <v>0</v>
      </c>
      <c r="H38" s="559">
        <f t="shared" si="3"/>
        <v>0</v>
      </c>
      <c r="I38" s="428">
        <f t="shared" si="4"/>
        <v>57821.335138808681</v>
      </c>
      <c r="J38" s="429">
        <f t="shared" si="0"/>
        <v>8.0896646638341594E-3</v>
      </c>
      <c r="K38" s="151">
        <f t="shared" si="5"/>
        <v>65386.850316910844</v>
      </c>
      <c r="L38" s="131"/>
      <c r="M38" s="131"/>
      <c r="N38" s="18">
        <f t="shared" si="6"/>
        <v>0</v>
      </c>
      <c r="O38" s="18">
        <f t="shared" si="6"/>
        <v>1</v>
      </c>
      <c r="Q38" s="18">
        <f t="shared" si="7"/>
        <v>1</v>
      </c>
      <c r="R38" s="27">
        <f t="shared" si="8"/>
        <v>1</v>
      </c>
      <c r="S38" s="18">
        <f t="shared" si="9"/>
        <v>1</v>
      </c>
    </row>
    <row r="39" spans="1:19" ht="15.75" x14ac:dyDescent="0.25">
      <c r="A39" s="213"/>
      <c r="B39" s="424">
        <f t="shared" si="1"/>
        <v>19</v>
      </c>
      <c r="C39" s="409" t="str">
        <f>'התחשיב הבסיסי'!C25</f>
        <v>בשמת נוסן</v>
      </c>
      <c r="D39" s="425">
        <f>'התחשיב הבסיסי'!O25</f>
        <v>69620.391733195662</v>
      </c>
      <c r="E39" s="423">
        <v>0</v>
      </c>
      <c r="F39" s="426">
        <f t="shared" si="2"/>
        <v>59177.332973216311</v>
      </c>
      <c r="G39" s="591">
        <v>0</v>
      </c>
      <c r="H39" s="559">
        <f t="shared" si="3"/>
        <v>0</v>
      </c>
      <c r="I39" s="428">
        <f t="shared" si="4"/>
        <v>59177.332973216311</v>
      </c>
      <c r="J39" s="429">
        <f t="shared" si="0"/>
        <v>8.2793795457010173E-3</v>
      </c>
      <c r="K39" s="151">
        <f t="shared" si="5"/>
        <v>66920.270934328539</v>
      </c>
      <c r="L39" s="131"/>
      <c r="M39" s="131"/>
      <c r="N39" s="18">
        <f t="shared" si="6"/>
        <v>0</v>
      </c>
      <c r="O39" s="18">
        <f t="shared" si="6"/>
        <v>1</v>
      </c>
      <c r="Q39" s="18">
        <f t="shared" si="7"/>
        <v>1</v>
      </c>
      <c r="R39" s="27">
        <f t="shared" si="8"/>
        <v>1</v>
      </c>
      <c r="S39" s="18">
        <f t="shared" si="9"/>
        <v>1</v>
      </c>
    </row>
    <row r="40" spans="1:19" ht="15.75" x14ac:dyDescent="0.25">
      <c r="A40" s="213"/>
      <c r="B40" s="424">
        <f t="shared" si="1"/>
        <v>20</v>
      </c>
      <c r="C40" s="409" t="str">
        <f>'התחשיב הבסיסי'!C26</f>
        <v>גיל קרר</v>
      </c>
      <c r="D40" s="425">
        <f>'התחשיב הבסיסי'!O26</f>
        <v>122888.69075337553</v>
      </c>
      <c r="E40" s="423">
        <v>0</v>
      </c>
      <c r="F40" s="426">
        <f t="shared" si="2"/>
        <v>104455.3871403692</v>
      </c>
      <c r="G40" s="591">
        <v>0</v>
      </c>
      <c r="H40" s="559">
        <f t="shared" si="3"/>
        <v>0</v>
      </c>
      <c r="I40" s="428">
        <f t="shared" si="4"/>
        <v>104455.3871403692</v>
      </c>
      <c r="J40" s="429">
        <f t="shared" si="0"/>
        <v>1.4614139439499147E-2</v>
      </c>
      <c r="K40" s="151">
        <f t="shared" si="5"/>
        <v>118122.64015256388</v>
      </c>
      <c r="L40" s="131"/>
      <c r="M40" s="131"/>
      <c r="N40" s="18">
        <f t="shared" si="6"/>
        <v>0</v>
      </c>
      <c r="O40" s="18">
        <f t="shared" si="6"/>
        <v>1</v>
      </c>
      <c r="Q40" s="18">
        <f t="shared" si="7"/>
        <v>1</v>
      </c>
      <c r="R40" s="27">
        <f t="shared" si="8"/>
        <v>1</v>
      </c>
      <c r="S40" s="18">
        <f t="shared" si="9"/>
        <v>1</v>
      </c>
    </row>
    <row r="41" spans="1:19" ht="15.75" x14ac:dyDescent="0.25">
      <c r="A41" s="213"/>
      <c r="B41" s="424">
        <f t="shared" si="1"/>
        <v>21</v>
      </c>
      <c r="C41" s="409" t="str">
        <f>'התחשיב הבסיסי'!C27</f>
        <v>דינה תלם</v>
      </c>
      <c r="D41" s="425">
        <f>'התחשיב הבסיסי'!O27</f>
        <v>118422.29324627272</v>
      </c>
      <c r="E41" s="423">
        <v>0</v>
      </c>
      <c r="F41" s="426">
        <f t="shared" si="2"/>
        <v>100658.94925933181</v>
      </c>
      <c r="G41" s="591">
        <v>4537</v>
      </c>
      <c r="H41" s="559">
        <f t="shared" si="3"/>
        <v>2268</v>
      </c>
      <c r="I41" s="428">
        <f t="shared" si="4"/>
        <v>102926.94925933181</v>
      </c>
      <c r="J41" s="429">
        <f t="shared" si="0"/>
        <v>1.4400298823619026E-2</v>
      </c>
      <c r="K41" s="151">
        <f t="shared" si="5"/>
        <v>116394.21692079022</v>
      </c>
      <c r="L41" s="131"/>
      <c r="M41" s="131"/>
      <c r="N41" s="18">
        <f t="shared" si="6"/>
        <v>0</v>
      </c>
      <c r="O41" s="18">
        <f t="shared" si="6"/>
        <v>1</v>
      </c>
      <c r="Q41" s="18">
        <f t="shared" si="7"/>
        <v>1</v>
      </c>
      <c r="R41" s="27">
        <f t="shared" si="8"/>
        <v>1</v>
      </c>
      <c r="S41" s="18">
        <f t="shared" si="9"/>
        <v>1</v>
      </c>
    </row>
    <row r="42" spans="1:19" ht="15.75" x14ac:dyDescent="0.25">
      <c r="A42" s="213"/>
      <c r="B42" s="424">
        <f t="shared" si="1"/>
        <v>22</v>
      </c>
      <c r="C42" s="409" t="str">
        <f>'התחשיב הבסיסי'!C28</f>
        <v>דנה יהלומי</v>
      </c>
      <c r="D42" s="425">
        <f>'התחשיב הבסיסי'!O28</f>
        <v>86939.676511461163</v>
      </c>
      <c r="E42" s="423">
        <v>0</v>
      </c>
      <c r="F42" s="426">
        <f t="shared" si="2"/>
        <v>73898.72503474199</v>
      </c>
      <c r="G42" s="591">
        <v>0</v>
      </c>
      <c r="H42" s="559">
        <f t="shared" si="3"/>
        <v>0</v>
      </c>
      <c r="I42" s="428">
        <f t="shared" si="4"/>
        <v>73898.72503474199</v>
      </c>
      <c r="J42" s="429">
        <f t="shared" si="0"/>
        <v>1.0339019380662923E-2</v>
      </c>
      <c r="K42" s="151">
        <f t="shared" si="5"/>
        <v>83567.853645324562</v>
      </c>
      <c r="L42" s="131"/>
      <c r="M42" s="131"/>
      <c r="N42" s="18">
        <f t="shared" si="6"/>
        <v>0</v>
      </c>
      <c r="O42" s="18">
        <f t="shared" si="6"/>
        <v>1</v>
      </c>
      <c r="Q42" s="18">
        <f t="shared" si="7"/>
        <v>1</v>
      </c>
      <c r="R42" s="27">
        <f t="shared" si="8"/>
        <v>1</v>
      </c>
      <c r="S42" s="18">
        <f t="shared" si="9"/>
        <v>1</v>
      </c>
    </row>
    <row r="43" spans="1:19" ht="15.75" x14ac:dyDescent="0.25">
      <c r="A43" s="213"/>
      <c r="B43" s="424">
        <f t="shared" si="1"/>
        <v>23</v>
      </c>
      <c r="C43" s="409" t="str">
        <f>'התחשיב הבסיסי'!C29</f>
        <v>דנה רוטנברג</v>
      </c>
      <c r="D43" s="425">
        <f>'התחשיב הבסיסי'!O29</f>
        <v>142882.62454345348</v>
      </c>
      <c r="E43" s="423">
        <v>0</v>
      </c>
      <c r="F43" s="426">
        <f t="shared" si="2"/>
        <v>121450.23086193546</v>
      </c>
      <c r="G43" s="591">
        <v>0</v>
      </c>
      <c r="H43" s="559">
        <f t="shared" si="3"/>
        <v>0</v>
      </c>
      <c r="I43" s="428">
        <f t="shared" si="4"/>
        <v>121450.23086193546</v>
      </c>
      <c r="J43" s="429">
        <f t="shared" si="0"/>
        <v>1.6991853243438316E-2</v>
      </c>
      <c r="K43" s="151">
        <f t="shared" si="5"/>
        <v>137341.13968934646</v>
      </c>
      <c r="L43" s="131"/>
      <c r="M43" s="131"/>
      <c r="N43" s="18">
        <f t="shared" si="6"/>
        <v>0</v>
      </c>
      <c r="O43" s="18">
        <f t="shared" si="6"/>
        <v>1</v>
      </c>
      <c r="Q43" s="18">
        <f t="shared" si="7"/>
        <v>1</v>
      </c>
      <c r="R43" s="27">
        <f t="shared" si="8"/>
        <v>1</v>
      </c>
      <c r="S43" s="18">
        <f t="shared" si="9"/>
        <v>1</v>
      </c>
    </row>
    <row r="44" spans="1:19" ht="15.75" x14ac:dyDescent="0.25">
      <c r="A44" s="213"/>
      <c r="B44" s="424">
        <f t="shared" si="1"/>
        <v>24</v>
      </c>
      <c r="C44" s="409" t="str">
        <f>'התחשיב הבסיסי'!C30</f>
        <v>דפי אלטבב</v>
      </c>
      <c r="D44" s="425">
        <f>'התחשיב הבסיסי'!O30</f>
        <v>113853.7817691461</v>
      </c>
      <c r="E44" s="423">
        <v>0</v>
      </c>
      <c r="F44" s="426">
        <f t="shared" si="2"/>
        <v>96775.714503774172</v>
      </c>
      <c r="G44" s="591">
        <v>0</v>
      </c>
      <c r="H44" s="559">
        <f t="shared" si="3"/>
        <v>0</v>
      </c>
      <c r="I44" s="428">
        <f t="shared" si="4"/>
        <v>96775.714503774172</v>
      </c>
      <c r="J44" s="429">
        <f t="shared" si="0"/>
        <v>1.3539692157904312E-2</v>
      </c>
      <c r="K44" s="151">
        <f t="shared" si="5"/>
        <v>109438.13634499129</v>
      </c>
      <c r="L44" s="131"/>
      <c r="M44" s="131"/>
      <c r="N44" s="18">
        <f t="shared" si="6"/>
        <v>0</v>
      </c>
      <c r="O44" s="18">
        <f t="shared" si="6"/>
        <v>1</v>
      </c>
      <c r="Q44" s="18">
        <f t="shared" si="7"/>
        <v>1</v>
      </c>
      <c r="R44" s="27">
        <f t="shared" si="8"/>
        <v>1</v>
      </c>
      <c r="S44" s="18">
        <f t="shared" si="9"/>
        <v>1</v>
      </c>
    </row>
    <row r="45" spans="1:19" ht="15.75" x14ac:dyDescent="0.25">
      <c r="A45" s="213"/>
      <c r="B45" s="424">
        <f t="shared" si="1"/>
        <v>25</v>
      </c>
      <c r="C45" s="409" t="str">
        <f>'התחשיב הבסיסי'!C31</f>
        <v>הלל קוגן</v>
      </c>
      <c r="D45" s="425">
        <f>'התחשיב הבסיסי'!O31</f>
        <v>139259.90926668767</v>
      </c>
      <c r="E45" s="423">
        <v>0</v>
      </c>
      <c r="F45" s="426">
        <f t="shared" si="2"/>
        <v>118370.92287668452</v>
      </c>
      <c r="G45" s="591">
        <v>0</v>
      </c>
      <c r="H45" s="559">
        <f t="shared" si="3"/>
        <v>0</v>
      </c>
      <c r="I45" s="428">
        <f t="shared" si="4"/>
        <v>118370.92287668452</v>
      </c>
      <c r="J45" s="429">
        <f t="shared" si="0"/>
        <v>1.6561033565242623E-2</v>
      </c>
      <c r="K45" s="151">
        <f t="shared" si="5"/>
        <v>133858.92590393472</v>
      </c>
      <c r="L45" s="131"/>
      <c r="M45" s="131"/>
      <c r="N45" s="18">
        <f t="shared" si="6"/>
        <v>0</v>
      </c>
      <c r="O45" s="18">
        <f t="shared" si="6"/>
        <v>1</v>
      </c>
      <c r="Q45" s="18">
        <f t="shared" si="7"/>
        <v>1</v>
      </c>
      <c r="R45" s="27">
        <f t="shared" si="8"/>
        <v>1</v>
      </c>
      <c r="S45" s="18">
        <f t="shared" si="9"/>
        <v>1</v>
      </c>
    </row>
    <row r="46" spans="1:19" ht="15.75" x14ac:dyDescent="0.25">
      <c r="A46" s="213"/>
      <c r="B46" s="424">
        <f t="shared" si="1"/>
        <v>26</v>
      </c>
      <c r="C46" s="409" t="str">
        <f>'התחשיב הבסיסי'!C32</f>
        <v>אנאבל דביר</v>
      </c>
      <c r="D46" s="425">
        <f>'התחשיב הבסיסי'!O32</f>
        <v>129300.48557212485</v>
      </c>
      <c r="E46" s="423">
        <v>0</v>
      </c>
      <c r="F46" s="426">
        <f t="shared" si="2"/>
        <v>109905.41273630611</v>
      </c>
      <c r="G46" s="591">
        <v>5964</v>
      </c>
      <c r="H46" s="559">
        <f t="shared" si="3"/>
        <v>2982</v>
      </c>
      <c r="I46" s="428">
        <f t="shared" si="4"/>
        <v>112887.41273630611</v>
      </c>
      <c r="J46" s="429">
        <f t="shared" si="0"/>
        <v>1.5793846883892161E-2</v>
      </c>
      <c r="K46" s="151">
        <f t="shared" si="5"/>
        <v>127657.93701463574</v>
      </c>
      <c r="L46" s="131"/>
      <c r="M46" s="131"/>
      <c r="N46" s="18">
        <f t="shared" si="6"/>
        <v>0</v>
      </c>
      <c r="O46" s="18">
        <f t="shared" si="6"/>
        <v>1</v>
      </c>
      <c r="Q46" s="18">
        <f t="shared" si="7"/>
        <v>1</v>
      </c>
      <c r="R46" s="27">
        <f t="shared" si="8"/>
        <v>1</v>
      </c>
      <c r="S46" s="18">
        <f t="shared" si="9"/>
        <v>1</v>
      </c>
    </row>
    <row r="47" spans="1:19" ht="15.75" x14ac:dyDescent="0.25">
      <c r="A47" s="213"/>
      <c r="B47" s="424">
        <f t="shared" si="1"/>
        <v>27</v>
      </c>
      <c r="C47" s="409" t="str">
        <f>'התחשיב הבסיסי'!C33</f>
        <v>יוסי ברג ועודד גרף</v>
      </c>
      <c r="D47" s="425">
        <f>'התחשיב הבסיסי'!O33</f>
        <v>134261.83684531986</v>
      </c>
      <c r="E47" s="423">
        <v>0</v>
      </c>
      <c r="F47" s="426">
        <f t="shared" si="2"/>
        <v>114122.56131852188</v>
      </c>
      <c r="G47" s="591">
        <v>93000</v>
      </c>
      <c r="H47" s="559">
        <f t="shared" si="3"/>
        <v>46500</v>
      </c>
      <c r="I47" s="428">
        <f t="shared" si="4"/>
        <v>134261.83684531986</v>
      </c>
      <c r="J47" s="429">
        <f t="shared" si="0"/>
        <v>1.8784298816719253E-2</v>
      </c>
      <c r="K47" s="151">
        <f t="shared" si="5"/>
        <v>151829.05424102096</v>
      </c>
      <c r="L47" s="131"/>
      <c r="M47" s="131"/>
      <c r="N47" s="18">
        <f t="shared" si="6"/>
        <v>0</v>
      </c>
      <c r="O47" s="18">
        <f t="shared" si="6"/>
        <v>1</v>
      </c>
      <c r="Q47" s="18">
        <f t="shared" si="7"/>
        <v>1</v>
      </c>
      <c r="R47" s="27">
        <f t="shared" si="8"/>
        <v>1</v>
      </c>
      <c r="S47" s="18">
        <f t="shared" si="9"/>
        <v>1</v>
      </c>
    </row>
    <row r="48" spans="1:19" ht="15.75" x14ac:dyDescent="0.25">
      <c r="A48" s="213"/>
      <c r="B48" s="424">
        <f t="shared" si="1"/>
        <v>28</v>
      </c>
      <c r="C48" s="409" t="str">
        <f>'התחשיב הבסיסי'!C34</f>
        <v>נדין בומר</v>
      </c>
      <c r="D48" s="425">
        <f>'התחשיב הבסיסי'!O34</f>
        <v>100704.56633158115</v>
      </c>
      <c r="E48" s="423">
        <v>0</v>
      </c>
      <c r="F48" s="426">
        <f t="shared" si="2"/>
        <v>85598.881381843981</v>
      </c>
      <c r="G48" s="591">
        <v>0</v>
      </c>
      <c r="H48" s="559">
        <f t="shared" si="3"/>
        <v>0</v>
      </c>
      <c r="I48" s="428">
        <f t="shared" si="4"/>
        <v>85598.881381843981</v>
      </c>
      <c r="J48" s="429">
        <f t="shared" si="0"/>
        <v>1.1975964309991583E-2</v>
      </c>
      <c r="K48" s="151">
        <f t="shared" si="5"/>
        <v>96798.893190084811</v>
      </c>
      <c r="L48" s="131"/>
      <c r="M48" s="131"/>
      <c r="N48" s="18">
        <f t="shared" si="6"/>
        <v>0</v>
      </c>
      <c r="O48" s="18">
        <f t="shared" si="6"/>
        <v>1</v>
      </c>
      <c r="Q48" s="18">
        <f t="shared" si="7"/>
        <v>1</v>
      </c>
      <c r="R48" s="27">
        <f t="shared" si="8"/>
        <v>1</v>
      </c>
      <c r="S48" s="18">
        <f t="shared" si="9"/>
        <v>1</v>
      </c>
    </row>
    <row r="49" spans="1:19" ht="15.75" x14ac:dyDescent="0.25">
      <c r="A49" s="213"/>
      <c r="B49" s="424">
        <f t="shared" si="1"/>
        <v>29</v>
      </c>
      <c r="C49" s="409" t="str">
        <f>'התחשיב הבסיסי'!C35</f>
        <v xml:space="preserve">להקת בלט פאנוב </v>
      </c>
      <c r="D49" s="425">
        <f>'התחשיב הבסיסי'!O35</f>
        <v>228233.13794096315</v>
      </c>
      <c r="E49" s="423">
        <v>1</v>
      </c>
      <c r="F49" s="426">
        <f t="shared" si="2"/>
        <v>114116.56897048157</v>
      </c>
      <c r="G49" s="591">
        <v>816876</v>
      </c>
      <c r="H49" s="559">
        <f t="shared" si="3"/>
        <v>408438</v>
      </c>
      <c r="I49" s="428">
        <f t="shared" si="4"/>
        <v>228233.13794096315</v>
      </c>
      <c r="J49" s="429">
        <f t="shared" si="0"/>
        <v>3.193163123412162E-2</v>
      </c>
      <c r="K49" s="151">
        <f t="shared" si="5"/>
        <v>258095.83940043379</v>
      </c>
      <c r="L49" s="131"/>
      <c r="M49" s="131"/>
      <c r="N49" s="18">
        <f t="shared" si="6"/>
        <v>0</v>
      </c>
      <c r="O49" s="18">
        <f t="shared" si="6"/>
        <v>1</v>
      </c>
      <c r="Q49" s="18">
        <f t="shared" si="7"/>
        <v>1</v>
      </c>
      <c r="R49" s="27">
        <f t="shared" si="8"/>
        <v>1</v>
      </c>
      <c r="S49" s="18">
        <f t="shared" si="9"/>
        <v>1</v>
      </c>
    </row>
    <row r="50" spans="1:19" ht="15.75" x14ac:dyDescent="0.25">
      <c r="A50" s="213"/>
      <c r="B50" s="424" t="str">
        <f t="shared" si="1"/>
        <v/>
      </c>
      <c r="C50" s="409" t="str">
        <f>'התחשיב הבסיסי'!C36</f>
        <v/>
      </c>
      <c r="D50" s="425" t="str">
        <f>'התחשיב הבסיסי'!O36</f>
        <v/>
      </c>
      <c r="E50" s="423"/>
      <c r="F50" s="426" t="str">
        <f t="shared" si="2"/>
        <v/>
      </c>
      <c r="G50" s="591"/>
      <c r="H50" s="559" t="str">
        <f t="shared" si="3"/>
        <v/>
      </c>
      <c r="I50" s="428" t="str">
        <f t="shared" si="4"/>
        <v/>
      </c>
      <c r="J50" s="429" t="str">
        <f t="shared" si="0"/>
        <v/>
      </c>
      <c r="K50" s="151" t="str">
        <f t="shared" si="5"/>
        <v/>
      </c>
      <c r="L50" s="131"/>
      <c r="M50" s="131"/>
      <c r="N50" s="18" t="str">
        <f t="shared" si="6"/>
        <v/>
      </c>
      <c r="O50" s="18" t="str">
        <f t="shared" si="6"/>
        <v/>
      </c>
      <c r="Q50" s="18">
        <f t="shared" si="7"/>
        <v>0</v>
      </c>
      <c r="R50" s="27">
        <f t="shared" si="8"/>
        <v>1</v>
      </c>
      <c r="S50" s="18">
        <f t="shared" si="9"/>
        <v>1</v>
      </c>
    </row>
    <row r="51" spans="1:19" ht="15.75" x14ac:dyDescent="0.25">
      <c r="A51" s="213"/>
      <c r="B51" s="424" t="str">
        <f t="shared" si="1"/>
        <v/>
      </c>
      <c r="C51" s="409" t="str">
        <f>'התחשיב הבסיסי'!C37</f>
        <v/>
      </c>
      <c r="D51" s="425" t="str">
        <f>'התחשיב הבסיסי'!O37</f>
        <v/>
      </c>
      <c r="E51" s="423"/>
      <c r="F51" s="426" t="str">
        <f t="shared" si="2"/>
        <v/>
      </c>
      <c r="G51" s="591"/>
      <c r="H51" s="559" t="str">
        <f t="shared" si="3"/>
        <v/>
      </c>
      <c r="I51" s="428" t="str">
        <f t="shared" si="4"/>
        <v/>
      </c>
      <c r="J51" s="429" t="str">
        <f t="shared" si="0"/>
        <v/>
      </c>
      <c r="K51" s="151" t="str">
        <f t="shared" si="5"/>
        <v/>
      </c>
      <c r="L51" s="131"/>
      <c r="M51" s="131"/>
      <c r="N51" s="18" t="str">
        <f t="shared" si="6"/>
        <v/>
      </c>
      <c r="O51" s="18" t="str">
        <f t="shared" si="6"/>
        <v/>
      </c>
      <c r="Q51" s="18">
        <f t="shared" si="7"/>
        <v>0</v>
      </c>
      <c r="R51" s="27">
        <f t="shared" si="8"/>
        <v>1</v>
      </c>
      <c r="S51" s="18">
        <f t="shared" si="9"/>
        <v>1</v>
      </c>
    </row>
    <row r="52" spans="1:19" ht="15.75" x14ac:dyDescent="0.25">
      <c r="A52" s="213"/>
      <c r="B52" s="424">
        <f t="shared" si="1"/>
        <v>32</v>
      </c>
      <c r="C52" s="409" t="str">
        <f>'התחשיב הבסיסי'!C38</f>
        <v>מיכל סממה</v>
      </c>
      <c r="D52" s="425">
        <f>'התחשיב הבסיסי'!O38</f>
        <v>55593.086220898935</v>
      </c>
      <c r="E52" s="423">
        <v>0</v>
      </c>
      <c r="F52" s="426">
        <f t="shared" si="2"/>
        <v>47254.123287764094</v>
      </c>
      <c r="G52" s="591">
        <v>0</v>
      </c>
      <c r="H52" s="559">
        <f t="shared" si="3"/>
        <v>0</v>
      </c>
      <c r="I52" s="428">
        <f t="shared" si="4"/>
        <v>47254.123287764094</v>
      </c>
      <c r="J52" s="429">
        <f t="shared" si="0"/>
        <v>6.6112276802981502E-3</v>
      </c>
      <c r="K52" s="151">
        <f t="shared" si="5"/>
        <v>53436.993090117401</v>
      </c>
      <c r="L52" s="131"/>
      <c r="M52" s="131"/>
      <c r="N52" s="18">
        <f t="shared" si="6"/>
        <v>0</v>
      </c>
      <c r="O52" s="18">
        <f t="shared" si="6"/>
        <v>1</v>
      </c>
      <c r="Q52" s="18">
        <f t="shared" si="7"/>
        <v>1</v>
      </c>
      <c r="R52" s="27">
        <f t="shared" si="8"/>
        <v>1</v>
      </c>
      <c r="S52" s="18">
        <f t="shared" si="9"/>
        <v>1</v>
      </c>
    </row>
    <row r="53" spans="1:19" ht="15.75" x14ac:dyDescent="0.25">
      <c r="A53" s="213"/>
      <c r="B53" s="424">
        <f t="shared" si="1"/>
        <v>33</v>
      </c>
      <c r="C53" s="409" t="str">
        <f>'התחשיב הבסיסי'!C39</f>
        <v>מאיה ברינר</v>
      </c>
      <c r="D53" s="425">
        <f>'התחשיב הבסיסי'!O39</f>
        <v>315193.09042223979</v>
      </c>
      <c r="E53" s="423">
        <v>0</v>
      </c>
      <c r="F53" s="426">
        <f t="shared" si="2"/>
        <v>267914.12685890379</v>
      </c>
      <c r="G53" s="591">
        <v>0</v>
      </c>
      <c r="H53" s="559">
        <f t="shared" si="3"/>
        <v>0</v>
      </c>
      <c r="I53" s="428">
        <f t="shared" si="4"/>
        <v>267914.12685890379</v>
      </c>
      <c r="J53" s="429">
        <f t="shared" ref="J53:J84" si="10">IF(C53="","",IF($S$18&lt;&gt;1,$S$1,IF(ISERR(I53/$I$133),"",I53/$I$133)))</f>
        <v>3.7483317183690877E-2</v>
      </c>
      <c r="K53" s="151">
        <f t="shared" si="5"/>
        <v>302968.80673291802</v>
      </c>
      <c r="L53" s="131"/>
      <c r="M53" s="131"/>
      <c r="N53" s="18">
        <f t="shared" si="6"/>
        <v>0</v>
      </c>
      <c r="O53" s="18">
        <f t="shared" si="6"/>
        <v>1</v>
      </c>
      <c r="Q53" s="18">
        <f t="shared" si="7"/>
        <v>1</v>
      </c>
      <c r="R53" s="27">
        <f t="shared" si="8"/>
        <v>1</v>
      </c>
      <c r="S53" s="18">
        <f t="shared" si="9"/>
        <v>1</v>
      </c>
    </row>
    <row r="54" spans="1:19" ht="15.75" x14ac:dyDescent="0.25">
      <c r="A54" s="213"/>
      <c r="B54" s="424">
        <f t="shared" si="1"/>
        <v>34</v>
      </c>
      <c r="C54" s="409" t="str">
        <f>'התחשיב הבסיסי'!C40</f>
        <v>מאיה מכלל גלפנד</v>
      </c>
      <c r="D54" s="425">
        <f>'התחשיב הבסיסי'!O40</f>
        <v>49866.790428840453</v>
      </c>
      <c r="E54" s="423">
        <v>0</v>
      </c>
      <c r="F54" s="426">
        <f t="shared" si="2"/>
        <v>42386.771864514383</v>
      </c>
      <c r="G54" s="591">
        <v>8031</v>
      </c>
      <c r="H54" s="559">
        <f t="shared" si="3"/>
        <v>4015</v>
      </c>
      <c r="I54" s="428">
        <f t="shared" si="4"/>
        <v>46401.771864514383</v>
      </c>
      <c r="J54" s="429">
        <f t="shared" si="10"/>
        <v>6.4919769370685295E-3</v>
      </c>
      <c r="K54" s="151">
        <f t="shared" si="5"/>
        <v>52473.117475767773</v>
      </c>
      <c r="L54" s="131"/>
      <c r="M54" s="131"/>
      <c r="N54" s="18">
        <f t="shared" ref="N54:O85" si="11">IF($C54="","",N$20)</f>
        <v>0</v>
      </c>
      <c r="O54" s="18">
        <f t="shared" si="11"/>
        <v>1</v>
      </c>
      <c r="Q54" s="18">
        <f t="shared" si="7"/>
        <v>1</v>
      </c>
      <c r="R54" s="27">
        <f t="shared" si="8"/>
        <v>1</v>
      </c>
      <c r="S54" s="18">
        <f t="shared" si="9"/>
        <v>1</v>
      </c>
    </row>
    <row r="55" spans="1:19" ht="15.75" x14ac:dyDescent="0.25">
      <c r="A55" s="213"/>
      <c r="B55" s="424">
        <f t="shared" si="1"/>
        <v>35</v>
      </c>
      <c r="C55" s="409" t="str">
        <f>'התחשיב הבסיסי'!C41</f>
        <v>מיה שטרן ותומר שרעבי</v>
      </c>
      <c r="D55" s="425">
        <f>'התחשיב הבסיסי'!O41</f>
        <v>43237.911283573034</v>
      </c>
      <c r="E55" s="423">
        <v>0</v>
      </c>
      <c r="F55" s="426">
        <f t="shared" si="2"/>
        <v>36752.224591037077</v>
      </c>
      <c r="G55" s="591">
        <v>0</v>
      </c>
      <c r="H55" s="559">
        <f t="shared" si="3"/>
        <v>0</v>
      </c>
      <c r="I55" s="428">
        <f t="shared" si="4"/>
        <v>36752.224591037077</v>
      </c>
      <c r="J55" s="429">
        <f t="shared" si="10"/>
        <v>5.1419285265147403E-3</v>
      </c>
      <c r="K55" s="151">
        <f t="shared" si="5"/>
        <v>41560.994784686387</v>
      </c>
      <c r="L55" s="131"/>
      <c r="M55" s="131"/>
      <c r="N55" s="18">
        <f t="shared" si="11"/>
        <v>0</v>
      </c>
      <c r="O55" s="18">
        <f t="shared" si="11"/>
        <v>1</v>
      </c>
      <c r="Q55" s="18">
        <f t="shared" si="7"/>
        <v>1</v>
      </c>
      <c r="R55" s="27">
        <f t="shared" si="8"/>
        <v>1</v>
      </c>
      <c r="S55" s="18">
        <f t="shared" si="9"/>
        <v>1</v>
      </c>
    </row>
    <row r="56" spans="1:19" ht="15.75" x14ac:dyDescent="0.25">
      <c r="A56" s="213"/>
      <c r="B56" s="424">
        <f t="shared" si="1"/>
        <v>36</v>
      </c>
      <c r="C56" s="409" t="str">
        <f>'התחשיב הבסיסי'!C42</f>
        <v>מיכאל גטמן</v>
      </c>
      <c r="D56" s="425">
        <f>'התחשיב הבסיסי'!O42</f>
        <v>107891.29367316475</v>
      </c>
      <c r="E56" s="423">
        <v>0</v>
      </c>
      <c r="F56" s="426">
        <f t="shared" si="2"/>
        <v>91707.599622190028</v>
      </c>
      <c r="G56" s="591">
        <v>30000</v>
      </c>
      <c r="H56" s="559">
        <f t="shared" si="3"/>
        <v>15000</v>
      </c>
      <c r="I56" s="428">
        <f t="shared" si="4"/>
        <v>106707.59962219003</v>
      </c>
      <c r="J56" s="429">
        <f t="shared" si="10"/>
        <v>1.492924187851916E-2</v>
      </c>
      <c r="K56" s="151">
        <f t="shared" si="5"/>
        <v>120669.53880298704</v>
      </c>
      <c r="L56" s="131"/>
      <c r="M56" s="131"/>
      <c r="N56" s="18">
        <f t="shared" si="11"/>
        <v>0</v>
      </c>
      <c r="O56" s="18">
        <f t="shared" si="11"/>
        <v>1</v>
      </c>
      <c r="Q56" s="18">
        <f t="shared" si="7"/>
        <v>1</v>
      </c>
      <c r="R56" s="27">
        <f t="shared" si="8"/>
        <v>1</v>
      </c>
      <c r="S56" s="18">
        <f t="shared" si="9"/>
        <v>1</v>
      </c>
    </row>
    <row r="57" spans="1:19" ht="15.75" x14ac:dyDescent="0.25">
      <c r="A57" s="213"/>
      <c r="B57" s="424">
        <f t="shared" si="1"/>
        <v>37</v>
      </c>
      <c r="C57" s="409" t="str">
        <f>'התחשיב הבסיסי'!C43</f>
        <v>מיכל הרמן</v>
      </c>
      <c r="D57" s="425">
        <f>'התחשיב הבסיסי'!O43</f>
        <v>40812.528006956301</v>
      </c>
      <c r="E57" s="423">
        <v>0</v>
      </c>
      <c r="F57" s="426">
        <f t="shared" si="2"/>
        <v>34690.648805912853</v>
      </c>
      <c r="G57" s="591">
        <v>0</v>
      </c>
      <c r="H57" s="559">
        <f t="shared" si="3"/>
        <v>0</v>
      </c>
      <c r="I57" s="428">
        <f t="shared" si="4"/>
        <v>34690.648805912853</v>
      </c>
      <c r="J57" s="429">
        <f t="shared" si="10"/>
        <v>4.8534976775781169E-3</v>
      </c>
      <c r="K57" s="151">
        <f t="shared" si="5"/>
        <v>39229.676302412008</v>
      </c>
      <c r="L57" s="131"/>
      <c r="M57" s="131"/>
      <c r="N57" s="18">
        <f t="shared" si="11"/>
        <v>0</v>
      </c>
      <c r="O57" s="18">
        <f t="shared" si="11"/>
        <v>1</v>
      </c>
      <c r="Q57" s="18">
        <f t="shared" si="7"/>
        <v>1</v>
      </c>
      <c r="R57" s="27">
        <f t="shared" si="8"/>
        <v>1</v>
      </c>
      <c r="S57" s="18">
        <f t="shared" si="9"/>
        <v>1</v>
      </c>
    </row>
    <row r="58" spans="1:19" ht="15.75" x14ac:dyDescent="0.25">
      <c r="A58" s="213"/>
      <c r="B58" s="424">
        <f t="shared" si="1"/>
        <v>38</v>
      </c>
      <c r="C58" s="409" t="str">
        <f>'התחשיב הבסיסי'!C44</f>
        <v>מירב דגן</v>
      </c>
      <c r="D58" s="425">
        <f>'התחשיב הבסיסי'!O44</f>
        <v>85429.817543920595</v>
      </c>
      <c r="E58" s="423">
        <v>0</v>
      </c>
      <c r="F58" s="426">
        <f t="shared" si="2"/>
        <v>72615.344912332497</v>
      </c>
      <c r="G58" s="591">
        <v>0</v>
      </c>
      <c r="H58" s="559">
        <f t="shared" si="3"/>
        <v>0</v>
      </c>
      <c r="I58" s="428">
        <f t="shared" si="4"/>
        <v>72615.344912332497</v>
      </c>
      <c r="J58" s="429">
        <f t="shared" si="10"/>
        <v>1.0159464294264462E-2</v>
      </c>
      <c r="K58" s="151">
        <f t="shared" si="5"/>
        <v>82116.552256966199</v>
      </c>
      <c r="L58" s="131"/>
      <c r="M58" s="131"/>
      <c r="N58" s="18">
        <f t="shared" si="11"/>
        <v>0</v>
      </c>
      <c r="O58" s="18">
        <f t="shared" si="11"/>
        <v>1</v>
      </c>
      <c r="Q58" s="18">
        <f t="shared" si="7"/>
        <v>1</v>
      </c>
      <c r="R58" s="27">
        <f t="shared" si="8"/>
        <v>1</v>
      </c>
      <c r="S58" s="18">
        <f t="shared" si="9"/>
        <v>1</v>
      </c>
    </row>
    <row r="59" spans="1:19" ht="15.75" x14ac:dyDescent="0.25">
      <c r="A59" s="213"/>
      <c r="B59" s="424">
        <f t="shared" si="1"/>
        <v>39</v>
      </c>
      <c r="C59" s="409" t="str">
        <f>'התחשיב הבסיסי'!C45</f>
        <v>תמר לם ודיוויד קרן</v>
      </c>
      <c r="D59" s="425">
        <f>'התחשיב הבסיסי'!O45</f>
        <v>54509.608247171454</v>
      </c>
      <c r="E59" s="423">
        <v>0</v>
      </c>
      <c r="F59" s="426">
        <f t="shared" si="2"/>
        <v>46333.167010095734</v>
      </c>
      <c r="G59" s="591">
        <v>0</v>
      </c>
      <c r="H59" s="559">
        <f t="shared" si="3"/>
        <v>0</v>
      </c>
      <c r="I59" s="428">
        <f t="shared" si="4"/>
        <v>46333.167010095734</v>
      </c>
      <c r="J59" s="429">
        <f t="shared" si="10"/>
        <v>6.4823785722914846E-3</v>
      </c>
      <c r="K59" s="151">
        <f t="shared" si="5"/>
        <v>52395.536158489012</v>
      </c>
      <c r="L59" s="131"/>
      <c r="M59" s="131"/>
      <c r="N59" s="18">
        <f t="shared" si="11"/>
        <v>0</v>
      </c>
      <c r="O59" s="18">
        <f t="shared" si="11"/>
        <v>1</v>
      </c>
      <c r="Q59" s="18">
        <f t="shared" si="7"/>
        <v>1</v>
      </c>
      <c r="R59" s="27">
        <f t="shared" si="8"/>
        <v>1</v>
      </c>
      <c r="S59" s="18">
        <f t="shared" si="9"/>
        <v>1</v>
      </c>
    </row>
    <row r="60" spans="1:19" ht="15.75" x14ac:dyDescent="0.25">
      <c r="A60" s="213"/>
      <c r="B60" s="424">
        <f t="shared" si="1"/>
        <v>40</v>
      </c>
      <c r="C60" s="409" t="str">
        <f>'התחשיב הבסיסי'!C46</f>
        <v>סיגל ברגמן</v>
      </c>
      <c r="D60" s="425">
        <f>'התחשיב הבסיסי'!O46</f>
        <v>72606.262712374737</v>
      </c>
      <c r="E60" s="423">
        <v>0</v>
      </c>
      <c r="F60" s="426">
        <f t="shared" si="2"/>
        <v>61715.323305518526</v>
      </c>
      <c r="G60" s="591">
        <v>0</v>
      </c>
      <c r="H60" s="559">
        <f t="shared" si="3"/>
        <v>0</v>
      </c>
      <c r="I60" s="428">
        <f t="shared" si="4"/>
        <v>61715.323305518526</v>
      </c>
      <c r="J60" s="429">
        <f t="shared" si="10"/>
        <v>8.6344645789173738E-3</v>
      </c>
      <c r="K60" s="151">
        <f t="shared" si="5"/>
        <v>69790.339457748501</v>
      </c>
      <c r="L60" s="131"/>
      <c r="M60" s="131"/>
      <c r="N60" s="18">
        <f t="shared" si="11"/>
        <v>0</v>
      </c>
      <c r="O60" s="18">
        <f t="shared" si="11"/>
        <v>1</v>
      </c>
      <c r="Q60" s="18">
        <f t="shared" si="7"/>
        <v>1</v>
      </c>
      <c r="R60" s="27">
        <f t="shared" si="8"/>
        <v>1</v>
      </c>
      <c r="S60" s="18">
        <f t="shared" si="9"/>
        <v>1</v>
      </c>
    </row>
    <row r="61" spans="1:19" ht="15.75" x14ac:dyDescent="0.25">
      <c r="A61" s="213"/>
      <c r="B61" s="424">
        <f t="shared" si="1"/>
        <v>41</v>
      </c>
      <c r="C61" s="409" t="str">
        <f>'התחשיב הבסיסי'!C47</f>
        <v>מעין ליבמן שרון</v>
      </c>
      <c r="D61" s="425">
        <f>'התחשיב הבסיסי'!O47</f>
        <v>84551.39954543268</v>
      </c>
      <c r="E61" s="423">
        <v>0</v>
      </c>
      <c r="F61" s="426">
        <f t="shared" si="2"/>
        <v>71868.689613617782</v>
      </c>
      <c r="G61" s="591">
        <v>15915</v>
      </c>
      <c r="H61" s="559">
        <f t="shared" si="3"/>
        <v>7957</v>
      </c>
      <c r="I61" s="428">
        <f t="shared" si="4"/>
        <v>79825.689613617782</v>
      </c>
      <c r="J61" s="429">
        <f t="shared" si="10"/>
        <v>1.11682488649428E-2</v>
      </c>
      <c r="K61" s="151">
        <f t="shared" si="5"/>
        <v>90270.31986860052</v>
      </c>
      <c r="L61" s="131"/>
      <c r="M61" s="131"/>
      <c r="N61" s="18">
        <f t="shared" si="11"/>
        <v>0</v>
      </c>
      <c r="O61" s="18">
        <f t="shared" si="11"/>
        <v>1</v>
      </c>
      <c r="Q61" s="18">
        <f t="shared" si="7"/>
        <v>1</v>
      </c>
      <c r="R61" s="27">
        <f t="shared" si="8"/>
        <v>1</v>
      </c>
      <c r="S61" s="18">
        <f t="shared" si="9"/>
        <v>1</v>
      </c>
    </row>
    <row r="62" spans="1:19" ht="15.75" x14ac:dyDescent="0.25">
      <c r="A62" s="213"/>
      <c r="B62" s="424">
        <f t="shared" si="1"/>
        <v>42</v>
      </c>
      <c r="C62" s="409" t="str">
        <f>'התחשיב הבסיסי'!C48</f>
        <v>אודליה קופרברג</v>
      </c>
      <c r="D62" s="425">
        <f>'התחשיב הבסיסי'!O48</f>
        <v>56986.318315232696</v>
      </c>
      <c r="E62" s="423">
        <v>0</v>
      </c>
      <c r="F62" s="426">
        <f t="shared" si="2"/>
        <v>48438.370567947793</v>
      </c>
      <c r="G62" s="591">
        <v>0</v>
      </c>
      <c r="H62" s="559">
        <f t="shared" si="3"/>
        <v>0</v>
      </c>
      <c r="I62" s="428">
        <f t="shared" si="4"/>
        <v>48438.370567947793</v>
      </c>
      <c r="J62" s="429">
        <f t="shared" si="10"/>
        <v>6.7769132936231491E-3</v>
      </c>
      <c r="K62" s="151">
        <f t="shared" si="5"/>
        <v>54776.190800818622</v>
      </c>
      <c r="L62" s="131"/>
      <c r="M62" s="131"/>
      <c r="N62" s="18">
        <f t="shared" si="11"/>
        <v>0</v>
      </c>
      <c r="O62" s="18">
        <f t="shared" si="11"/>
        <v>1</v>
      </c>
      <c r="Q62" s="18">
        <f t="shared" si="7"/>
        <v>1</v>
      </c>
      <c r="R62" s="27">
        <f t="shared" si="8"/>
        <v>1</v>
      </c>
      <c r="S62" s="18">
        <f t="shared" si="9"/>
        <v>1</v>
      </c>
    </row>
    <row r="63" spans="1:19" ht="15.75" x14ac:dyDescent="0.25">
      <c r="A63" s="213"/>
      <c r="B63" s="424">
        <f t="shared" si="1"/>
        <v>43</v>
      </c>
      <c r="C63" s="409" t="str">
        <f>'התחשיב הבסיסי'!C49</f>
        <v>נועה צוק</v>
      </c>
      <c r="D63" s="425">
        <f>'התחשיב הבסיסי'!O49</f>
        <v>105734.20033193431</v>
      </c>
      <c r="E63" s="423">
        <v>0</v>
      </c>
      <c r="F63" s="426">
        <f t="shared" si="2"/>
        <v>89874.070282144152</v>
      </c>
      <c r="G63" s="591">
        <v>0</v>
      </c>
      <c r="H63" s="559">
        <f t="shared" si="3"/>
        <v>0</v>
      </c>
      <c r="I63" s="428">
        <f t="shared" si="4"/>
        <v>89874.070282144152</v>
      </c>
      <c r="J63" s="429">
        <f t="shared" si="10"/>
        <v>1.2574097239557257E-2</v>
      </c>
      <c r="K63" s="151">
        <f t="shared" si="5"/>
        <v>101633.46050039277</v>
      </c>
      <c r="L63" s="131"/>
      <c r="M63" s="131"/>
      <c r="N63" s="18">
        <f t="shared" si="11"/>
        <v>0</v>
      </c>
      <c r="O63" s="18">
        <f t="shared" si="11"/>
        <v>1</v>
      </c>
      <c r="Q63" s="18">
        <f t="shared" si="7"/>
        <v>1</v>
      </c>
      <c r="R63" s="27">
        <f t="shared" si="8"/>
        <v>1</v>
      </c>
      <c r="S63" s="18">
        <f t="shared" si="9"/>
        <v>1</v>
      </c>
    </row>
    <row r="64" spans="1:19" ht="15.75" x14ac:dyDescent="0.25">
      <c r="A64" s="213"/>
      <c r="B64" s="424">
        <f t="shared" si="1"/>
        <v>44</v>
      </c>
      <c r="C64" s="409" t="str">
        <f>'התחשיב הבסיסי'!C50</f>
        <v>נטע פולברמכר</v>
      </c>
      <c r="D64" s="425">
        <f>'התחשיב הבסיסי'!O50</f>
        <v>73916.613130419108</v>
      </c>
      <c r="E64" s="423">
        <v>0</v>
      </c>
      <c r="F64" s="426">
        <f t="shared" si="2"/>
        <v>62829.121160856237</v>
      </c>
      <c r="G64" s="591">
        <v>15094</v>
      </c>
      <c r="H64" s="559">
        <f t="shared" si="3"/>
        <v>7547</v>
      </c>
      <c r="I64" s="428">
        <f t="shared" si="4"/>
        <v>70376.121160856244</v>
      </c>
      <c r="J64" s="429">
        <f t="shared" si="10"/>
        <v>9.846179081924606E-3</v>
      </c>
      <c r="K64" s="151">
        <f t="shared" si="5"/>
        <v>79584.341820933259</v>
      </c>
      <c r="L64" s="131"/>
      <c r="M64" s="131"/>
      <c r="N64" s="18">
        <f t="shared" si="11"/>
        <v>0</v>
      </c>
      <c r="O64" s="18">
        <f t="shared" si="11"/>
        <v>1</v>
      </c>
      <c r="Q64" s="18">
        <f t="shared" si="7"/>
        <v>1</v>
      </c>
      <c r="R64" s="27">
        <f t="shared" si="8"/>
        <v>1</v>
      </c>
      <c r="S64" s="18">
        <f t="shared" si="9"/>
        <v>1</v>
      </c>
    </row>
    <row r="65" spans="1:19" ht="15.75" x14ac:dyDescent="0.25">
      <c r="A65" s="213"/>
      <c r="B65" s="424">
        <f t="shared" si="1"/>
        <v>45</v>
      </c>
      <c r="C65" s="409" t="str">
        <f>'התחשיב הבסיסי'!C51</f>
        <v>ניב שינפלד ואורן לאור</v>
      </c>
      <c r="D65" s="425">
        <f>'התחשיב הבסיסי'!O51</f>
        <v>198287.57090452916</v>
      </c>
      <c r="E65" s="423">
        <v>0</v>
      </c>
      <c r="F65" s="426">
        <f t="shared" si="2"/>
        <v>168544.43526884977</v>
      </c>
      <c r="G65" s="591">
        <v>148000</v>
      </c>
      <c r="H65" s="559">
        <f t="shared" si="3"/>
        <v>74000</v>
      </c>
      <c r="I65" s="428">
        <f t="shared" si="4"/>
        <v>198287.57090452916</v>
      </c>
      <c r="J65" s="429">
        <f t="shared" si="10"/>
        <v>2.7742008235767099E-2</v>
      </c>
      <c r="K65" s="151">
        <f t="shared" si="5"/>
        <v>224232.1054557618</v>
      </c>
      <c r="L65" s="131"/>
      <c r="M65" s="131"/>
      <c r="N65" s="18">
        <f t="shared" si="11"/>
        <v>0</v>
      </c>
      <c r="O65" s="18">
        <f t="shared" si="11"/>
        <v>1</v>
      </c>
      <c r="Q65" s="18">
        <f t="shared" si="7"/>
        <v>1</v>
      </c>
      <c r="R65" s="27">
        <f t="shared" si="8"/>
        <v>1</v>
      </c>
      <c r="S65" s="18">
        <f t="shared" si="9"/>
        <v>1</v>
      </c>
    </row>
    <row r="66" spans="1:19" ht="15.75" x14ac:dyDescent="0.25">
      <c r="A66" s="213"/>
      <c r="B66" s="424">
        <f t="shared" si="1"/>
        <v>46</v>
      </c>
      <c r="C66" s="409" t="str">
        <f>'התחשיב הבסיסי'!C52</f>
        <v>נימה יעקובי</v>
      </c>
      <c r="D66" s="425">
        <f>'התחשיב הבסיסי'!O52</f>
        <v>203424.30261566667</v>
      </c>
      <c r="E66" s="423">
        <v>0</v>
      </c>
      <c r="F66" s="426">
        <f t="shared" si="2"/>
        <v>172910.65722331667</v>
      </c>
      <c r="G66" s="591">
        <v>0</v>
      </c>
      <c r="H66" s="559">
        <f t="shared" si="3"/>
        <v>0</v>
      </c>
      <c r="I66" s="428">
        <f t="shared" si="4"/>
        <v>172910.65722331667</v>
      </c>
      <c r="J66" s="429">
        <f t="shared" si="10"/>
        <v>2.4191576178270613E-2</v>
      </c>
      <c r="K66" s="151">
        <f t="shared" si="5"/>
        <v>195534.80103698329</v>
      </c>
      <c r="L66" s="131"/>
      <c r="M66" s="131"/>
      <c r="N66" s="18">
        <f t="shared" si="11"/>
        <v>0</v>
      </c>
      <c r="O66" s="18">
        <f t="shared" si="11"/>
        <v>1</v>
      </c>
      <c r="Q66" s="18">
        <f t="shared" si="7"/>
        <v>1</v>
      </c>
      <c r="R66" s="27">
        <f t="shared" si="8"/>
        <v>1</v>
      </c>
      <c r="S66" s="18">
        <f t="shared" si="9"/>
        <v>1</v>
      </c>
    </row>
    <row r="67" spans="1:19" ht="15.75" x14ac:dyDescent="0.25">
      <c r="A67" s="213"/>
      <c r="B67" s="424">
        <f t="shared" si="1"/>
        <v>47</v>
      </c>
      <c r="C67" s="409" t="str">
        <f>'התחשיב הבסיסי'!C53</f>
        <v>נמרוד פריד</v>
      </c>
      <c r="D67" s="425">
        <f>'התחשיב הבסיסי'!O53</f>
        <v>50750.346442780938</v>
      </c>
      <c r="E67" s="423">
        <v>0</v>
      </c>
      <c r="F67" s="426">
        <f t="shared" si="2"/>
        <v>43137.794476363793</v>
      </c>
      <c r="G67" s="591">
        <v>0</v>
      </c>
      <c r="H67" s="559">
        <f t="shared" si="3"/>
        <v>0</v>
      </c>
      <c r="I67" s="428">
        <f t="shared" si="4"/>
        <v>43137.794476363793</v>
      </c>
      <c r="J67" s="429">
        <f t="shared" si="10"/>
        <v>6.0353205406520911E-3</v>
      </c>
      <c r="K67" s="151">
        <f t="shared" si="5"/>
        <v>48782.07159444326</v>
      </c>
      <c r="L67" s="131"/>
      <c r="M67" s="131"/>
      <c r="N67" s="18">
        <f t="shared" si="11"/>
        <v>0</v>
      </c>
      <c r="O67" s="18">
        <f t="shared" si="11"/>
        <v>1</v>
      </c>
      <c r="Q67" s="18">
        <f t="shared" si="7"/>
        <v>1</v>
      </c>
      <c r="R67" s="27">
        <f t="shared" si="8"/>
        <v>1</v>
      </c>
      <c r="S67" s="18">
        <f t="shared" si="9"/>
        <v>1</v>
      </c>
    </row>
    <row r="68" spans="1:19" ht="15.75" x14ac:dyDescent="0.25">
      <c r="A68" s="213"/>
      <c r="B68" s="424">
        <f t="shared" si="1"/>
        <v>48</v>
      </c>
      <c r="C68" s="409" t="str">
        <f>'התחשיב הבסיסי'!C54</f>
        <v>נעה דר</v>
      </c>
      <c r="D68" s="425">
        <f>'התחשיב הבסיסי'!O54</f>
        <v>85035.360743911675</v>
      </c>
      <c r="E68" s="423">
        <v>0</v>
      </c>
      <c r="F68" s="426">
        <f t="shared" si="2"/>
        <v>72280.056632324922</v>
      </c>
      <c r="G68" s="591">
        <v>9000</v>
      </c>
      <c r="H68" s="559">
        <f t="shared" si="3"/>
        <v>4500</v>
      </c>
      <c r="I68" s="428">
        <f t="shared" si="4"/>
        <v>76780.056632324922</v>
      </c>
      <c r="J68" s="429">
        <f t="shared" si="10"/>
        <v>1.0742140587632613E-2</v>
      </c>
      <c r="K68" s="151">
        <f t="shared" si="5"/>
        <v>86826.187224655732</v>
      </c>
      <c r="L68" s="131"/>
      <c r="M68" s="131"/>
      <c r="N68" s="18">
        <f t="shared" si="11"/>
        <v>0</v>
      </c>
      <c r="O68" s="18">
        <f t="shared" si="11"/>
        <v>1</v>
      </c>
      <c r="Q68" s="18">
        <f t="shared" si="7"/>
        <v>1</v>
      </c>
      <c r="R68" s="27">
        <f t="shared" si="8"/>
        <v>1</v>
      </c>
      <c r="S68" s="18">
        <f t="shared" si="9"/>
        <v>1</v>
      </c>
    </row>
    <row r="69" spans="1:19" ht="15.75" x14ac:dyDescent="0.25">
      <c r="A69" s="213"/>
      <c r="B69" s="424">
        <f t="shared" si="1"/>
        <v>49</v>
      </c>
      <c r="C69" s="409" t="str">
        <f>'התחשיב הבסיסי'!C55</f>
        <v>נעה שדור</v>
      </c>
      <c r="D69" s="425">
        <f>'התחשיב הבסיסי'!O55</f>
        <v>50438.74134216235</v>
      </c>
      <c r="E69" s="423">
        <v>0</v>
      </c>
      <c r="F69" s="426">
        <f t="shared" si="2"/>
        <v>42872.930140837998</v>
      </c>
      <c r="G69" s="591">
        <v>0</v>
      </c>
      <c r="H69" s="559">
        <f t="shared" si="3"/>
        <v>0</v>
      </c>
      <c r="I69" s="428">
        <f t="shared" si="4"/>
        <v>42872.930140837998</v>
      </c>
      <c r="J69" s="429">
        <f t="shared" si="10"/>
        <v>5.9982639135322032E-3</v>
      </c>
      <c r="K69" s="151">
        <f t="shared" si="5"/>
        <v>48482.551622797204</v>
      </c>
      <c r="L69" s="131"/>
      <c r="M69" s="131"/>
      <c r="N69" s="18">
        <f t="shared" si="11"/>
        <v>0</v>
      </c>
      <c r="O69" s="18">
        <f t="shared" si="11"/>
        <v>1</v>
      </c>
      <c r="Q69" s="18">
        <f t="shared" si="7"/>
        <v>1</v>
      </c>
      <c r="R69" s="27">
        <f t="shared" si="8"/>
        <v>1</v>
      </c>
      <c r="S69" s="18">
        <f t="shared" si="9"/>
        <v>1</v>
      </c>
    </row>
    <row r="70" spans="1:19" ht="15.75" x14ac:dyDescent="0.25">
      <c r="A70" s="213"/>
      <c r="B70" s="424">
        <f t="shared" si="1"/>
        <v>50</v>
      </c>
      <c r="C70" s="409" t="str">
        <f>'התחשיב הבסיסי'!C56</f>
        <v>סאלי אן פרילנד</v>
      </c>
      <c r="D70" s="425">
        <f>'התחשיב הבסיסי'!O56</f>
        <v>47697.266983031201</v>
      </c>
      <c r="E70" s="423">
        <v>0</v>
      </c>
      <c r="F70" s="426">
        <f t="shared" si="2"/>
        <v>40542.676935576521</v>
      </c>
      <c r="G70" s="591">
        <v>0</v>
      </c>
      <c r="H70" s="559">
        <f t="shared" si="3"/>
        <v>0</v>
      </c>
      <c r="I70" s="428">
        <f t="shared" si="4"/>
        <v>40542.676935576521</v>
      </c>
      <c r="J70" s="429">
        <f t="shared" si="10"/>
        <v>5.6722429566114481E-3</v>
      </c>
      <c r="K70" s="151">
        <f t="shared" si="5"/>
        <v>45847.401168952572</v>
      </c>
      <c r="L70" s="131"/>
      <c r="M70" s="131"/>
      <c r="N70" s="18">
        <f t="shared" si="11"/>
        <v>0</v>
      </c>
      <c r="O70" s="18">
        <f t="shared" si="11"/>
        <v>1</v>
      </c>
      <c r="Q70" s="18">
        <f t="shared" si="7"/>
        <v>1</v>
      </c>
      <c r="R70" s="27">
        <f t="shared" si="8"/>
        <v>1</v>
      </c>
      <c r="S70" s="18">
        <f t="shared" si="9"/>
        <v>1</v>
      </c>
    </row>
    <row r="71" spans="1:19" ht="15.75" x14ac:dyDescent="0.25">
      <c r="A71" s="213"/>
      <c r="B71" s="424">
        <f t="shared" si="1"/>
        <v>51</v>
      </c>
      <c r="C71" s="409" t="str">
        <f>'התחשיב הבסיסי'!C57</f>
        <v>סהר עזימי</v>
      </c>
      <c r="D71" s="425">
        <f>'התחשיב הבסיסי'!O57</f>
        <v>62326.49755667086</v>
      </c>
      <c r="E71" s="423">
        <v>0</v>
      </c>
      <c r="F71" s="426">
        <f t="shared" si="2"/>
        <v>52977.522923170232</v>
      </c>
      <c r="G71" s="591">
        <v>0</v>
      </c>
      <c r="H71" s="559">
        <f t="shared" si="3"/>
        <v>0</v>
      </c>
      <c r="I71" s="428">
        <f t="shared" si="4"/>
        <v>52977.522923170232</v>
      </c>
      <c r="J71" s="429">
        <f t="shared" si="10"/>
        <v>7.4119768099471881E-3</v>
      </c>
      <c r="K71" s="151">
        <f t="shared" si="5"/>
        <v>59909.259328275977</v>
      </c>
      <c r="L71" s="131"/>
      <c r="M71" s="131"/>
      <c r="N71" s="18">
        <f t="shared" si="11"/>
        <v>0</v>
      </c>
      <c r="O71" s="18">
        <f t="shared" si="11"/>
        <v>1</v>
      </c>
      <c r="Q71" s="18">
        <f t="shared" si="7"/>
        <v>1</v>
      </c>
      <c r="R71" s="27">
        <f t="shared" si="8"/>
        <v>1</v>
      </c>
      <c r="S71" s="18">
        <f t="shared" si="9"/>
        <v>1</v>
      </c>
    </row>
    <row r="72" spans="1:19" ht="15.75" x14ac:dyDescent="0.25">
      <c r="A72" s="213"/>
      <c r="B72" s="424">
        <f t="shared" si="1"/>
        <v>52</v>
      </c>
      <c r="C72" s="409" t="str">
        <f>'התחשיב הבסיסי'!C58</f>
        <v>עדו פדר</v>
      </c>
      <c r="D72" s="425">
        <f>'התחשיב הבסיסי'!O58</f>
        <v>58120.164603661549</v>
      </c>
      <c r="E72" s="423">
        <v>0</v>
      </c>
      <c r="F72" s="426">
        <f t="shared" si="2"/>
        <v>49402.139913112318</v>
      </c>
      <c r="G72" s="591">
        <v>0</v>
      </c>
      <c r="H72" s="559">
        <f t="shared" si="3"/>
        <v>0</v>
      </c>
      <c r="I72" s="428">
        <f t="shared" si="4"/>
        <v>49402.139913112318</v>
      </c>
      <c r="J72" s="429">
        <f t="shared" si="10"/>
        <v>6.9117522902832438E-3</v>
      </c>
      <c r="K72" s="151">
        <f t="shared" si="5"/>
        <v>55866.062588818953</v>
      </c>
      <c r="L72" s="131"/>
      <c r="M72" s="131"/>
      <c r="N72" s="18">
        <f t="shared" si="11"/>
        <v>0</v>
      </c>
      <c r="O72" s="18">
        <f t="shared" si="11"/>
        <v>1</v>
      </c>
      <c r="Q72" s="18">
        <f t="shared" si="7"/>
        <v>1</v>
      </c>
      <c r="R72" s="27">
        <f t="shared" si="8"/>
        <v>1</v>
      </c>
      <c r="S72" s="18">
        <f t="shared" si="9"/>
        <v>1</v>
      </c>
    </row>
    <row r="73" spans="1:19" ht="15.75" x14ac:dyDescent="0.25">
      <c r="A73" s="213"/>
      <c r="B73" s="424">
        <f t="shared" si="1"/>
        <v>53</v>
      </c>
      <c r="C73" s="409" t="str">
        <f>'התחשיב הבסיסי'!C59</f>
        <v>עודד רונן</v>
      </c>
      <c r="D73" s="425">
        <f>'התחשיב הבסיסי'!O59</f>
        <v>54150.894020525113</v>
      </c>
      <c r="E73" s="423">
        <v>0</v>
      </c>
      <c r="F73" s="426">
        <f t="shared" si="2"/>
        <v>46028.259917446347</v>
      </c>
      <c r="G73" s="591">
        <v>0</v>
      </c>
      <c r="H73" s="559">
        <f t="shared" si="3"/>
        <v>0</v>
      </c>
      <c r="I73" s="428">
        <f t="shared" si="4"/>
        <v>46028.259917446347</v>
      </c>
      <c r="J73" s="429">
        <f t="shared" si="10"/>
        <v>6.4397196449727584E-3</v>
      </c>
      <c r="K73" s="151">
        <f t="shared" si="5"/>
        <v>52050.73411647859</v>
      </c>
      <c r="L73" s="131"/>
      <c r="M73" s="131"/>
      <c r="N73" s="18">
        <f t="shared" si="11"/>
        <v>0</v>
      </c>
      <c r="O73" s="18">
        <f t="shared" si="11"/>
        <v>1</v>
      </c>
      <c r="Q73" s="18">
        <f t="shared" si="7"/>
        <v>1</v>
      </c>
      <c r="R73" s="27">
        <f t="shared" si="8"/>
        <v>1</v>
      </c>
      <c r="S73" s="18">
        <f t="shared" si="9"/>
        <v>1</v>
      </c>
    </row>
    <row r="74" spans="1:19" ht="15.75" x14ac:dyDescent="0.25">
      <c r="A74" s="213"/>
      <c r="B74" s="424">
        <f t="shared" si="1"/>
        <v>54</v>
      </c>
      <c r="C74" s="409" t="str">
        <f>'התחשיב הבסיסי'!C60</f>
        <v>עידן כהן</v>
      </c>
      <c r="D74" s="425">
        <f>'התחשיב הבסיסי'!O60</f>
        <v>40853.572724342266</v>
      </c>
      <c r="E74" s="423">
        <v>0</v>
      </c>
      <c r="F74" s="426">
        <f t="shared" si="2"/>
        <v>34725.536815690924</v>
      </c>
      <c r="G74" s="591">
        <v>0</v>
      </c>
      <c r="H74" s="559">
        <f t="shared" si="3"/>
        <v>0</v>
      </c>
      <c r="I74" s="428">
        <f t="shared" si="4"/>
        <v>34725.536815690924</v>
      </c>
      <c r="J74" s="429">
        <f t="shared" si="10"/>
        <v>4.8583787876253963E-3</v>
      </c>
      <c r="K74" s="151">
        <f t="shared" si="5"/>
        <v>39269.129162982201</v>
      </c>
      <c r="L74" s="131"/>
      <c r="M74" s="131"/>
      <c r="N74" s="18">
        <f t="shared" si="11"/>
        <v>0</v>
      </c>
      <c r="O74" s="18">
        <f t="shared" si="11"/>
        <v>1</v>
      </c>
      <c r="Q74" s="18">
        <f t="shared" si="7"/>
        <v>1</v>
      </c>
      <c r="R74" s="27">
        <f t="shared" si="8"/>
        <v>1</v>
      </c>
      <c r="S74" s="18">
        <f t="shared" si="9"/>
        <v>1</v>
      </c>
    </row>
    <row r="75" spans="1:19" ht="15.75" x14ac:dyDescent="0.25">
      <c r="A75" s="213"/>
      <c r="B75" s="424">
        <f t="shared" si="1"/>
        <v>55</v>
      </c>
      <c r="C75" s="409" t="str">
        <f>'התחשיב הבסיסי'!C61</f>
        <v>עידן שרעבי</v>
      </c>
      <c r="D75" s="425">
        <f>'התחשיב הבסיסי'!O61</f>
        <v>60188.795145311189</v>
      </c>
      <c r="E75" s="423">
        <v>0</v>
      </c>
      <c r="F75" s="426">
        <f t="shared" si="2"/>
        <v>51160.475873514508</v>
      </c>
      <c r="G75" s="591">
        <v>0</v>
      </c>
      <c r="H75" s="559">
        <f t="shared" si="3"/>
        <v>0</v>
      </c>
      <c r="I75" s="428">
        <f t="shared" si="4"/>
        <v>51160.475873514508</v>
      </c>
      <c r="J75" s="429">
        <f t="shared" si="10"/>
        <v>7.157757475944675E-3</v>
      </c>
      <c r="K75" s="151">
        <f t="shared" si="5"/>
        <v>57854.464447296486</v>
      </c>
      <c r="L75" s="131"/>
      <c r="M75" s="131"/>
      <c r="N75" s="18">
        <f t="shared" si="11"/>
        <v>0</v>
      </c>
      <c r="O75" s="18">
        <f t="shared" si="11"/>
        <v>1</v>
      </c>
      <c r="Q75" s="18">
        <f t="shared" si="7"/>
        <v>1</v>
      </c>
      <c r="R75" s="27">
        <f t="shared" si="8"/>
        <v>1</v>
      </c>
      <c r="S75" s="18">
        <f t="shared" si="9"/>
        <v>1</v>
      </c>
    </row>
    <row r="76" spans="1:19" ht="15.75" x14ac:dyDescent="0.25">
      <c r="A76" s="213"/>
      <c r="B76" s="424">
        <f t="shared" si="1"/>
        <v>56</v>
      </c>
      <c r="C76" s="409" t="str">
        <f>'התחשיב הבסיסי'!C62</f>
        <v>ענת גריגוריו</v>
      </c>
      <c r="D76" s="425">
        <f>'התחשיב הבסיסי'!O62</f>
        <v>75155.665154726128</v>
      </c>
      <c r="E76" s="423">
        <v>0</v>
      </c>
      <c r="F76" s="426">
        <f t="shared" si="2"/>
        <v>63882.315381517205</v>
      </c>
      <c r="G76" s="591">
        <v>0</v>
      </c>
      <c r="H76" s="559">
        <f t="shared" si="3"/>
        <v>0</v>
      </c>
      <c r="I76" s="428">
        <f t="shared" si="4"/>
        <v>63882.315381517205</v>
      </c>
      <c r="J76" s="429">
        <f t="shared" si="10"/>
        <v>8.9376440053683739E-3</v>
      </c>
      <c r="K76" s="151">
        <f t="shared" si="5"/>
        <v>72240.867211407298</v>
      </c>
      <c r="L76" s="131"/>
      <c r="M76" s="131"/>
      <c r="N76" s="18">
        <f t="shared" si="11"/>
        <v>0</v>
      </c>
      <c r="O76" s="18">
        <f t="shared" si="11"/>
        <v>1</v>
      </c>
      <c r="Q76" s="18">
        <f t="shared" si="7"/>
        <v>1</v>
      </c>
      <c r="R76" s="27">
        <f t="shared" si="8"/>
        <v>1</v>
      </c>
      <c r="S76" s="18">
        <f t="shared" si="9"/>
        <v>1</v>
      </c>
    </row>
    <row r="77" spans="1:19" ht="15.75" x14ac:dyDescent="0.25">
      <c r="A77" s="213"/>
      <c r="B77" s="424">
        <f t="shared" si="1"/>
        <v>57</v>
      </c>
      <c r="C77" s="409" t="str">
        <f>'התחשיב הבסיסי'!C63</f>
        <v>ענת דניאלי</v>
      </c>
      <c r="D77" s="425">
        <f>'התחשיב הבסיסי'!O63</f>
        <v>90765.543400145747</v>
      </c>
      <c r="E77" s="423">
        <v>0</v>
      </c>
      <c r="F77" s="426">
        <f t="shared" si="2"/>
        <v>77150.711890123886</v>
      </c>
      <c r="G77" s="591">
        <v>0</v>
      </c>
      <c r="H77" s="559">
        <f t="shared" si="3"/>
        <v>0</v>
      </c>
      <c r="I77" s="428">
        <f t="shared" si="4"/>
        <v>77150.711890123886</v>
      </c>
      <c r="J77" s="429">
        <f t="shared" si="10"/>
        <v>1.0793998206179163E-2</v>
      </c>
      <c r="K77" s="151">
        <f t="shared" si="5"/>
        <v>87245.340116969513</v>
      </c>
      <c r="L77" s="131"/>
      <c r="M77" s="131"/>
      <c r="N77" s="18">
        <f t="shared" si="11"/>
        <v>0</v>
      </c>
      <c r="O77" s="18">
        <f t="shared" si="11"/>
        <v>1</v>
      </c>
      <c r="Q77" s="18">
        <f t="shared" si="7"/>
        <v>1</v>
      </c>
      <c r="R77" s="27">
        <f t="shared" si="8"/>
        <v>1</v>
      </c>
      <c r="S77" s="18">
        <f t="shared" si="9"/>
        <v>1</v>
      </c>
    </row>
    <row r="78" spans="1:19" ht="15.75" x14ac:dyDescent="0.25">
      <c r="A78" s="213"/>
      <c r="B78" s="424">
        <f t="shared" si="1"/>
        <v>58</v>
      </c>
      <c r="C78" s="409" t="str">
        <f>'התחשיב הבסיסי'!C64</f>
        <v>ענת כץ וארז מעיין</v>
      </c>
      <c r="D78" s="425">
        <f>'התחשיב הבסיסי'!O64</f>
        <v>64804.289733359576</v>
      </c>
      <c r="E78" s="423">
        <v>0</v>
      </c>
      <c r="F78" s="426">
        <f t="shared" si="2"/>
        <v>55083.64627335564</v>
      </c>
      <c r="G78" s="591">
        <v>0</v>
      </c>
      <c r="H78" s="559">
        <f t="shared" si="3"/>
        <v>0</v>
      </c>
      <c r="I78" s="428">
        <f t="shared" si="4"/>
        <v>55083.64627335564</v>
      </c>
      <c r="J78" s="429">
        <f t="shared" si="10"/>
        <v>7.7066402175417908E-3</v>
      </c>
      <c r="K78" s="151">
        <f t="shared" si="5"/>
        <v>62290.954111298954</v>
      </c>
      <c r="L78" s="131"/>
      <c r="M78" s="131"/>
      <c r="N78" s="18">
        <f t="shared" si="11"/>
        <v>0</v>
      </c>
      <c r="O78" s="18">
        <f t="shared" si="11"/>
        <v>1</v>
      </c>
      <c r="Q78" s="18">
        <f t="shared" si="7"/>
        <v>1</v>
      </c>
      <c r="R78" s="27">
        <f t="shared" si="8"/>
        <v>1</v>
      </c>
      <c r="S78" s="18">
        <f t="shared" si="9"/>
        <v>1</v>
      </c>
    </row>
    <row r="79" spans="1:19" ht="15.75" x14ac:dyDescent="0.25">
      <c r="A79" s="213"/>
      <c r="B79" s="424">
        <f t="shared" si="1"/>
        <v>59</v>
      </c>
      <c r="C79" s="409" t="str">
        <f>'התחשיב הבסיסי'!C65</f>
        <v>ענת שמגר</v>
      </c>
      <c r="D79" s="425">
        <f>'התחשיב הבסיסי'!O65</f>
        <v>69964.058659849688</v>
      </c>
      <c r="E79" s="423">
        <v>0</v>
      </c>
      <c r="F79" s="426">
        <f t="shared" si="2"/>
        <v>59469.449860872235</v>
      </c>
      <c r="G79" s="591">
        <v>16594</v>
      </c>
      <c r="H79" s="559">
        <f t="shared" si="3"/>
        <v>8297</v>
      </c>
      <c r="I79" s="428">
        <f t="shared" si="4"/>
        <v>67766.449860872235</v>
      </c>
      <c r="J79" s="429">
        <f t="shared" si="10"/>
        <v>9.4810653112200414E-3</v>
      </c>
      <c r="K79" s="151">
        <f t="shared" si="5"/>
        <v>76633.213379178153</v>
      </c>
      <c r="L79" s="131"/>
      <c r="M79" s="131"/>
      <c r="N79" s="18">
        <f t="shared" si="11"/>
        <v>0</v>
      </c>
      <c r="O79" s="18">
        <f t="shared" si="11"/>
        <v>1</v>
      </c>
      <c r="Q79" s="18">
        <f t="shared" si="7"/>
        <v>1</v>
      </c>
      <c r="R79" s="27">
        <f t="shared" si="8"/>
        <v>1</v>
      </c>
      <c r="S79" s="18">
        <f t="shared" si="9"/>
        <v>1</v>
      </c>
    </row>
    <row r="80" spans="1:19" ht="15.75" x14ac:dyDescent="0.25">
      <c r="A80" s="213"/>
      <c r="B80" s="424">
        <f t="shared" si="1"/>
        <v>60</v>
      </c>
      <c r="C80" s="409" t="str">
        <f>'התחשיב הבסיסי'!C66</f>
        <v>ק.ט.מ.ו.ן קבוצת מחול בירושלים</v>
      </c>
      <c r="D80" s="425">
        <f>'התחשיב הבסיסי'!O66</f>
        <v>107831.24224142644</v>
      </c>
      <c r="E80" s="423">
        <v>0</v>
      </c>
      <c r="F80" s="426">
        <f t="shared" si="2"/>
        <v>91656.555905212474</v>
      </c>
      <c r="G80" s="591">
        <v>85925</v>
      </c>
      <c r="H80" s="559">
        <f t="shared" si="3"/>
        <v>42962</v>
      </c>
      <c r="I80" s="428">
        <f t="shared" si="4"/>
        <v>107831.24224142644</v>
      </c>
      <c r="J80" s="429">
        <f t="shared" si="10"/>
        <v>1.5086448417762733E-2</v>
      </c>
      <c r="K80" s="151">
        <f t="shared" si="5"/>
        <v>121940.20215894959</v>
      </c>
      <c r="L80" s="131"/>
      <c r="M80" s="131"/>
      <c r="N80" s="18">
        <f t="shared" si="11"/>
        <v>0</v>
      </c>
      <c r="O80" s="18">
        <f t="shared" si="11"/>
        <v>1</v>
      </c>
      <c r="Q80" s="18">
        <f t="shared" si="7"/>
        <v>1</v>
      </c>
      <c r="R80" s="27">
        <f t="shared" si="8"/>
        <v>1</v>
      </c>
      <c r="S80" s="18">
        <f t="shared" si="9"/>
        <v>1</v>
      </c>
    </row>
    <row r="81" spans="1:19" ht="15.75" x14ac:dyDescent="0.25">
      <c r="A81" s="213"/>
      <c r="B81" s="424">
        <f t="shared" si="1"/>
        <v>61</v>
      </c>
      <c r="C81" s="409" t="str">
        <f>'התחשיב הבסיסי'!C67</f>
        <v>רונית זיו</v>
      </c>
      <c r="D81" s="425">
        <f>'התחשיב הבסיסי'!O67</f>
        <v>78034.903037696829</v>
      </c>
      <c r="E81" s="423">
        <v>0</v>
      </c>
      <c r="F81" s="426">
        <f t="shared" si="2"/>
        <v>66329.667582042297</v>
      </c>
      <c r="G81" s="591">
        <v>0</v>
      </c>
      <c r="H81" s="559">
        <f t="shared" si="3"/>
        <v>0</v>
      </c>
      <c r="I81" s="428">
        <f t="shared" si="4"/>
        <v>66329.667582042297</v>
      </c>
      <c r="J81" s="429">
        <f t="shared" si="10"/>
        <v>9.2800480430651165E-3</v>
      </c>
      <c r="K81" s="151">
        <f t="shared" si="5"/>
        <v>75008.438240757168</v>
      </c>
      <c r="L81" s="131"/>
      <c r="M81" s="131"/>
      <c r="N81" s="18">
        <f t="shared" si="11"/>
        <v>0</v>
      </c>
      <c r="O81" s="18">
        <f t="shared" si="11"/>
        <v>1</v>
      </c>
      <c r="Q81" s="18">
        <f t="shared" si="7"/>
        <v>1</v>
      </c>
      <c r="R81" s="27">
        <f t="shared" si="8"/>
        <v>1</v>
      </c>
      <c r="S81" s="18">
        <f t="shared" si="9"/>
        <v>1</v>
      </c>
    </row>
    <row r="82" spans="1:19" ht="15.75" x14ac:dyDescent="0.25">
      <c r="A82" s="213"/>
      <c r="B82" s="424">
        <f t="shared" si="1"/>
        <v>62</v>
      </c>
      <c r="C82" s="409" t="str">
        <f>'התחשיב הבסיסי'!C68</f>
        <v>טלי זבילביץ</v>
      </c>
      <c r="D82" s="425">
        <f>'התחשיב הבסיסי'!O68</f>
        <v>50450.279737578225</v>
      </c>
      <c r="E82" s="423">
        <v>0</v>
      </c>
      <c r="F82" s="426">
        <f t="shared" si="2"/>
        <v>42882.737776941489</v>
      </c>
      <c r="G82" s="591">
        <v>0</v>
      </c>
      <c r="H82" s="559">
        <f t="shared" si="3"/>
        <v>0</v>
      </c>
      <c r="I82" s="428">
        <f t="shared" si="4"/>
        <v>42882.737776941489</v>
      </c>
      <c r="J82" s="429">
        <f t="shared" si="10"/>
        <v>5.9996360798274242E-3</v>
      </c>
      <c r="K82" s="151">
        <f t="shared" si="5"/>
        <v>48493.642519130233</v>
      </c>
      <c r="L82" s="131"/>
      <c r="M82" s="131"/>
      <c r="N82" s="18">
        <f t="shared" si="11"/>
        <v>0</v>
      </c>
      <c r="O82" s="18">
        <f t="shared" si="11"/>
        <v>1</v>
      </c>
      <c r="Q82" s="18">
        <f t="shared" si="7"/>
        <v>1</v>
      </c>
      <c r="R82" s="27">
        <f t="shared" si="8"/>
        <v>1</v>
      </c>
      <c r="S82" s="18">
        <f t="shared" si="9"/>
        <v>1</v>
      </c>
    </row>
    <row r="83" spans="1:19" ht="15.75" x14ac:dyDescent="0.25">
      <c r="A83" s="213"/>
      <c r="B83" s="424">
        <f t="shared" si="1"/>
        <v>63</v>
      </c>
      <c r="C83" s="409" t="str">
        <f>'התחשיב הבסיסי'!C69</f>
        <v>רייצ'ל ארדוס</v>
      </c>
      <c r="D83" s="425">
        <f>'התחשיב הבסיסי'!O69</f>
        <v>117182.6045616835</v>
      </c>
      <c r="E83" s="423">
        <v>0</v>
      </c>
      <c r="F83" s="426">
        <f t="shared" si="2"/>
        <v>99605.213877430971</v>
      </c>
      <c r="G83" s="591">
        <v>0</v>
      </c>
      <c r="H83" s="559">
        <f t="shared" si="3"/>
        <v>0</v>
      </c>
      <c r="I83" s="428">
        <f t="shared" si="4"/>
        <v>99605.213877430971</v>
      </c>
      <c r="J83" s="429">
        <f t="shared" si="10"/>
        <v>1.3935561624502794E-2</v>
      </c>
      <c r="K83" s="151">
        <f t="shared" si="5"/>
        <v>112637.8558183127</v>
      </c>
      <c r="L83" s="131"/>
      <c r="M83" s="131"/>
      <c r="N83" s="18">
        <f t="shared" si="11"/>
        <v>0</v>
      </c>
      <c r="O83" s="18">
        <f t="shared" si="11"/>
        <v>1</v>
      </c>
      <c r="Q83" s="18">
        <f t="shared" si="7"/>
        <v>1</v>
      </c>
      <c r="R83" s="27">
        <f t="shared" si="8"/>
        <v>1</v>
      </c>
      <c r="S83" s="18">
        <f t="shared" si="9"/>
        <v>1</v>
      </c>
    </row>
    <row r="84" spans="1:19" ht="15.75" x14ac:dyDescent="0.25">
      <c r="A84" s="213"/>
      <c r="B84" s="424">
        <f t="shared" si="1"/>
        <v>64</v>
      </c>
      <c r="C84" s="409" t="str">
        <f>'התחשיב הבסיסי'!C70</f>
        <v>שירה אביתר</v>
      </c>
      <c r="D84" s="425">
        <f>'התחשיב הבסיסי'!O70</f>
        <v>44541.073997435356</v>
      </c>
      <c r="E84" s="423">
        <v>0</v>
      </c>
      <c r="F84" s="426">
        <f t="shared" si="2"/>
        <v>37859.912897820053</v>
      </c>
      <c r="G84" s="591">
        <v>0</v>
      </c>
      <c r="H84" s="559">
        <f t="shared" si="3"/>
        <v>0</v>
      </c>
      <c r="I84" s="428">
        <f t="shared" si="4"/>
        <v>37859.912897820053</v>
      </c>
      <c r="J84" s="429">
        <f t="shared" si="10"/>
        <v>5.296902930554577E-3</v>
      </c>
      <c r="K84" s="151">
        <f t="shared" si="5"/>
        <v>42813.616318581036</v>
      </c>
      <c r="L84" s="131"/>
      <c r="M84" s="131"/>
      <c r="N84" s="18">
        <f t="shared" si="11"/>
        <v>0</v>
      </c>
      <c r="O84" s="18">
        <f t="shared" si="11"/>
        <v>1</v>
      </c>
      <c r="Q84" s="18">
        <f t="shared" si="7"/>
        <v>1</v>
      </c>
      <c r="R84" s="27">
        <f t="shared" si="8"/>
        <v>1</v>
      </c>
      <c r="S84" s="18">
        <f t="shared" si="9"/>
        <v>1</v>
      </c>
    </row>
    <row r="85" spans="1:19" ht="15.75" x14ac:dyDescent="0.25">
      <c r="A85" s="213"/>
      <c r="B85" s="424">
        <f t="shared" si="1"/>
        <v>65</v>
      </c>
      <c r="C85" s="409" t="str">
        <f>'התחשיב הבסיסי'!C71</f>
        <v>שלומית פונדמינסקי</v>
      </c>
      <c r="D85" s="425">
        <f>'התחשיב הבסיסי'!O71</f>
        <v>173441.59628291681</v>
      </c>
      <c r="E85" s="423">
        <v>0</v>
      </c>
      <c r="F85" s="426">
        <f t="shared" si="2"/>
        <v>147425.35684047927</v>
      </c>
      <c r="G85" s="591">
        <v>0</v>
      </c>
      <c r="H85" s="559">
        <f t="shared" si="3"/>
        <v>0</v>
      </c>
      <c r="I85" s="428">
        <f t="shared" si="4"/>
        <v>147425.35684047927</v>
      </c>
      <c r="J85" s="429">
        <f t="shared" ref="J85:J116" si="12">IF(C85="","",IF($S$18&lt;&gt;1,$S$1,IF(ISERR(I85/$I$133),"",I85/$I$133)))</f>
        <v>2.0625979959170811E-2</v>
      </c>
      <c r="K85" s="151">
        <f t="shared" si="5"/>
        <v>166714.92827870732</v>
      </c>
      <c r="L85" s="131"/>
      <c r="M85" s="131"/>
      <c r="N85" s="18">
        <f t="shared" si="11"/>
        <v>0</v>
      </c>
      <c r="O85" s="18">
        <f t="shared" si="11"/>
        <v>1</v>
      </c>
      <c r="Q85" s="18">
        <f t="shared" si="7"/>
        <v>1</v>
      </c>
      <c r="R85" s="27">
        <f t="shared" si="8"/>
        <v>1</v>
      </c>
      <c r="S85" s="18">
        <f t="shared" si="9"/>
        <v>1</v>
      </c>
    </row>
    <row r="86" spans="1:19" ht="15.75" x14ac:dyDescent="0.25">
      <c r="A86" s="213"/>
      <c r="B86" s="424" t="str">
        <f t="shared" ref="B86:B120" si="13">IF(C86="","",ROW()-20)</f>
        <v/>
      </c>
      <c r="C86" s="409" t="str">
        <f>'התחשיב הבסיסי'!C72</f>
        <v/>
      </c>
      <c r="D86" s="425" t="str">
        <f>'התחשיב הבסיסי'!O72</f>
        <v/>
      </c>
      <c r="E86" s="423"/>
      <c r="F86" s="426" t="str">
        <f t="shared" ref="F86:F120" si="14">IF(C86="","",IF(Q86=0,"",IF(E86=$E$3,$D$3*D86,$D$4*D86)))</f>
        <v/>
      </c>
      <c r="G86" s="591"/>
      <c r="H86" s="559" t="str">
        <f t="shared" ref="H86:H120" si="15">IF(C86="","",IF(R86=0,"",ROUNDDOWN(G86/$F$3,0)*$G$3))</f>
        <v/>
      </c>
      <c r="I86" s="428" t="str">
        <f t="shared" ref="I86:I120" si="16">IF(C86="","",IF(S86&lt;&gt;1,$S$1,MIN(D86,F86+H86)))</f>
        <v/>
      </c>
      <c r="J86" s="429" t="str">
        <f t="shared" si="12"/>
        <v/>
      </c>
      <c r="K86" s="151" t="str">
        <f t="shared" ref="K86:K120" si="17">IF(C86="","",IF(AND($S$18&lt;&gt;1,C86&lt;&gt;""),$S$1,J86*$K$2))</f>
        <v/>
      </c>
      <c r="L86" s="131"/>
      <c r="M86" s="131"/>
      <c r="N86" s="18" t="str">
        <f t="shared" ref="N86:O121" si="18">IF($C86="","",N$20)</f>
        <v/>
      </c>
      <c r="O86" s="18" t="str">
        <f t="shared" si="18"/>
        <v/>
      </c>
      <c r="Q86" s="18">
        <f t="shared" ref="Q86:Q120" si="19">IF(E86="",0,IF(ISERROR(MATCH(E86,$N$20:$O$20,0)),0,1))</f>
        <v>0</v>
      </c>
      <c r="R86" s="27">
        <f t="shared" ref="R86:R120" si="20">IFERROR(IF(G86*1&gt;=0,1,0),0)</f>
        <v>1</v>
      </c>
      <c r="S86" s="18">
        <f t="shared" ref="S86:S120" si="21">IF($C86="",1,IFERROR(IF(SUM(Q86:R86)=COUNT(Q86:R86),1,0),0))</f>
        <v>1</v>
      </c>
    </row>
    <row r="87" spans="1:19" ht="17.25" customHeight="1" x14ac:dyDescent="0.25">
      <c r="A87" s="213"/>
      <c r="B87" s="424">
        <f t="shared" si="13"/>
        <v>67</v>
      </c>
      <c r="C87" s="409" t="str">
        <f>'התחשיב הבסיסי'!C73</f>
        <v>שרון וזנה</v>
      </c>
      <c r="D87" s="425">
        <f>'התחשיב הבסיסי'!O73</f>
        <v>79007.740411074716</v>
      </c>
      <c r="E87" s="423">
        <v>0</v>
      </c>
      <c r="F87" s="426">
        <f t="shared" si="14"/>
        <v>67156.5793494135</v>
      </c>
      <c r="G87" s="591">
        <v>0</v>
      </c>
      <c r="H87" s="559">
        <f t="shared" si="15"/>
        <v>0</v>
      </c>
      <c r="I87" s="428">
        <f t="shared" si="16"/>
        <v>67156.5793494135</v>
      </c>
      <c r="J87" s="429">
        <f t="shared" si="12"/>
        <v>9.3957395761048237E-3</v>
      </c>
      <c r="K87" s="151">
        <f t="shared" si="17"/>
        <v>75943.545599115329</v>
      </c>
      <c r="L87" s="131"/>
      <c r="M87" s="131"/>
      <c r="N87" s="18">
        <f t="shared" si="18"/>
        <v>0</v>
      </c>
      <c r="O87" s="18">
        <f t="shared" si="18"/>
        <v>1</v>
      </c>
      <c r="Q87" s="18">
        <f t="shared" si="19"/>
        <v>1</v>
      </c>
      <c r="R87" s="27">
        <f t="shared" si="20"/>
        <v>1</v>
      </c>
      <c r="S87" s="18">
        <f t="shared" si="21"/>
        <v>1</v>
      </c>
    </row>
    <row r="88" spans="1:19" ht="15.75" x14ac:dyDescent="0.25">
      <c r="A88" s="213"/>
      <c r="B88" s="424">
        <f t="shared" si="13"/>
        <v>68</v>
      </c>
      <c r="C88" s="409" t="str">
        <f>'התחשיב הבסיסי'!C74</f>
        <v>שרונה פלורסהיים</v>
      </c>
      <c r="D88" s="425">
        <f>'התחשיב הבסיסי'!O74</f>
        <v>137317.11861819931</v>
      </c>
      <c r="E88" s="423">
        <v>0</v>
      </c>
      <c r="F88" s="426">
        <f t="shared" si="14"/>
        <v>116719.55082546941</v>
      </c>
      <c r="G88" s="591">
        <v>0</v>
      </c>
      <c r="H88" s="559">
        <f t="shared" si="15"/>
        <v>0</v>
      </c>
      <c r="I88" s="428">
        <f t="shared" si="16"/>
        <v>116719.55082546941</v>
      </c>
      <c r="J88" s="429">
        <f t="shared" si="12"/>
        <v>1.6329993481206381E-2</v>
      </c>
      <c r="K88" s="151">
        <f t="shared" si="17"/>
        <v>131991.48343012962</v>
      </c>
      <c r="L88" s="131"/>
      <c r="M88" s="131"/>
      <c r="N88" s="18">
        <f t="shared" si="18"/>
        <v>0</v>
      </c>
      <c r="O88" s="18">
        <f t="shared" si="18"/>
        <v>1</v>
      </c>
      <c r="Q88" s="18">
        <f t="shared" si="19"/>
        <v>1</v>
      </c>
      <c r="R88" s="27">
        <f t="shared" si="20"/>
        <v>1</v>
      </c>
      <c r="S88" s="18">
        <f t="shared" si="21"/>
        <v>1</v>
      </c>
    </row>
    <row r="89" spans="1:19" ht="15.75" x14ac:dyDescent="0.25">
      <c r="A89" s="213"/>
      <c r="B89" s="424">
        <f t="shared" si="13"/>
        <v>69</v>
      </c>
      <c r="C89" s="409" t="str">
        <f>'התחשיב הבסיסי'!C75</f>
        <v>תמי ליבוביץ</v>
      </c>
      <c r="D89" s="425">
        <f>'התחשיב הבסיסי'!O75</f>
        <v>57465.318081637713</v>
      </c>
      <c r="E89" s="423">
        <v>0</v>
      </c>
      <c r="F89" s="426">
        <f t="shared" si="14"/>
        <v>48845.520369392056</v>
      </c>
      <c r="G89" s="591">
        <v>0</v>
      </c>
      <c r="H89" s="559">
        <f t="shared" si="15"/>
        <v>0</v>
      </c>
      <c r="I89" s="428">
        <f t="shared" si="16"/>
        <v>48845.520369392056</v>
      </c>
      <c r="J89" s="429">
        <f t="shared" si="12"/>
        <v>6.8338767890824582E-3</v>
      </c>
      <c r="K89" s="151">
        <f t="shared" si="17"/>
        <v>55236.61329123129</v>
      </c>
      <c r="L89" s="131"/>
      <c r="M89" s="131"/>
      <c r="N89" s="18">
        <f t="shared" si="18"/>
        <v>0</v>
      </c>
      <c r="O89" s="18">
        <f t="shared" si="18"/>
        <v>1</v>
      </c>
      <c r="Q89" s="18">
        <f t="shared" si="19"/>
        <v>1</v>
      </c>
      <c r="R89" s="27">
        <f t="shared" si="20"/>
        <v>1</v>
      </c>
      <c r="S89" s="18">
        <f t="shared" si="21"/>
        <v>1</v>
      </c>
    </row>
    <row r="90" spans="1:19" ht="21" customHeight="1" x14ac:dyDescent="0.25">
      <c r="A90" s="213"/>
      <c r="B90" s="424">
        <f t="shared" si="13"/>
        <v>70</v>
      </c>
      <c r="C90" s="409" t="str">
        <f>'התחשיב הבסיסי'!C76</f>
        <v>תמר בורר</v>
      </c>
      <c r="D90" s="425">
        <f>'התחשיב הבסיסי'!O76</f>
        <v>61094.605665866962</v>
      </c>
      <c r="E90" s="423">
        <v>0</v>
      </c>
      <c r="F90" s="426">
        <f t="shared" si="14"/>
        <v>51930.414815986915</v>
      </c>
      <c r="G90" s="591">
        <v>0</v>
      </c>
      <c r="H90" s="559">
        <f t="shared" si="15"/>
        <v>0</v>
      </c>
      <c r="I90" s="428">
        <f t="shared" si="16"/>
        <v>51930.414815986915</v>
      </c>
      <c r="J90" s="429">
        <f t="shared" si="12"/>
        <v>7.2654780576516921E-3</v>
      </c>
      <c r="K90" s="151">
        <f t="shared" si="17"/>
        <v>58725.144487177022</v>
      </c>
      <c r="L90" s="131"/>
      <c r="M90" s="131"/>
      <c r="N90" s="18">
        <f t="shared" si="18"/>
        <v>0</v>
      </c>
      <c r="O90" s="18">
        <f t="shared" si="18"/>
        <v>1</v>
      </c>
      <c r="Q90" s="18">
        <f t="shared" si="19"/>
        <v>1</v>
      </c>
      <c r="R90" s="27">
        <f t="shared" si="20"/>
        <v>1</v>
      </c>
      <c r="S90" s="18">
        <f t="shared" si="21"/>
        <v>1</v>
      </c>
    </row>
    <row r="91" spans="1:19" ht="15.75" x14ac:dyDescent="0.25">
      <c r="A91" s="213"/>
      <c r="B91" s="424">
        <f t="shared" si="13"/>
        <v>71</v>
      </c>
      <c r="C91" s="409" t="str">
        <f>'התחשיב הבסיסי'!C77</f>
        <v>תמי ורונן יצחקי</v>
      </c>
      <c r="D91" s="425">
        <f>'התחשיב הבסיסי'!O77</f>
        <v>76989.303854465485</v>
      </c>
      <c r="E91" s="423">
        <v>0</v>
      </c>
      <c r="F91" s="426">
        <f t="shared" si="14"/>
        <v>65440.90827629566</v>
      </c>
      <c r="G91" s="591">
        <v>88646</v>
      </c>
      <c r="H91" s="559">
        <f t="shared" si="15"/>
        <v>44323</v>
      </c>
      <c r="I91" s="428">
        <f t="shared" si="16"/>
        <v>76989.303854465485</v>
      </c>
      <c r="J91" s="429">
        <f t="shared" si="12"/>
        <v>1.0771415938243115E-2</v>
      </c>
      <c r="K91" s="151">
        <f t="shared" si="17"/>
        <v>87062.812974657674</v>
      </c>
      <c r="L91" s="131"/>
      <c r="M91" s="131"/>
      <c r="N91" s="18">
        <f t="shared" si="18"/>
        <v>0</v>
      </c>
      <c r="O91" s="18">
        <f t="shared" si="18"/>
        <v>1</v>
      </c>
      <c r="Q91" s="18">
        <f t="shared" si="19"/>
        <v>1</v>
      </c>
      <c r="R91" s="27">
        <f t="shared" si="20"/>
        <v>1</v>
      </c>
      <c r="S91" s="18">
        <f t="shared" si="21"/>
        <v>1</v>
      </c>
    </row>
    <row r="92" spans="1:19" ht="15.75" x14ac:dyDescent="0.25">
      <c r="A92" s="213"/>
      <c r="B92" s="424">
        <f t="shared" si="13"/>
        <v>72</v>
      </c>
      <c r="C92" s="409" t="str">
        <f>'התחשיב הבסיסי'!C78</f>
        <v>רננה רז</v>
      </c>
      <c r="D92" s="425">
        <f>'התחשיב הבסיסי'!O78</f>
        <v>148550.53512635548</v>
      </c>
      <c r="E92" s="423">
        <v>0</v>
      </c>
      <c r="F92" s="426">
        <f t="shared" si="14"/>
        <v>126267.95485740215</v>
      </c>
      <c r="G92" s="591">
        <v>65000</v>
      </c>
      <c r="H92" s="559">
        <f t="shared" si="15"/>
        <v>32500</v>
      </c>
      <c r="I92" s="428">
        <f t="shared" si="16"/>
        <v>148550.53512635548</v>
      </c>
      <c r="J92" s="429">
        <f t="shared" si="12"/>
        <v>2.0783401350391105E-2</v>
      </c>
      <c r="K92" s="151">
        <f t="shared" si="17"/>
        <v>167987.32823249261</v>
      </c>
      <c r="L92" s="131"/>
      <c r="M92" s="131"/>
      <c r="N92" s="18">
        <f t="shared" si="18"/>
        <v>0</v>
      </c>
      <c r="O92" s="18">
        <f t="shared" si="18"/>
        <v>1</v>
      </c>
      <c r="Q92" s="18">
        <f t="shared" si="19"/>
        <v>1</v>
      </c>
      <c r="R92" s="27">
        <f t="shared" si="20"/>
        <v>1</v>
      </c>
      <c r="S92" s="18">
        <f t="shared" si="21"/>
        <v>1</v>
      </c>
    </row>
    <row r="93" spans="1:19" ht="15" customHeight="1" x14ac:dyDescent="0.25">
      <c r="A93" s="213"/>
      <c r="B93" s="424">
        <f t="shared" si="13"/>
        <v>73</v>
      </c>
      <c r="C93" s="409" t="str">
        <f>'התחשיב הבסיסי'!C79</f>
        <v>רתם תשח</v>
      </c>
      <c r="D93" s="425">
        <f>'התחשיב הבסיסי'!O79</f>
        <v>36624.921346808005</v>
      </c>
      <c r="E93" s="423">
        <v>0</v>
      </c>
      <c r="F93" s="426">
        <f t="shared" si="14"/>
        <v>31131.183144786803</v>
      </c>
      <c r="G93" s="591">
        <v>0</v>
      </c>
      <c r="H93" s="559">
        <f t="shared" si="15"/>
        <v>0</v>
      </c>
      <c r="I93" s="428">
        <f t="shared" si="16"/>
        <v>31131.183144786803</v>
      </c>
      <c r="J93" s="429">
        <f t="shared" si="12"/>
        <v>4.3555001216272534E-3</v>
      </c>
      <c r="K93" s="151">
        <f t="shared" si="17"/>
        <v>35204.479585084388</v>
      </c>
      <c r="L93" s="131"/>
      <c r="M93" s="131"/>
      <c r="N93" s="18">
        <f t="shared" si="18"/>
        <v>0</v>
      </c>
      <c r="O93" s="18">
        <f t="shared" si="18"/>
        <v>1</v>
      </c>
      <c r="Q93" s="18">
        <f t="shared" si="19"/>
        <v>1</v>
      </c>
      <c r="R93" s="27">
        <f t="shared" si="20"/>
        <v>1</v>
      </c>
      <c r="S93" s="18">
        <f t="shared" si="21"/>
        <v>1</v>
      </c>
    </row>
    <row r="94" spans="1:19" ht="15.75" x14ac:dyDescent="0.25">
      <c r="A94" s="213"/>
      <c r="B94" s="424" t="str">
        <f t="shared" si="13"/>
        <v/>
      </c>
      <c r="C94" s="409" t="str">
        <f>'התחשיב הבסיסי'!C80</f>
        <v/>
      </c>
      <c r="D94" s="425" t="str">
        <f>'התחשיב הבסיסי'!O80</f>
        <v/>
      </c>
      <c r="E94" s="423"/>
      <c r="F94" s="426" t="str">
        <f t="shared" si="14"/>
        <v/>
      </c>
      <c r="G94" s="591"/>
      <c r="H94" s="559" t="str">
        <f t="shared" si="15"/>
        <v/>
      </c>
      <c r="I94" s="428" t="str">
        <f t="shared" si="16"/>
        <v/>
      </c>
      <c r="J94" s="429" t="str">
        <f t="shared" si="12"/>
        <v/>
      </c>
      <c r="K94" s="151" t="str">
        <f t="shared" si="17"/>
        <v/>
      </c>
      <c r="L94" s="131"/>
      <c r="M94" s="131"/>
      <c r="N94" s="18" t="str">
        <f t="shared" si="18"/>
        <v/>
      </c>
      <c r="O94" s="18" t="str">
        <f t="shared" si="18"/>
        <v/>
      </c>
      <c r="Q94" s="18">
        <f t="shared" si="19"/>
        <v>0</v>
      </c>
      <c r="R94" s="27">
        <f t="shared" si="20"/>
        <v>1</v>
      </c>
      <c r="S94" s="18">
        <f t="shared" si="21"/>
        <v>1</v>
      </c>
    </row>
    <row r="95" spans="1:19" ht="15.75" x14ac:dyDescent="0.25">
      <c r="A95" s="213"/>
      <c r="B95" s="424" t="str">
        <f t="shared" si="13"/>
        <v/>
      </c>
      <c r="C95" s="409" t="str">
        <f>'התחשיב הבסיסי'!C81</f>
        <v/>
      </c>
      <c r="D95" s="425" t="str">
        <f>'התחשיב הבסיסי'!O81</f>
        <v/>
      </c>
      <c r="E95" s="423"/>
      <c r="F95" s="426" t="str">
        <f t="shared" si="14"/>
        <v/>
      </c>
      <c r="G95" s="591"/>
      <c r="H95" s="559" t="str">
        <f t="shared" si="15"/>
        <v/>
      </c>
      <c r="I95" s="428" t="str">
        <f t="shared" si="16"/>
        <v/>
      </c>
      <c r="J95" s="429" t="str">
        <f t="shared" si="12"/>
        <v/>
      </c>
      <c r="K95" s="151" t="str">
        <f t="shared" si="17"/>
        <v/>
      </c>
      <c r="L95" s="131"/>
      <c r="M95" s="131"/>
      <c r="N95" s="18" t="str">
        <f t="shared" si="18"/>
        <v/>
      </c>
      <c r="O95" s="18" t="str">
        <f t="shared" si="18"/>
        <v/>
      </c>
      <c r="Q95" s="18">
        <f t="shared" si="19"/>
        <v>0</v>
      </c>
      <c r="R95" s="27">
        <f t="shared" si="20"/>
        <v>1</v>
      </c>
      <c r="S95" s="18">
        <f t="shared" si="21"/>
        <v>1</v>
      </c>
    </row>
    <row r="96" spans="1:19" ht="15.75" x14ac:dyDescent="0.25">
      <c r="A96" s="213"/>
      <c r="B96" s="424">
        <f t="shared" si="13"/>
        <v>76</v>
      </c>
      <c r="C96" s="409" t="str">
        <f>'התחשיב הבסיסי'!C82</f>
        <v>שרון שגיא - פלמנקו</v>
      </c>
      <c r="D96" s="425">
        <f>'התחשיב הבסיסי'!O82</f>
        <v>235186.44530968633</v>
      </c>
      <c r="E96" s="423">
        <v>0</v>
      </c>
      <c r="F96" s="426">
        <f t="shared" si="14"/>
        <v>199908.47851323336</v>
      </c>
      <c r="G96" s="591">
        <v>141292</v>
      </c>
      <c r="H96" s="559">
        <f t="shared" si="15"/>
        <v>70646</v>
      </c>
      <c r="I96" s="428">
        <f t="shared" si="16"/>
        <v>235186.44530968633</v>
      </c>
      <c r="J96" s="429">
        <f t="shared" si="12"/>
        <v>3.2904454237646201E-2</v>
      </c>
      <c r="K96" s="151">
        <f t="shared" si="17"/>
        <v>265958.93815169414</v>
      </c>
      <c r="L96" s="131"/>
      <c r="M96" s="131"/>
      <c r="N96" s="18">
        <f t="shared" si="18"/>
        <v>0</v>
      </c>
      <c r="O96" s="18">
        <f t="shared" si="18"/>
        <v>1</v>
      </c>
      <c r="Q96" s="18">
        <f t="shared" si="19"/>
        <v>1</v>
      </c>
      <c r="R96" s="27">
        <f t="shared" si="20"/>
        <v>1</v>
      </c>
      <c r="S96" s="18">
        <f t="shared" si="21"/>
        <v>1</v>
      </c>
    </row>
    <row r="97" spans="1:19" ht="15.75" x14ac:dyDescent="0.25">
      <c r="A97" s="213"/>
      <c r="B97" s="424" t="str">
        <f t="shared" si="13"/>
        <v/>
      </c>
      <c r="C97" s="409" t="str">
        <f>'התחשיב הבסיסי'!C83</f>
        <v/>
      </c>
      <c r="D97" s="425" t="str">
        <f>'התחשיב הבסיסי'!O83</f>
        <v/>
      </c>
      <c r="E97" s="423"/>
      <c r="F97" s="426" t="str">
        <f t="shared" si="14"/>
        <v/>
      </c>
      <c r="G97" s="591"/>
      <c r="H97" s="559" t="str">
        <f t="shared" si="15"/>
        <v/>
      </c>
      <c r="I97" s="428" t="str">
        <f t="shared" si="16"/>
        <v/>
      </c>
      <c r="J97" s="429" t="str">
        <f t="shared" si="12"/>
        <v/>
      </c>
      <c r="K97" s="151" t="str">
        <f t="shared" si="17"/>
        <v/>
      </c>
      <c r="L97" s="131"/>
      <c r="M97" s="131"/>
      <c r="N97" s="18" t="str">
        <f t="shared" si="18"/>
        <v/>
      </c>
      <c r="O97" s="18" t="str">
        <f t="shared" si="18"/>
        <v/>
      </c>
      <c r="Q97" s="18">
        <f t="shared" si="19"/>
        <v>0</v>
      </c>
      <c r="R97" s="27">
        <f t="shared" si="20"/>
        <v>1</v>
      </c>
      <c r="S97" s="18">
        <f t="shared" si="21"/>
        <v>1</v>
      </c>
    </row>
    <row r="98" spans="1:19" ht="15.75" x14ac:dyDescent="0.25">
      <c r="A98" s="213"/>
      <c r="B98" s="424">
        <f t="shared" si="13"/>
        <v>78</v>
      </c>
      <c r="C98" s="409" t="str">
        <f>'התחשיב הבסיסי'!C84</f>
        <v>אוליביה קורט מסה</v>
      </c>
      <c r="D98" s="425">
        <f>'התחשיב הבסיסי'!O84</f>
        <v>101883.72352290736</v>
      </c>
      <c r="E98" s="423">
        <v>0</v>
      </c>
      <c r="F98" s="426">
        <f t="shared" si="14"/>
        <v>86601.164994471255</v>
      </c>
      <c r="G98" s="591">
        <v>0</v>
      </c>
      <c r="H98" s="559">
        <f t="shared" si="15"/>
        <v>0</v>
      </c>
      <c r="I98" s="428">
        <f t="shared" si="16"/>
        <v>86601.164994471255</v>
      </c>
      <c r="J98" s="429">
        <f t="shared" si="12"/>
        <v>1.2116191758990228E-2</v>
      </c>
      <c r="K98" s="151">
        <f t="shared" si="17"/>
        <v>97932.3185666629</v>
      </c>
      <c r="L98" s="131"/>
      <c r="M98" s="131"/>
      <c r="N98" s="18">
        <f t="shared" si="18"/>
        <v>0</v>
      </c>
      <c r="O98" s="18">
        <f t="shared" si="18"/>
        <v>1</v>
      </c>
      <c r="Q98" s="18">
        <f t="shared" si="19"/>
        <v>1</v>
      </c>
      <c r="R98" s="27">
        <f t="shared" si="20"/>
        <v>1</v>
      </c>
      <c r="S98" s="18">
        <f t="shared" si="21"/>
        <v>1</v>
      </c>
    </row>
    <row r="99" spans="1:19" ht="15.75" x14ac:dyDescent="0.25">
      <c r="A99" s="213"/>
      <c r="B99" s="424" t="str">
        <f t="shared" si="13"/>
        <v/>
      </c>
      <c r="C99" s="409" t="str">
        <f>'התחשיב הבסיסי'!C85</f>
        <v/>
      </c>
      <c r="D99" s="425" t="str">
        <f>'התחשיב הבסיסי'!O85</f>
        <v/>
      </c>
      <c r="E99" s="423"/>
      <c r="F99" s="426" t="str">
        <f t="shared" si="14"/>
        <v/>
      </c>
      <c r="G99" s="591"/>
      <c r="H99" s="559" t="str">
        <f t="shared" si="15"/>
        <v/>
      </c>
      <c r="I99" s="428" t="str">
        <f t="shared" si="16"/>
        <v/>
      </c>
      <c r="J99" s="429" t="str">
        <f t="shared" si="12"/>
        <v/>
      </c>
      <c r="K99" s="151" t="str">
        <f t="shared" si="17"/>
        <v/>
      </c>
      <c r="L99" s="131"/>
      <c r="M99" s="131"/>
      <c r="N99" s="18" t="str">
        <f t="shared" si="18"/>
        <v/>
      </c>
      <c r="O99" s="18" t="str">
        <f t="shared" si="18"/>
        <v/>
      </c>
      <c r="Q99" s="18">
        <f t="shared" si="19"/>
        <v>0</v>
      </c>
      <c r="R99" s="27">
        <f t="shared" si="20"/>
        <v>1</v>
      </c>
      <c r="S99" s="18">
        <f t="shared" si="21"/>
        <v>1</v>
      </c>
    </row>
    <row r="100" spans="1:19" ht="15.75" x14ac:dyDescent="0.25">
      <c r="A100" s="213"/>
      <c r="B100" s="424" t="str">
        <f t="shared" si="13"/>
        <v/>
      </c>
      <c r="C100" s="409" t="str">
        <f>'התחשיב הבסיסי'!C86</f>
        <v/>
      </c>
      <c r="D100" s="425" t="str">
        <f>'התחשיב הבסיסי'!O86</f>
        <v/>
      </c>
      <c r="E100" s="423"/>
      <c r="F100" s="426" t="str">
        <f t="shared" si="14"/>
        <v/>
      </c>
      <c r="G100" s="591"/>
      <c r="H100" s="559" t="str">
        <f t="shared" si="15"/>
        <v/>
      </c>
      <c r="I100" s="428" t="str">
        <f t="shared" si="16"/>
        <v/>
      </c>
      <c r="J100" s="429" t="str">
        <f t="shared" si="12"/>
        <v/>
      </c>
      <c r="K100" s="151" t="str">
        <f t="shared" si="17"/>
        <v/>
      </c>
      <c r="L100" s="131"/>
      <c r="M100" s="131"/>
      <c r="N100" s="18" t="str">
        <f t="shared" si="18"/>
        <v/>
      </c>
      <c r="O100" s="18" t="str">
        <f t="shared" si="18"/>
        <v/>
      </c>
      <c r="Q100" s="18">
        <f t="shared" si="19"/>
        <v>0</v>
      </c>
      <c r="R100" s="27">
        <f t="shared" si="20"/>
        <v>1</v>
      </c>
      <c r="S100" s="18">
        <f t="shared" si="21"/>
        <v>1</v>
      </c>
    </row>
    <row r="101" spans="1:19" ht="15.75" x14ac:dyDescent="0.25">
      <c r="A101" s="213"/>
      <c r="B101" s="424">
        <f t="shared" si="13"/>
        <v>81</v>
      </c>
      <c r="C101" s="409" t="str">
        <f>'התחשיב הבסיסי'!C87</f>
        <v>דגה פדר</v>
      </c>
      <c r="D101" s="425">
        <f>'התחשיב הבסיסי'!O87</f>
        <v>33425.349597521337</v>
      </c>
      <c r="E101" s="423">
        <v>0</v>
      </c>
      <c r="F101" s="426">
        <f t="shared" si="14"/>
        <v>28411.547157893136</v>
      </c>
      <c r="G101" s="591">
        <v>0</v>
      </c>
      <c r="H101" s="559">
        <f t="shared" si="15"/>
        <v>0</v>
      </c>
      <c r="I101" s="428">
        <f t="shared" si="16"/>
        <v>28411.547157893136</v>
      </c>
      <c r="J101" s="429">
        <f t="shared" si="12"/>
        <v>3.9750014166276383E-3</v>
      </c>
      <c r="K101" s="151">
        <f t="shared" si="17"/>
        <v>32128.998350266877</v>
      </c>
      <c r="L101" s="131"/>
      <c r="M101" s="131"/>
      <c r="N101" s="18">
        <f t="shared" si="18"/>
        <v>0</v>
      </c>
      <c r="O101" s="18">
        <f t="shared" si="18"/>
        <v>1</v>
      </c>
      <c r="Q101" s="18">
        <f t="shared" si="19"/>
        <v>1</v>
      </c>
      <c r="R101" s="27">
        <f t="shared" si="20"/>
        <v>1</v>
      </c>
      <c r="S101" s="18">
        <f t="shared" si="21"/>
        <v>1</v>
      </c>
    </row>
    <row r="102" spans="1:19" ht="15.75" x14ac:dyDescent="0.25">
      <c r="A102" s="213"/>
      <c r="B102" s="424">
        <f t="shared" si="13"/>
        <v>82</v>
      </c>
      <c r="C102" s="409" t="str">
        <f>'התחשיב הבסיסי'!C88</f>
        <v>דנה חפוטה</v>
      </c>
      <c r="D102" s="425">
        <f>'התחשיב הבסיסי'!O88</f>
        <v>58401.425643247225</v>
      </c>
      <c r="E102" s="423">
        <v>0</v>
      </c>
      <c r="F102" s="426">
        <f t="shared" si="14"/>
        <v>49641.211796760137</v>
      </c>
      <c r="G102" s="591">
        <v>2500</v>
      </c>
      <c r="H102" s="559">
        <f t="shared" si="15"/>
        <v>1250</v>
      </c>
      <c r="I102" s="428">
        <f t="shared" si="16"/>
        <v>50891.211796760137</v>
      </c>
      <c r="J102" s="429">
        <f t="shared" si="12"/>
        <v>7.1200852900338771E-3</v>
      </c>
      <c r="K102" s="151">
        <f t="shared" si="17"/>
        <v>57549.969059215378</v>
      </c>
      <c r="L102" s="131"/>
      <c r="M102" s="131"/>
      <c r="N102" s="18">
        <f t="shared" si="18"/>
        <v>0</v>
      </c>
      <c r="O102" s="18">
        <f t="shared" si="18"/>
        <v>1</v>
      </c>
      <c r="Q102" s="18">
        <f t="shared" si="19"/>
        <v>1</v>
      </c>
      <c r="R102" s="27">
        <f t="shared" si="20"/>
        <v>1</v>
      </c>
      <c r="S102" s="18">
        <f t="shared" si="21"/>
        <v>1</v>
      </c>
    </row>
    <row r="103" spans="1:19" ht="15.75" x14ac:dyDescent="0.25">
      <c r="A103" s="213"/>
      <c r="B103" s="424" t="str">
        <f t="shared" si="13"/>
        <v/>
      </c>
      <c r="C103" s="409" t="str">
        <f>'התחשיב הבסיסי'!C89</f>
        <v/>
      </c>
      <c r="D103" s="425" t="str">
        <f>'התחשיב הבסיסי'!O89</f>
        <v/>
      </c>
      <c r="E103" s="423"/>
      <c r="F103" s="426" t="str">
        <f t="shared" si="14"/>
        <v/>
      </c>
      <c r="G103" s="591"/>
      <c r="H103" s="559" t="str">
        <f t="shared" si="15"/>
        <v/>
      </c>
      <c r="I103" s="428" t="str">
        <f t="shared" si="16"/>
        <v/>
      </c>
      <c r="J103" s="429" t="str">
        <f t="shared" si="12"/>
        <v/>
      </c>
      <c r="K103" s="151" t="str">
        <f t="shared" si="17"/>
        <v/>
      </c>
      <c r="L103" s="131"/>
      <c r="M103" s="131"/>
      <c r="N103" s="18" t="str">
        <f t="shared" si="18"/>
        <v/>
      </c>
      <c r="O103" s="18" t="str">
        <f t="shared" si="18"/>
        <v/>
      </c>
      <c r="Q103" s="18">
        <f t="shared" si="19"/>
        <v>0</v>
      </c>
      <c r="R103" s="27">
        <f t="shared" si="20"/>
        <v>1</v>
      </c>
      <c r="S103" s="18">
        <f t="shared" si="21"/>
        <v>1</v>
      </c>
    </row>
    <row r="104" spans="1:19" ht="15.75" x14ac:dyDescent="0.25">
      <c r="A104" s="213"/>
      <c r="B104" s="424" t="str">
        <f t="shared" si="13"/>
        <v/>
      </c>
      <c r="C104" s="409" t="str">
        <f>'התחשיב הבסיסי'!C90</f>
        <v/>
      </c>
      <c r="D104" s="425" t="str">
        <f>'התחשיב הבסיסי'!O90</f>
        <v/>
      </c>
      <c r="E104" s="423"/>
      <c r="F104" s="426" t="str">
        <f t="shared" si="14"/>
        <v/>
      </c>
      <c r="G104" s="591"/>
      <c r="H104" s="559" t="str">
        <f t="shared" si="15"/>
        <v/>
      </c>
      <c r="I104" s="428" t="str">
        <f t="shared" si="16"/>
        <v/>
      </c>
      <c r="J104" s="429" t="str">
        <f t="shared" si="12"/>
        <v/>
      </c>
      <c r="K104" s="151" t="str">
        <f t="shared" si="17"/>
        <v/>
      </c>
      <c r="L104" s="131"/>
      <c r="M104" s="131"/>
      <c r="N104" s="18" t="str">
        <f t="shared" si="18"/>
        <v/>
      </c>
      <c r="O104" s="18" t="str">
        <f t="shared" si="18"/>
        <v/>
      </c>
      <c r="Q104" s="18">
        <f t="shared" si="19"/>
        <v>0</v>
      </c>
      <c r="R104" s="27">
        <f t="shared" si="20"/>
        <v>1</v>
      </c>
      <c r="S104" s="18">
        <f t="shared" si="21"/>
        <v>1</v>
      </c>
    </row>
    <row r="105" spans="1:19" ht="15.75" x14ac:dyDescent="0.25">
      <c r="A105" s="213"/>
      <c r="B105" s="424">
        <f t="shared" si="13"/>
        <v>85</v>
      </c>
      <c r="C105" s="409" t="str">
        <f>'התחשיב הבסיסי'!C91</f>
        <v>יענק'לה פילצר</v>
      </c>
      <c r="D105" s="425">
        <f>'התחשיב הבסיסי'!O91</f>
        <v>173477.34597213479</v>
      </c>
      <c r="E105" s="423">
        <v>0</v>
      </c>
      <c r="F105" s="426">
        <f t="shared" si="14"/>
        <v>147455.74407631456</v>
      </c>
      <c r="G105" s="591">
        <v>0</v>
      </c>
      <c r="H105" s="559">
        <f t="shared" si="15"/>
        <v>0</v>
      </c>
      <c r="I105" s="428">
        <f t="shared" si="16"/>
        <v>147455.74407631456</v>
      </c>
      <c r="J105" s="429">
        <f t="shared" si="12"/>
        <v>2.0630231375146905E-2</v>
      </c>
      <c r="K105" s="151">
        <f t="shared" si="17"/>
        <v>166749.29147070789</v>
      </c>
      <c r="L105" s="131"/>
      <c r="M105" s="131"/>
      <c r="N105" s="18">
        <f t="shared" si="18"/>
        <v>0</v>
      </c>
      <c r="O105" s="18">
        <f t="shared" si="18"/>
        <v>1</v>
      </c>
      <c r="Q105" s="18">
        <f t="shared" si="19"/>
        <v>1</v>
      </c>
      <c r="R105" s="27">
        <f t="shared" si="20"/>
        <v>1</v>
      </c>
      <c r="S105" s="18">
        <f t="shared" si="21"/>
        <v>1</v>
      </c>
    </row>
    <row r="106" spans="1:19" ht="15.75" x14ac:dyDescent="0.25">
      <c r="A106" s="213"/>
      <c r="B106" s="424">
        <f t="shared" si="13"/>
        <v>86</v>
      </c>
      <c r="C106" s="409" t="str">
        <f>'התחשיב הבסיסי'!C92</f>
        <v>ענבל פינטו</v>
      </c>
      <c r="D106" s="425">
        <f>'התחשיב הבסיסי'!O92</f>
        <v>100985.41908572346</v>
      </c>
      <c r="E106" s="423">
        <v>0</v>
      </c>
      <c r="F106" s="426">
        <f t="shared" si="14"/>
        <v>85837.606222864939</v>
      </c>
      <c r="G106" s="591">
        <v>0</v>
      </c>
      <c r="H106" s="559">
        <f t="shared" si="15"/>
        <v>0</v>
      </c>
      <c r="I106" s="428">
        <f t="shared" si="16"/>
        <v>85837.606222864939</v>
      </c>
      <c r="J106" s="429">
        <f t="shared" si="12"/>
        <v>1.2009363813931617E-2</v>
      </c>
      <c r="K106" s="151">
        <f t="shared" si="17"/>
        <v>97068.853498149168</v>
      </c>
      <c r="L106" s="131"/>
      <c r="M106" s="131"/>
      <c r="N106" s="18">
        <f t="shared" si="18"/>
        <v>0</v>
      </c>
      <c r="O106" s="18">
        <f t="shared" si="18"/>
        <v>1</v>
      </c>
      <c r="Q106" s="18">
        <f t="shared" si="19"/>
        <v>1</v>
      </c>
      <c r="R106" s="27">
        <f t="shared" si="20"/>
        <v>1</v>
      </c>
      <c r="S106" s="18">
        <f t="shared" si="21"/>
        <v>1</v>
      </c>
    </row>
    <row r="107" spans="1:19" ht="15.75" x14ac:dyDescent="0.25">
      <c r="A107" s="213"/>
      <c r="B107" s="424">
        <f t="shared" si="13"/>
        <v>87</v>
      </c>
      <c r="C107" s="409" t="str">
        <f>'התחשיב הבסיסי'!C93</f>
        <v>רוני חדש</v>
      </c>
      <c r="D107" s="425">
        <f>'התחשיב הבסיסי'!O93</f>
        <v>80348.483805274474</v>
      </c>
      <c r="E107" s="423">
        <v>0</v>
      </c>
      <c r="F107" s="426">
        <f t="shared" si="14"/>
        <v>68296.2112344833</v>
      </c>
      <c r="G107" s="591">
        <v>0</v>
      </c>
      <c r="H107" s="559">
        <f t="shared" si="15"/>
        <v>0</v>
      </c>
      <c r="I107" s="428">
        <f t="shared" si="16"/>
        <v>68296.2112344833</v>
      </c>
      <c r="J107" s="429">
        <f t="shared" si="12"/>
        <v>9.5551831408079869E-3</v>
      </c>
      <c r="K107" s="151">
        <f t="shared" si="17"/>
        <v>77232.290303929723</v>
      </c>
      <c r="L107" s="131"/>
      <c r="M107" s="131"/>
      <c r="N107" s="18">
        <f t="shared" si="18"/>
        <v>0</v>
      </c>
      <c r="O107" s="18">
        <f t="shared" si="18"/>
        <v>1</v>
      </c>
      <c r="Q107" s="18">
        <f t="shared" si="19"/>
        <v>1</v>
      </c>
      <c r="R107" s="27">
        <f t="shared" si="20"/>
        <v>1</v>
      </c>
      <c r="S107" s="18">
        <f t="shared" si="21"/>
        <v>1</v>
      </c>
    </row>
    <row r="108" spans="1:19" ht="15.75" x14ac:dyDescent="0.25">
      <c r="A108" s="213"/>
      <c r="B108" s="424">
        <f t="shared" si="13"/>
        <v>88</v>
      </c>
      <c r="C108" s="409" t="str">
        <f>'התחשיב הבסיסי'!C94</f>
        <v>שחר בנימיני</v>
      </c>
      <c r="D108" s="425">
        <f>'התחשיב הבסיסי'!O94</f>
        <v>97841.107750359413</v>
      </c>
      <c r="E108" s="423">
        <v>0</v>
      </c>
      <c r="F108" s="426">
        <f t="shared" si="14"/>
        <v>83164.941587805501</v>
      </c>
      <c r="G108" s="591">
        <v>0</v>
      </c>
      <c r="H108" s="559">
        <f t="shared" si="15"/>
        <v>0</v>
      </c>
      <c r="I108" s="428">
        <f t="shared" si="16"/>
        <v>83164.941587805501</v>
      </c>
      <c r="J108" s="429">
        <f t="shared" si="12"/>
        <v>1.1635436774636947E-2</v>
      </c>
      <c r="K108" s="151">
        <f t="shared" si="17"/>
        <v>94046.489486311635</v>
      </c>
      <c r="L108" s="131"/>
      <c r="M108" s="131"/>
      <c r="N108" s="18">
        <f t="shared" si="18"/>
        <v>0</v>
      </c>
      <c r="O108" s="18">
        <f t="shared" si="18"/>
        <v>1</v>
      </c>
      <c r="Q108" s="18">
        <f t="shared" si="19"/>
        <v>1</v>
      </c>
      <c r="R108" s="27">
        <f t="shared" si="20"/>
        <v>1</v>
      </c>
      <c r="S108" s="18">
        <f t="shared" si="21"/>
        <v>1</v>
      </c>
    </row>
    <row r="109" spans="1:19" ht="15.75" x14ac:dyDescent="0.25">
      <c r="A109" s="213"/>
      <c r="B109" s="424">
        <f t="shared" si="13"/>
        <v>89</v>
      </c>
      <c r="C109" s="409" t="str">
        <f>'התחשיב הבסיסי'!C95</f>
        <v>רביד אברבאנל</v>
      </c>
      <c r="D109" s="425">
        <f>'התחשיב הבסיסי'!O95</f>
        <v>74488.170258903105</v>
      </c>
      <c r="E109" s="423">
        <v>0</v>
      </c>
      <c r="F109" s="426">
        <f t="shared" si="14"/>
        <v>63314.944720067637</v>
      </c>
      <c r="G109" s="591">
        <v>0</v>
      </c>
      <c r="H109" s="559">
        <f t="shared" si="15"/>
        <v>0</v>
      </c>
      <c r="I109" s="428">
        <f t="shared" si="16"/>
        <v>63314.944720067637</v>
      </c>
      <c r="J109" s="429">
        <f t="shared" si="12"/>
        <v>8.8582643372890017E-3</v>
      </c>
      <c r="K109" s="151">
        <f t="shared" si="17"/>
        <v>71599.260087923394</v>
      </c>
      <c r="L109" s="131"/>
      <c r="M109" s="131"/>
      <c r="N109" s="18">
        <f t="shared" si="18"/>
        <v>0</v>
      </c>
      <c r="O109" s="18">
        <f t="shared" si="18"/>
        <v>1</v>
      </c>
      <c r="Q109" s="18">
        <f t="shared" si="19"/>
        <v>1</v>
      </c>
      <c r="R109" s="27">
        <f t="shared" si="20"/>
        <v>1</v>
      </c>
      <c r="S109" s="18">
        <f t="shared" si="21"/>
        <v>1</v>
      </c>
    </row>
    <row r="110" spans="1:19" ht="15.75" x14ac:dyDescent="0.25">
      <c r="A110" s="213"/>
      <c r="B110" s="424">
        <f t="shared" si="13"/>
        <v>90</v>
      </c>
      <c r="C110" s="409" t="str">
        <f>'התחשיב הבסיסי'!C96</f>
        <v>שרון פרידמן</v>
      </c>
      <c r="D110" s="425">
        <f>'התחשיב הבסיסי'!O96</f>
        <v>119015.49847493884</v>
      </c>
      <c r="E110" s="423">
        <v>0</v>
      </c>
      <c r="F110" s="426">
        <f t="shared" si="14"/>
        <v>101163.173703698</v>
      </c>
      <c r="G110" s="591">
        <v>0</v>
      </c>
      <c r="H110" s="559">
        <f t="shared" si="15"/>
        <v>0</v>
      </c>
      <c r="I110" s="428">
        <f t="shared" si="16"/>
        <v>101163.173703698</v>
      </c>
      <c r="J110" s="429">
        <f t="shared" si="12"/>
        <v>1.4153532595321254E-2</v>
      </c>
      <c r="K110" s="151">
        <f t="shared" si="17"/>
        <v>114399.66373428921</v>
      </c>
      <c r="L110" s="131"/>
      <c r="M110" s="131"/>
      <c r="N110" s="18">
        <f t="shared" si="18"/>
        <v>0</v>
      </c>
      <c r="O110" s="18">
        <f t="shared" si="18"/>
        <v>1</v>
      </c>
      <c r="Q110" s="18">
        <f t="shared" si="19"/>
        <v>1</v>
      </c>
      <c r="R110" s="27">
        <f t="shared" si="20"/>
        <v>1</v>
      </c>
      <c r="S110" s="18">
        <f t="shared" si="21"/>
        <v>1</v>
      </c>
    </row>
    <row r="111" spans="1:19" ht="15.75" x14ac:dyDescent="0.25">
      <c r="A111" s="213"/>
      <c r="B111" s="424">
        <f t="shared" si="13"/>
        <v>91</v>
      </c>
      <c r="C111" s="409" t="str">
        <f>'התחשיב הבסיסי'!C97</f>
        <v>מירב כהן</v>
      </c>
      <c r="D111" s="425">
        <f>'התחשיב הבסיסי'!O97</f>
        <v>36006.014969786433</v>
      </c>
      <c r="E111" s="423">
        <v>0</v>
      </c>
      <c r="F111" s="426">
        <f t="shared" si="14"/>
        <v>30605.112724318467</v>
      </c>
      <c r="G111" s="591">
        <v>0</v>
      </c>
      <c r="H111" s="559">
        <f t="shared" si="15"/>
        <v>0</v>
      </c>
      <c r="I111" s="428">
        <f t="shared" si="16"/>
        <v>30605.112724318467</v>
      </c>
      <c r="J111" s="429">
        <f t="shared" si="12"/>
        <v>4.2818986857397117E-3</v>
      </c>
      <c r="K111" s="151">
        <f t="shared" si="17"/>
        <v>34609.576548744255</v>
      </c>
      <c r="L111" s="131"/>
      <c r="M111" s="131"/>
      <c r="N111" s="18">
        <f t="shared" si="18"/>
        <v>0</v>
      </c>
      <c r="O111" s="18">
        <f t="shared" si="18"/>
        <v>1</v>
      </c>
      <c r="Q111" s="18">
        <f t="shared" si="19"/>
        <v>1</v>
      </c>
      <c r="R111" s="27">
        <f t="shared" si="20"/>
        <v>1</v>
      </c>
      <c r="S111" s="18">
        <f t="shared" si="21"/>
        <v>1</v>
      </c>
    </row>
    <row r="112" spans="1:19" ht="15.75" x14ac:dyDescent="0.25">
      <c r="A112" s="213"/>
      <c r="B112" s="424">
        <f t="shared" si="13"/>
        <v>92</v>
      </c>
      <c r="C112" s="409" t="str">
        <f>'התחשיב הבסיסי'!C98</f>
        <v>קים טייטלבאום</v>
      </c>
      <c r="D112" s="425">
        <f>'התחשיב הבסיסי'!O98</f>
        <v>43431.334803869453</v>
      </c>
      <c r="E112" s="423">
        <v>0</v>
      </c>
      <c r="F112" s="426">
        <f t="shared" si="14"/>
        <v>36916.634583289037</v>
      </c>
      <c r="G112" s="591">
        <v>0</v>
      </c>
      <c r="H112" s="559">
        <f t="shared" si="15"/>
        <v>0</v>
      </c>
      <c r="I112" s="428">
        <f t="shared" si="16"/>
        <v>36916.634583289037</v>
      </c>
      <c r="J112" s="429">
        <f t="shared" si="12"/>
        <v>5.1649307920540784E-3</v>
      </c>
      <c r="K112" s="151">
        <f t="shared" si="17"/>
        <v>41746.916668506194</v>
      </c>
      <c r="L112" s="131"/>
      <c r="M112" s="131"/>
      <c r="N112" s="18">
        <f t="shared" si="18"/>
        <v>0</v>
      </c>
      <c r="O112" s="18">
        <f t="shared" si="18"/>
        <v>1</v>
      </c>
      <c r="Q112" s="18">
        <f t="shared" si="19"/>
        <v>1</v>
      </c>
      <c r="R112" s="27">
        <f t="shared" si="20"/>
        <v>1</v>
      </c>
      <c r="S112" s="18">
        <f t="shared" si="21"/>
        <v>1</v>
      </c>
    </row>
    <row r="113" spans="1:19" ht="15.75" x14ac:dyDescent="0.25">
      <c r="A113" s="213"/>
      <c r="B113" s="424" t="str">
        <f t="shared" si="13"/>
        <v/>
      </c>
      <c r="C113" s="409" t="str">
        <f>'התחשיב הבסיסי'!C99</f>
        <v/>
      </c>
      <c r="D113" s="425" t="str">
        <f>'התחשיב הבסיסי'!O99</f>
        <v/>
      </c>
      <c r="E113" s="423"/>
      <c r="F113" s="426" t="str">
        <f t="shared" si="14"/>
        <v/>
      </c>
      <c r="G113" s="591"/>
      <c r="H113" s="559" t="str">
        <f t="shared" si="15"/>
        <v/>
      </c>
      <c r="I113" s="428" t="str">
        <f t="shared" si="16"/>
        <v/>
      </c>
      <c r="J113" s="429" t="str">
        <f t="shared" si="12"/>
        <v/>
      </c>
      <c r="K113" s="151" t="str">
        <f t="shared" si="17"/>
        <v/>
      </c>
      <c r="L113" s="131"/>
      <c r="M113" s="131"/>
      <c r="N113" s="18" t="str">
        <f t="shared" si="18"/>
        <v/>
      </c>
      <c r="O113" s="18" t="str">
        <f t="shared" si="18"/>
        <v/>
      </c>
      <c r="Q113" s="18">
        <f t="shared" si="19"/>
        <v>0</v>
      </c>
      <c r="R113" s="27">
        <f t="shared" si="20"/>
        <v>1</v>
      </c>
      <c r="S113" s="18">
        <f t="shared" si="21"/>
        <v>1</v>
      </c>
    </row>
    <row r="114" spans="1:19" ht="15.75" x14ac:dyDescent="0.25">
      <c r="A114" s="213"/>
      <c r="B114" s="424">
        <f t="shared" si="13"/>
        <v>94</v>
      </c>
      <c r="C114" s="409" t="str">
        <f>'התחשיב הבסיסי'!C100</f>
        <v>מאי זרחי</v>
      </c>
      <c r="D114" s="425">
        <f>'התחשיב הבסיסי'!O100</f>
        <v>48176.706753185928</v>
      </c>
      <c r="E114" s="423">
        <v>0</v>
      </c>
      <c r="F114" s="426">
        <f t="shared" si="14"/>
        <v>40950.200740208042</v>
      </c>
      <c r="G114" s="591">
        <v>0</v>
      </c>
      <c r="H114" s="559">
        <f t="shared" si="15"/>
        <v>0</v>
      </c>
      <c r="I114" s="428">
        <f t="shared" si="16"/>
        <v>40950.200740208042</v>
      </c>
      <c r="J114" s="429">
        <f t="shared" si="12"/>
        <v>5.7292587780912634E-3</v>
      </c>
      <c r="K114" s="151">
        <f t="shared" si="17"/>
        <v>46308.246598240054</v>
      </c>
      <c r="L114" s="131"/>
      <c r="M114" s="131"/>
      <c r="N114" s="18">
        <f t="shared" si="18"/>
        <v>0</v>
      </c>
      <c r="O114" s="18">
        <f t="shared" si="18"/>
        <v>1</v>
      </c>
      <c r="Q114" s="18">
        <f t="shared" si="19"/>
        <v>1</v>
      </c>
      <c r="R114" s="27">
        <f t="shared" si="20"/>
        <v>1</v>
      </c>
      <c r="S114" s="18">
        <f t="shared" si="21"/>
        <v>1</v>
      </c>
    </row>
    <row r="115" spans="1:19" ht="15.75" x14ac:dyDescent="0.25">
      <c r="A115" s="213"/>
      <c r="B115" s="424">
        <f t="shared" si="13"/>
        <v>95</v>
      </c>
      <c r="C115" s="409" t="str">
        <f>'התחשיב הבסיסי'!C101</f>
        <v>דנה מרכוס</v>
      </c>
      <c r="D115" s="425">
        <f>'התחשיב הבסיסי'!O101</f>
        <v>48791.760553180764</v>
      </c>
      <c r="E115" s="423">
        <v>0</v>
      </c>
      <c r="F115" s="426">
        <f t="shared" si="14"/>
        <v>41472.996470203645</v>
      </c>
      <c r="G115" s="591">
        <v>15000</v>
      </c>
      <c r="H115" s="559">
        <f t="shared" si="15"/>
        <v>7500</v>
      </c>
      <c r="I115" s="428">
        <f t="shared" si="16"/>
        <v>48791.760553180764</v>
      </c>
      <c r="J115" s="429">
        <f t="shared" si="12"/>
        <v>6.8263553632195882E-3</v>
      </c>
      <c r="K115" s="151">
        <f t="shared" si="17"/>
        <v>55175.819381038214</v>
      </c>
      <c r="L115" s="131"/>
      <c r="M115" s="131"/>
      <c r="N115" s="18">
        <f t="shared" si="18"/>
        <v>0</v>
      </c>
      <c r="O115" s="18">
        <f t="shared" si="18"/>
        <v>1</v>
      </c>
      <c r="Q115" s="18">
        <f t="shared" si="19"/>
        <v>1</v>
      </c>
      <c r="R115" s="27">
        <f t="shared" si="20"/>
        <v>1</v>
      </c>
      <c r="S115" s="18">
        <f t="shared" si="21"/>
        <v>1</v>
      </c>
    </row>
    <row r="116" spans="1:19" ht="15.75" x14ac:dyDescent="0.25">
      <c r="A116" s="213"/>
      <c r="B116" s="424" t="str">
        <f t="shared" si="13"/>
        <v/>
      </c>
      <c r="C116" s="409" t="str">
        <f>'התחשיב הבסיסי'!C102</f>
        <v/>
      </c>
      <c r="D116" s="425" t="str">
        <f>'התחשיב הבסיסי'!O102</f>
        <v/>
      </c>
      <c r="E116" s="423"/>
      <c r="F116" s="426" t="str">
        <f t="shared" si="14"/>
        <v/>
      </c>
      <c r="G116" s="591"/>
      <c r="H116" s="559" t="str">
        <f t="shared" si="15"/>
        <v/>
      </c>
      <c r="I116" s="428" t="str">
        <f t="shared" si="16"/>
        <v/>
      </c>
      <c r="J116" s="429" t="str">
        <f t="shared" si="12"/>
        <v/>
      </c>
      <c r="K116" s="151" t="str">
        <f t="shared" si="17"/>
        <v/>
      </c>
      <c r="L116" s="131"/>
      <c r="M116" s="131"/>
      <c r="N116" s="18" t="str">
        <f t="shared" si="18"/>
        <v/>
      </c>
      <c r="O116" s="18" t="str">
        <f t="shared" si="18"/>
        <v/>
      </c>
      <c r="Q116" s="18">
        <f t="shared" si="19"/>
        <v>0</v>
      </c>
      <c r="R116" s="27">
        <f t="shared" si="20"/>
        <v>1</v>
      </c>
      <c r="S116" s="18">
        <f t="shared" si="21"/>
        <v>1</v>
      </c>
    </row>
    <row r="117" spans="1:19" ht="15.75" x14ac:dyDescent="0.25">
      <c r="A117" s="213"/>
      <c r="B117" s="424" t="str">
        <f t="shared" si="13"/>
        <v/>
      </c>
      <c r="C117" s="409" t="str">
        <f>'התחשיב הבסיסי'!C103</f>
        <v/>
      </c>
      <c r="D117" s="425" t="str">
        <f>'התחשיב הבסיסי'!O103</f>
        <v/>
      </c>
      <c r="E117" s="423"/>
      <c r="F117" s="426" t="str">
        <f t="shared" si="14"/>
        <v/>
      </c>
      <c r="G117" s="591"/>
      <c r="H117" s="559" t="str">
        <f t="shared" si="15"/>
        <v/>
      </c>
      <c r="I117" s="428" t="str">
        <f t="shared" si="16"/>
        <v/>
      </c>
      <c r="J117" s="429" t="str">
        <f t="shared" ref="J117:J120" si="22">IF(C117="","",IF($S$18&lt;&gt;1,$S$1,IF(ISERR(I117/$I$133),"",I117/$I$133)))</f>
        <v/>
      </c>
      <c r="K117" s="151" t="str">
        <f t="shared" si="17"/>
        <v/>
      </c>
      <c r="L117" s="131"/>
      <c r="M117" s="131"/>
      <c r="N117" s="18" t="str">
        <f t="shared" si="18"/>
        <v/>
      </c>
      <c r="O117" s="18" t="str">
        <f t="shared" si="18"/>
        <v/>
      </c>
      <c r="Q117" s="18">
        <f t="shared" si="19"/>
        <v>0</v>
      </c>
      <c r="R117" s="27">
        <f t="shared" si="20"/>
        <v>1</v>
      </c>
      <c r="S117" s="18">
        <f t="shared" si="21"/>
        <v>1</v>
      </c>
    </row>
    <row r="118" spans="1:19" ht="15.75" x14ac:dyDescent="0.25">
      <c r="A118" s="213"/>
      <c r="B118" s="424">
        <f t="shared" si="13"/>
        <v>98</v>
      </c>
      <c r="C118" s="409" t="str">
        <f>'התחשיב הבסיסי'!C104</f>
        <v>שקד מוכיח</v>
      </c>
      <c r="D118" s="425">
        <f>'התחשיב הבסיסי'!O104</f>
        <v>119313.70877803321</v>
      </c>
      <c r="E118" s="423">
        <v>0</v>
      </c>
      <c r="F118" s="426">
        <f t="shared" si="14"/>
        <v>101416.65246132822</v>
      </c>
      <c r="G118" s="591">
        <v>0</v>
      </c>
      <c r="H118" s="559">
        <f t="shared" si="15"/>
        <v>0</v>
      </c>
      <c r="I118" s="428">
        <f t="shared" si="16"/>
        <v>101416.65246132822</v>
      </c>
      <c r="J118" s="429">
        <f t="shared" si="22"/>
        <v>1.4188996289539159E-2</v>
      </c>
      <c r="K118" s="151">
        <f t="shared" si="17"/>
        <v>114686.30840522068</v>
      </c>
      <c r="L118" s="131"/>
      <c r="M118" s="131"/>
      <c r="N118" s="18">
        <f t="shared" si="18"/>
        <v>0</v>
      </c>
      <c r="O118" s="18">
        <f t="shared" si="18"/>
        <v>1</v>
      </c>
      <c r="Q118" s="18">
        <f t="shared" si="19"/>
        <v>1</v>
      </c>
      <c r="R118" s="27">
        <f t="shared" si="20"/>
        <v>1</v>
      </c>
      <c r="S118" s="18">
        <f t="shared" si="21"/>
        <v>1</v>
      </c>
    </row>
    <row r="119" spans="1:19" ht="15.75" x14ac:dyDescent="0.25">
      <c r="A119" s="213"/>
      <c r="B119" s="424">
        <f t="shared" si="13"/>
        <v>99</v>
      </c>
      <c r="C119" s="409" t="str">
        <f>'התחשיב הבסיסי'!C105</f>
        <v>שרון הללי אסא</v>
      </c>
      <c r="D119" s="425">
        <f>'התחשיב הבסיסי'!O105</f>
        <v>85450.673591298924</v>
      </c>
      <c r="E119" s="423">
        <v>0</v>
      </c>
      <c r="F119" s="426">
        <f t="shared" si="14"/>
        <v>72633.072552604077</v>
      </c>
      <c r="G119" s="591">
        <v>25948</v>
      </c>
      <c r="H119" s="559">
        <f t="shared" si="15"/>
        <v>12974</v>
      </c>
      <c r="I119" s="428">
        <f t="shared" si="16"/>
        <v>85450.673591298924</v>
      </c>
      <c r="J119" s="429">
        <f t="shared" si="22"/>
        <v>1.195522886133411E-2</v>
      </c>
      <c r="K119" s="151">
        <f t="shared" si="17"/>
        <v>96631.293452152342</v>
      </c>
      <c r="L119" s="131"/>
      <c r="M119" s="131"/>
      <c r="N119" s="18">
        <f t="shared" si="18"/>
        <v>0</v>
      </c>
      <c r="O119" s="18">
        <f t="shared" si="18"/>
        <v>1</v>
      </c>
      <c r="Q119" s="18">
        <f t="shared" si="19"/>
        <v>1</v>
      </c>
      <c r="R119" s="27">
        <f t="shared" si="20"/>
        <v>1</v>
      </c>
      <c r="S119" s="18">
        <f t="shared" si="21"/>
        <v>1</v>
      </c>
    </row>
    <row r="120" spans="1:19" ht="16.5" thickBot="1" x14ac:dyDescent="0.3">
      <c r="A120" s="214"/>
      <c r="B120" s="424">
        <f t="shared" si="13"/>
        <v>100</v>
      </c>
      <c r="C120" s="409" t="str">
        <f>'התחשיב הבסיסי'!C106</f>
        <v>להקת ג'אם</v>
      </c>
      <c r="D120" s="425">
        <f>'התחשיב הבסיסי'!O106</f>
        <v>66837.344179141204</v>
      </c>
      <c r="E120" s="423">
        <v>0</v>
      </c>
      <c r="F120" s="426">
        <f t="shared" si="14"/>
        <v>56811.742552270021</v>
      </c>
      <c r="G120" s="591">
        <v>0</v>
      </c>
      <c r="H120" s="559">
        <f t="shared" si="15"/>
        <v>0</v>
      </c>
      <c r="I120" s="428">
        <f t="shared" si="16"/>
        <v>56811.742552270021</v>
      </c>
      <c r="J120" s="429">
        <f t="shared" si="22"/>
        <v>7.9484146312539024E-3</v>
      </c>
      <c r="K120" s="428">
        <f t="shared" si="17"/>
        <v>64245.159638572317</v>
      </c>
      <c r="L120" s="131"/>
      <c r="M120" s="131"/>
      <c r="N120" s="18">
        <f t="shared" si="18"/>
        <v>0</v>
      </c>
      <c r="O120" s="18">
        <f t="shared" si="18"/>
        <v>1</v>
      </c>
      <c r="Q120" s="18">
        <f t="shared" si="19"/>
        <v>1</v>
      </c>
      <c r="R120" s="27">
        <f t="shared" si="20"/>
        <v>1</v>
      </c>
      <c r="S120" s="18">
        <f t="shared" si="21"/>
        <v>1</v>
      </c>
    </row>
    <row r="121" spans="1:19" ht="15.75" x14ac:dyDescent="0.25">
      <c r="B121" s="424" t="str">
        <f t="shared" ref="B121:B132" si="23">IF(C121="","",ROW()-20)</f>
        <v/>
      </c>
      <c r="C121" s="409" t="str">
        <f>'התחשיב הבסיסי'!C107</f>
        <v/>
      </c>
      <c r="D121" s="425" t="str">
        <f>'התחשיב הבסיסי'!O107</f>
        <v/>
      </c>
      <c r="E121" s="423"/>
      <c r="F121" s="426" t="str">
        <f t="shared" ref="F121:F132" si="24">IF(C121="","",IF(Q121=0,"",IF(E121=$E$3,$D$3*D121,$D$4*D121)))</f>
        <v/>
      </c>
      <c r="G121" s="591"/>
      <c r="H121" s="559" t="str">
        <f t="shared" ref="H121:H132" si="25">IF(C121="","",IF(R121=0,"",ROUNDDOWN(G121/$F$3,0)*$G$3))</f>
        <v/>
      </c>
      <c r="I121" s="428" t="str">
        <f t="shared" ref="I121:I132" si="26">IF(C121="","",IF(S121&lt;&gt;1,$S$1,MIN(D121,F121+H121)))</f>
        <v/>
      </c>
      <c r="J121" s="429" t="str">
        <f t="shared" ref="J121:J132" si="27">IF(C121="","",IF($S$18&lt;&gt;1,$S$1,IF(ISERR(I121/$I$133),"",I121/$I$133)))</f>
        <v/>
      </c>
      <c r="K121" s="428" t="str">
        <f t="shared" ref="K121:K126" si="28">IF(C121="","",IF(AND($S$18&lt;&gt;1,C121&lt;&gt;""),$S$1,J121*$K$2))</f>
        <v/>
      </c>
      <c r="L121" s="131"/>
      <c r="M121" s="131"/>
      <c r="N121" s="18" t="str">
        <f t="shared" si="18"/>
        <v/>
      </c>
      <c r="O121" s="18" t="str">
        <f t="shared" si="18"/>
        <v/>
      </c>
      <c r="Q121" s="18">
        <f t="shared" ref="Q121:Q126" si="29">IF(E121="",0,IF(ISERROR(MATCH(E121,$N$20:$O$20,0)),0,1))</f>
        <v>0</v>
      </c>
      <c r="R121" s="27">
        <f t="shared" ref="R121:R126" si="30">IFERROR(IF(G121*1&gt;=0,1,0),0)</f>
        <v>1</v>
      </c>
      <c r="S121" s="18">
        <f t="shared" ref="S121:S126" si="31">IF($C121="",1,IFERROR(IF(SUM(Q121:R121)=COUNT(Q121:R121),1,0),0))</f>
        <v>1</v>
      </c>
    </row>
    <row r="122" spans="1:19" ht="15.75" x14ac:dyDescent="0.25">
      <c r="B122" s="424" t="str">
        <f t="shared" si="23"/>
        <v/>
      </c>
      <c r="C122" s="409" t="str">
        <f>'התחשיב הבסיסי'!C108</f>
        <v/>
      </c>
      <c r="D122" s="425" t="str">
        <f>'התחשיב הבסיסי'!O108</f>
        <v/>
      </c>
      <c r="E122" s="423"/>
      <c r="F122" s="426" t="str">
        <f t="shared" si="24"/>
        <v/>
      </c>
      <c r="G122" s="591"/>
      <c r="H122" s="559" t="str">
        <f t="shared" si="25"/>
        <v/>
      </c>
      <c r="I122" s="428" t="str">
        <f t="shared" si="26"/>
        <v/>
      </c>
      <c r="J122" s="429" t="str">
        <f t="shared" si="27"/>
        <v/>
      </c>
      <c r="K122" s="428" t="str">
        <f t="shared" si="28"/>
        <v/>
      </c>
      <c r="L122" s="131"/>
      <c r="M122" s="131"/>
      <c r="N122" s="18" t="str">
        <f t="shared" ref="N122:O132" si="32">IF($C122="","",N$20)</f>
        <v/>
      </c>
      <c r="O122" s="18" t="str">
        <f t="shared" si="32"/>
        <v/>
      </c>
      <c r="Q122" s="18">
        <f t="shared" si="29"/>
        <v>0</v>
      </c>
      <c r="R122" s="27">
        <f t="shared" si="30"/>
        <v>1</v>
      </c>
      <c r="S122" s="18">
        <f t="shared" si="31"/>
        <v>1</v>
      </c>
    </row>
    <row r="123" spans="1:19" ht="15.75" x14ac:dyDescent="0.25">
      <c r="B123" s="424" t="str">
        <f t="shared" si="23"/>
        <v/>
      </c>
      <c r="C123" s="409" t="str">
        <f>'התחשיב הבסיסי'!C109</f>
        <v/>
      </c>
      <c r="D123" s="425" t="str">
        <f>'התחשיב הבסיסי'!O109</f>
        <v/>
      </c>
      <c r="E123" s="423"/>
      <c r="F123" s="426" t="str">
        <f t="shared" si="24"/>
        <v/>
      </c>
      <c r="G123" s="591"/>
      <c r="H123" s="559" t="str">
        <f t="shared" si="25"/>
        <v/>
      </c>
      <c r="I123" s="428" t="str">
        <f t="shared" si="26"/>
        <v/>
      </c>
      <c r="J123" s="429" t="str">
        <f t="shared" si="27"/>
        <v/>
      </c>
      <c r="K123" s="428" t="str">
        <f t="shared" si="28"/>
        <v/>
      </c>
      <c r="L123" s="131"/>
      <c r="M123" s="131"/>
      <c r="N123" s="18" t="str">
        <f t="shared" si="32"/>
        <v/>
      </c>
      <c r="O123" s="18" t="str">
        <f t="shared" si="32"/>
        <v/>
      </c>
      <c r="Q123" s="18">
        <f t="shared" si="29"/>
        <v>0</v>
      </c>
      <c r="R123" s="27">
        <f t="shared" si="30"/>
        <v>1</v>
      </c>
      <c r="S123" s="18">
        <f t="shared" si="31"/>
        <v>1</v>
      </c>
    </row>
    <row r="124" spans="1:19" ht="15.75" x14ac:dyDescent="0.25">
      <c r="B124" s="424" t="str">
        <f t="shared" si="23"/>
        <v/>
      </c>
      <c r="C124" s="409" t="str">
        <f>'התחשיב הבסיסי'!C110</f>
        <v/>
      </c>
      <c r="D124" s="425" t="str">
        <f>'התחשיב הבסיסי'!O110</f>
        <v/>
      </c>
      <c r="E124" s="423"/>
      <c r="F124" s="426" t="str">
        <f t="shared" si="24"/>
        <v/>
      </c>
      <c r="G124" s="591"/>
      <c r="H124" s="559" t="str">
        <f t="shared" si="25"/>
        <v/>
      </c>
      <c r="I124" s="428" t="str">
        <f t="shared" si="26"/>
        <v/>
      </c>
      <c r="J124" s="429" t="str">
        <f t="shared" si="27"/>
        <v/>
      </c>
      <c r="K124" s="428" t="str">
        <f t="shared" si="28"/>
        <v/>
      </c>
      <c r="L124" s="131"/>
      <c r="M124" s="131"/>
      <c r="N124" s="18" t="str">
        <f t="shared" si="32"/>
        <v/>
      </c>
      <c r="O124" s="18" t="str">
        <f t="shared" si="32"/>
        <v/>
      </c>
      <c r="Q124" s="18">
        <f t="shared" si="29"/>
        <v>0</v>
      </c>
      <c r="R124" s="27">
        <f t="shared" si="30"/>
        <v>1</v>
      </c>
      <c r="S124" s="18">
        <f t="shared" si="31"/>
        <v>1</v>
      </c>
    </row>
    <row r="125" spans="1:19" ht="15.75" x14ac:dyDescent="0.25">
      <c r="B125" s="424">
        <f t="shared" si="23"/>
        <v>105</v>
      </c>
      <c r="C125" s="409" t="str">
        <f>'התחשיב הבסיסי'!C111</f>
        <v>מורן אברג'ל יצחקי</v>
      </c>
      <c r="D125" s="425">
        <f>'התחשיב הבסיסי'!O111</f>
        <v>47347.211821728299</v>
      </c>
      <c r="E125" s="423">
        <v>0</v>
      </c>
      <c r="F125" s="426">
        <f t="shared" si="24"/>
        <v>40245.130048469051</v>
      </c>
      <c r="G125" s="591">
        <v>0</v>
      </c>
      <c r="H125" s="559">
        <f t="shared" si="25"/>
        <v>0</v>
      </c>
      <c r="I125" s="428">
        <f t="shared" si="26"/>
        <v>40245.130048469051</v>
      </c>
      <c r="J125" s="429">
        <f t="shared" si="27"/>
        <v>5.6306137805869124E-3</v>
      </c>
      <c r="K125" s="428">
        <f t="shared" si="28"/>
        <v>45510.922363631791</v>
      </c>
      <c r="L125" s="131"/>
      <c r="M125" s="131"/>
      <c r="N125" s="18">
        <f t="shared" si="32"/>
        <v>0</v>
      </c>
      <c r="O125" s="18">
        <f t="shared" si="32"/>
        <v>1</v>
      </c>
      <c r="Q125" s="18">
        <f t="shared" si="29"/>
        <v>1</v>
      </c>
      <c r="R125" s="27">
        <f t="shared" si="30"/>
        <v>1</v>
      </c>
      <c r="S125" s="18">
        <f t="shared" si="31"/>
        <v>1</v>
      </c>
    </row>
    <row r="126" spans="1:19" ht="15.75" x14ac:dyDescent="0.25">
      <c r="B126" s="424">
        <f t="shared" si="23"/>
        <v>106</v>
      </c>
      <c r="C126" s="409" t="str">
        <f>'התחשיב הבסיסי'!C112</f>
        <v>מיכל בן צבי</v>
      </c>
      <c r="D126" s="425">
        <f>'התחשיב הבסיסי'!O112</f>
        <v>62657.91340624544</v>
      </c>
      <c r="E126" s="423">
        <v>0</v>
      </c>
      <c r="F126" s="426">
        <f t="shared" si="24"/>
        <v>53259.226395308622</v>
      </c>
      <c r="G126" s="591">
        <v>0</v>
      </c>
      <c r="H126" s="559">
        <f t="shared" si="25"/>
        <v>0</v>
      </c>
      <c r="I126" s="428">
        <f t="shared" si="26"/>
        <v>53259.226395308622</v>
      </c>
      <c r="J126" s="429">
        <f t="shared" si="27"/>
        <v>7.4513893662080648E-3</v>
      </c>
      <c r="K126" s="428">
        <f t="shared" si="28"/>
        <v>60227.821719169362</v>
      </c>
      <c r="L126" s="131"/>
      <c r="M126" s="131"/>
      <c r="N126" s="18">
        <f t="shared" si="32"/>
        <v>0</v>
      </c>
      <c r="O126" s="18">
        <f t="shared" si="32"/>
        <v>1</v>
      </c>
      <c r="Q126" s="18">
        <f t="shared" si="29"/>
        <v>1</v>
      </c>
      <c r="R126" s="27">
        <f t="shared" si="30"/>
        <v>1</v>
      </c>
      <c r="S126" s="18">
        <f t="shared" si="31"/>
        <v>1</v>
      </c>
    </row>
    <row r="127" spans="1:19" ht="15.75" x14ac:dyDescent="0.25">
      <c r="B127" s="424">
        <f t="shared" si="23"/>
        <v>107</v>
      </c>
      <c r="C127" s="409" t="str">
        <f>'התחשיב הבסיסי'!C113</f>
        <v>מיקה קופפר</v>
      </c>
      <c r="D127" s="425">
        <f>'התחשיב הבסיסי'!O113</f>
        <v>54134.707648952455</v>
      </c>
      <c r="E127" s="423">
        <v>0</v>
      </c>
      <c r="F127" s="426">
        <f t="shared" si="24"/>
        <v>46014.501501609586</v>
      </c>
      <c r="G127" s="591">
        <v>0</v>
      </c>
      <c r="H127" s="559">
        <f t="shared" si="25"/>
        <v>0</v>
      </c>
      <c r="I127" s="428">
        <f t="shared" si="26"/>
        <v>46014.501501609586</v>
      </c>
      <c r="J127" s="429">
        <f t="shared" si="27"/>
        <v>6.4377947331706051E-3</v>
      </c>
      <c r="K127" s="428">
        <f t="shared" ref="K127:K132" si="33">IF(C127="","",IF(AND($S$18&lt;&gt;1,C127&lt;&gt;""),$S$1,J127*$K$2))</f>
        <v>52035.17550866097</v>
      </c>
      <c r="L127" s="131"/>
      <c r="M127" s="131"/>
      <c r="N127" s="18">
        <f t="shared" si="32"/>
        <v>0</v>
      </c>
      <c r="O127" s="18">
        <f t="shared" si="32"/>
        <v>1</v>
      </c>
      <c r="Q127" s="18">
        <f t="shared" ref="Q127:Q132" si="34">IF(E127="",0,IF(ISERROR(MATCH(E127,$N$20:$O$20,0)),0,1))</f>
        <v>1</v>
      </c>
      <c r="R127" s="27">
        <f t="shared" ref="R127:R132" si="35">IFERROR(IF(G127*1&gt;=0,1,0),0)</f>
        <v>1</v>
      </c>
      <c r="S127" s="18">
        <f t="shared" ref="S127:S132" si="36">IF($C127="",1,IFERROR(IF(SUM(Q127:R127)=COUNT(Q127:R127),1,0),0))</f>
        <v>1</v>
      </c>
    </row>
    <row r="128" spans="1:19" ht="15.75" x14ac:dyDescent="0.25">
      <c r="B128" s="424" t="str">
        <f t="shared" si="23"/>
        <v/>
      </c>
      <c r="C128" s="409" t="str">
        <f>'התחשיב הבסיסי'!C114</f>
        <v/>
      </c>
      <c r="D128" s="425" t="str">
        <f>'התחשיב הבסיסי'!O114</f>
        <v/>
      </c>
      <c r="E128" s="423"/>
      <c r="F128" s="426" t="str">
        <f t="shared" si="24"/>
        <v/>
      </c>
      <c r="G128" s="591"/>
      <c r="H128" s="559" t="str">
        <f t="shared" si="25"/>
        <v/>
      </c>
      <c r="I128" s="428" t="str">
        <f t="shared" si="26"/>
        <v/>
      </c>
      <c r="J128" s="429" t="str">
        <f t="shared" si="27"/>
        <v/>
      </c>
      <c r="K128" s="428" t="str">
        <f t="shared" si="33"/>
        <v/>
      </c>
      <c r="L128" s="131"/>
      <c r="M128" s="131"/>
      <c r="N128" s="18" t="str">
        <f t="shared" si="32"/>
        <v/>
      </c>
      <c r="O128" s="18" t="str">
        <f t="shared" si="32"/>
        <v/>
      </c>
      <c r="Q128" s="18">
        <f t="shared" si="34"/>
        <v>0</v>
      </c>
      <c r="R128" s="27">
        <f t="shared" si="35"/>
        <v>1</v>
      </c>
      <c r="S128" s="18">
        <f t="shared" si="36"/>
        <v>1</v>
      </c>
    </row>
    <row r="129" spans="2:19" ht="15.75" x14ac:dyDescent="0.25">
      <c r="B129" s="424">
        <f t="shared" si="23"/>
        <v>109</v>
      </c>
      <c r="C129" s="409" t="str">
        <f>'התחשיב הבסיסי'!C115</f>
        <v>נועה שילה</v>
      </c>
      <c r="D129" s="425">
        <f>'התחשיב הבסיסי'!O115</f>
        <v>58211.889296247049</v>
      </c>
      <c r="E129" s="423">
        <v>0</v>
      </c>
      <c r="F129" s="426">
        <f t="shared" si="24"/>
        <v>49480.105901809991</v>
      </c>
      <c r="G129" s="591">
        <v>0</v>
      </c>
      <c r="H129" s="559">
        <f t="shared" si="25"/>
        <v>0</v>
      </c>
      <c r="I129" s="428">
        <f t="shared" si="26"/>
        <v>49480.105901809991</v>
      </c>
      <c r="J129" s="429">
        <f t="shared" si="27"/>
        <v>6.9226603521990457E-3</v>
      </c>
      <c r="K129" s="428">
        <f t="shared" si="33"/>
        <v>55954.229878981765</v>
      </c>
      <c r="L129" s="131"/>
      <c r="M129" s="131"/>
      <c r="N129" s="18">
        <f t="shared" si="32"/>
        <v>0</v>
      </c>
      <c r="O129" s="18">
        <f t="shared" si="32"/>
        <v>1</v>
      </c>
      <c r="Q129" s="18">
        <f t="shared" si="34"/>
        <v>1</v>
      </c>
      <c r="R129" s="27">
        <f t="shared" si="35"/>
        <v>1</v>
      </c>
      <c r="S129" s="18">
        <f t="shared" si="36"/>
        <v>1</v>
      </c>
    </row>
    <row r="130" spans="2:19" ht="15.75" x14ac:dyDescent="0.25">
      <c r="B130" s="424" t="str">
        <f t="shared" si="23"/>
        <v/>
      </c>
      <c r="C130" s="409" t="str">
        <f>'התחשיב הבסיסי'!C116</f>
        <v/>
      </c>
      <c r="D130" s="425" t="str">
        <f>'התחשיב הבסיסי'!O116</f>
        <v/>
      </c>
      <c r="E130" s="423"/>
      <c r="F130" s="426" t="str">
        <f t="shared" si="24"/>
        <v/>
      </c>
      <c r="G130" s="591"/>
      <c r="H130" s="559" t="str">
        <f t="shared" si="25"/>
        <v/>
      </c>
      <c r="I130" s="428" t="str">
        <f t="shared" si="26"/>
        <v/>
      </c>
      <c r="J130" s="429" t="str">
        <f t="shared" si="27"/>
        <v/>
      </c>
      <c r="K130" s="428" t="str">
        <f t="shared" si="33"/>
        <v/>
      </c>
      <c r="L130" s="131"/>
      <c r="M130" s="131"/>
      <c r="N130" s="18" t="str">
        <f t="shared" si="32"/>
        <v/>
      </c>
      <c r="O130" s="18" t="str">
        <f t="shared" si="32"/>
        <v/>
      </c>
      <c r="Q130" s="18">
        <f t="shared" si="34"/>
        <v>0</v>
      </c>
      <c r="R130" s="27">
        <f t="shared" si="35"/>
        <v>1</v>
      </c>
      <c r="S130" s="18">
        <f t="shared" si="36"/>
        <v>1</v>
      </c>
    </row>
    <row r="131" spans="2:19" ht="15.75" x14ac:dyDescent="0.25">
      <c r="B131" s="424">
        <f t="shared" si="23"/>
        <v>111</v>
      </c>
      <c r="C131" s="409" t="str">
        <f>'התחשיב הבסיסי'!C117</f>
        <v>עדי בוטרוס אמנויות הבמה (ע"ר)</v>
      </c>
      <c r="D131" s="425">
        <f>'התחשיב הבסיסי'!O117</f>
        <v>123716.32143741392</v>
      </c>
      <c r="E131" s="423">
        <v>0</v>
      </c>
      <c r="F131" s="426">
        <f t="shared" si="24"/>
        <v>105158.87322180183</v>
      </c>
      <c r="G131" s="591">
        <v>0</v>
      </c>
      <c r="H131" s="559">
        <f t="shared" si="25"/>
        <v>0</v>
      </c>
      <c r="I131" s="428">
        <f t="shared" si="26"/>
        <v>105158.87322180183</v>
      </c>
      <c r="J131" s="429">
        <f t="shared" si="27"/>
        <v>1.471256273741855E-2</v>
      </c>
      <c r="K131" s="428">
        <f t="shared" si="33"/>
        <v>118918.17244174812</v>
      </c>
      <c r="L131" s="131"/>
      <c r="M131" s="131"/>
      <c r="N131" s="18">
        <f t="shared" si="32"/>
        <v>0</v>
      </c>
      <c r="O131" s="18">
        <f t="shared" si="32"/>
        <v>1</v>
      </c>
      <c r="Q131" s="18">
        <f t="shared" si="34"/>
        <v>1</v>
      </c>
      <c r="R131" s="27">
        <f t="shared" si="35"/>
        <v>1</v>
      </c>
      <c r="S131" s="18">
        <f t="shared" si="36"/>
        <v>1</v>
      </c>
    </row>
    <row r="132" spans="2:19" ht="15.75" x14ac:dyDescent="0.25">
      <c r="B132" s="424" t="str">
        <f t="shared" si="23"/>
        <v/>
      </c>
      <c r="C132" s="409" t="str">
        <f>'התחשיב הבסיסי'!C118</f>
        <v/>
      </c>
      <c r="D132" s="425" t="str">
        <f>'התחשיב הבסיסי'!O118</f>
        <v/>
      </c>
      <c r="E132" s="423"/>
      <c r="F132" s="426" t="str">
        <f t="shared" si="24"/>
        <v/>
      </c>
      <c r="G132" s="591"/>
      <c r="H132" s="559" t="str">
        <f t="shared" si="25"/>
        <v/>
      </c>
      <c r="I132" s="428" t="str">
        <f t="shared" si="26"/>
        <v/>
      </c>
      <c r="J132" s="429" t="str">
        <f t="shared" si="27"/>
        <v/>
      </c>
      <c r="K132" s="428" t="str">
        <f t="shared" si="33"/>
        <v/>
      </c>
      <c r="L132" s="131"/>
      <c r="M132" s="131"/>
      <c r="N132" s="18" t="str">
        <f t="shared" si="32"/>
        <v/>
      </c>
      <c r="O132" s="18" t="str">
        <f t="shared" si="32"/>
        <v/>
      </c>
      <c r="Q132" s="18">
        <f t="shared" si="34"/>
        <v>0</v>
      </c>
      <c r="R132" s="27">
        <f t="shared" si="35"/>
        <v>1</v>
      </c>
      <c r="S132" s="18">
        <f t="shared" si="36"/>
        <v>1</v>
      </c>
    </row>
    <row r="133" spans="2:19" ht="16.5" thickBot="1" x14ac:dyDescent="0.3">
      <c r="B133" s="824" t="s">
        <v>41</v>
      </c>
      <c r="C133" s="825"/>
      <c r="D133" s="132">
        <f t="shared" ref="D133:K133" si="37">SUM(D21:D132)</f>
        <v>8082763.9999999991</v>
      </c>
      <c r="E133" s="133">
        <f t="shared" si="37"/>
        <v>1</v>
      </c>
      <c r="F133" s="132">
        <f t="shared" si="37"/>
        <v>6790467.8017206602</v>
      </c>
      <c r="G133" s="92">
        <f t="shared" si="37"/>
        <v>1685885</v>
      </c>
      <c r="H133" s="134">
        <f t="shared" si="37"/>
        <v>842940</v>
      </c>
      <c r="I133" s="135">
        <f t="shared" si="37"/>
        <v>7147556.486155238</v>
      </c>
      <c r="J133" s="136">
        <f t="shared" si="37"/>
        <v>1</v>
      </c>
      <c r="K133" s="137">
        <f t="shared" si="37"/>
        <v>8082763.9999999935</v>
      </c>
    </row>
  </sheetData>
  <sheetProtection algorithmName="SHA-512" hashValue="hOg7nBsMasIBAFk+S4f+xNV8+81TnQjNmmu9/r8ukgpUwCa924JFTy2559fn7BGgnY4ZZJOQl8rtqaHg1X+XUA==" saltValue="rdXE75FnOF4ErFp88/Ns4g==" spinCount="100000" sheet="1" scenarios="1" formatColumns="0" formatRows="0" autoFilter="0"/>
  <autoFilter ref="A20:S133" xr:uid="{00000000-0001-0000-0D00-000000000000}"/>
  <mergeCells count="14">
    <mergeCell ref="I19:I20"/>
    <mergeCell ref="J19:J20"/>
    <mergeCell ref="K19:K20"/>
    <mergeCell ref="B133:C133"/>
    <mergeCell ref="C1:E1"/>
    <mergeCell ref="F1:G1"/>
    <mergeCell ref="I1:J1"/>
    <mergeCell ref="I2:J2"/>
    <mergeCell ref="B18:K18"/>
    <mergeCell ref="B19:B20"/>
    <mergeCell ref="C19:C20"/>
    <mergeCell ref="D19:D20"/>
    <mergeCell ref="F19:F20"/>
    <mergeCell ref="H19:H20"/>
  </mergeCells>
  <conditionalFormatting sqref="C3:E4">
    <cfRule type="containsBlanks" dxfId="125" priority="52">
      <formula>LEN(TRIM(C3))=0</formula>
    </cfRule>
  </conditionalFormatting>
  <conditionalFormatting sqref="D21:I132">
    <cfRule type="expression" dxfId="124" priority="1">
      <formula>AND($C21="",D21&lt;&gt;"")</formula>
    </cfRule>
  </conditionalFormatting>
  <conditionalFormatting sqref="E21:E132">
    <cfRule type="expression" dxfId="123" priority="43">
      <formula>$C21=""</formula>
    </cfRule>
    <cfRule type="expression" dxfId="122" priority="44">
      <formula>$C21&lt;&gt;""</formula>
    </cfRule>
  </conditionalFormatting>
  <conditionalFormatting sqref="F3:G3">
    <cfRule type="containsBlanks" dxfId="121" priority="51">
      <formula>LEN(TRIM(F3))=0</formula>
    </cfRule>
  </conditionalFormatting>
  <conditionalFormatting sqref="G21:G132">
    <cfRule type="expression" dxfId="120" priority="2">
      <formula>$C21=""</formula>
    </cfRule>
    <cfRule type="expression" dxfId="119" priority="3">
      <formula>$C21&lt;&gt;""</formula>
    </cfRule>
  </conditionalFormatting>
  <conditionalFormatting sqref="H21:M132 B21:D132 F21:F132">
    <cfRule type="containsBlanks" dxfId="118" priority="59">
      <formula>LEN(TRIM(B21))=0</formula>
    </cfRule>
  </conditionalFormatting>
  <conditionalFormatting sqref="I21:K132">
    <cfRule type="expression" dxfId="117" priority="40">
      <formula>I21=$S$1</formula>
    </cfRule>
  </conditionalFormatting>
  <conditionalFormatting sqref="K1:M2">
    <cfRule type="containsBlanks" dxfId="116" priority="56">
      <formula>LEN(TRIM(K1))=0</formula>
    </cfRule>
  </conditionalFormatting>
  <dataValidations count="2">
    <dataValidation type="list" allowBlank="1" showInputMessage="1" showErrorMessage="1" errorTitle="טעות בהזנה" error="יש להזין 0 או 1 _x000a_0  = לא מוסדי_x000a_1 - כן מוסדי_x000a_" sqref="E21:E132" xr:uid="{00000000-0002-0000-0D00-000000000000}">
      <formula1>$N21:$O21</formula1>
    </dataValidation>
    <dataValidation type="decimal" operator="greaterThanOrEqual" allowBlank="1" showInputMessage="1" showErrorMessage="1" errorTitle="טעות בהזנה" error="יש להזין סכום שאינו שלילי" sqref="G21:G132" xr:uid="{00000000-0002-0000-0D00-000001000000}">
      <formula1>0</formula1>
    </dataValidation>
  </dataValidations>
  <printOptions horizontalCentered="1"/>
  <pageMargins left="0.27559055118110237" right="0.19685039370078741" top="0.62992125984251968" bottom="0.47244094488188981" header="0.31496062992125984" footer="0.23622047244094491"/>
  <pageSetup paperSize="9" scale="37" orientation="portrait" horizontalDpi="1200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6">
    <tabColor theme="4" tint="-0.249977111117893"/>
    <pageSetUpPr fitToPage="1"/>
  </sheetPr>
  <dimension ref="B1:AO138"/>
  <sheetViews>
    <sheetView rightToLeft="1" view="pageBreakPreview" zoomScaleNormal="100" zoomScaleSheetLayoutView="100" workbookViewId="0"/>
  </sheetViews>
  <sheetFormatPr defaultColWidth="9.140625" defaultRowHeight="12.75" x14ac:dyDescent="0.2"/>
  <cols>
    <col min="1" max="1" width="4.42578125" style="21" customWidth="1"/>
    <col min="2" max="2" width="24" style="21" customWidth="1"/>
    <col min="3" max="3" width="36" style="21" bestFit="1" customWidth="1"/>
    <col min="4" max="4" width="11.140625" style="21" bestFit="1" customWidth="1"/>
    <col min="5" max="6" width="23.42578125" style="21" customWidth="1"/>
    <col min="7" max="7" width="22" style="21" customWidth="1"/>
    <col min="8" max="8" width="14.7109375" style="21" hidden="1" customWidth="1"/>
    <col min="9" max="9" width="18.7109375" style="21" hidden="1" customWidth="1"/>
    <col min="10" max="10" width="17.28515625" style="21" customWidth="1"/>
    <col min="11" max="11" width="16.28515625" style="21" customWidth="1"/>
    <col min="12" max="12" width="21.7109375" style="21" customWidth="1"/>
    <col min="13" max="13" width="5.140625" style="21" hidden="1" customWidth="1"/>
    <col min="14" max="14" width="2.28515625" style="21" hidden="1" customWidth="1"/>
    <col min="15" max="16" width="9.140625" style="21" hidden="1" customWidth="1"/>
    <col min="17" max="17" width="11.42578125" style="21" hidden="1" customWidth="1"/>
    <col min="18" max="18" width="7.28515625" style="21" hidden="1" customWidth="1"/>
    <col min="19" max="24" width="9.140625" style="21" hidden="1" customWidth="1"/>
    <col min="25" max="40" width="9.140625" style="21" customWidth="1"/>
    <col min="41" max="16384" width="9.140625" style="21"/>
  </cols>
  <sheetData>
    <row r="1" spans="2:21" ht="27" customHeight="1" x14ac:dyDescent="0.2">
      <c r="B1" s="100" t="str">
        <f>'פרמטרים לעקרונות חישוב התמיכה'!$B$1</f>
        <v>שנה</v>
      </c>
      <c r="C1" s="13">
        <f>'פרמטרים לעקרונות חישוב התמיכה'!$C$1</f>
        <v>2025</v>
      </c>
      <c r="D1" s="838" t="str">
        <f>IF(E133&lt;=E5,""," סך התמיכה בשנה קודמת חורגת מתקציב שנה קודמת, בדוק נתוני הזנה")</f>
        <v/>
      </c>
      <c r="E1" s="839"/>
      <c r="F1" s="839"/>
      <c r="G1" s="839"/>
      <c r="H1" s="839"/>
      <c r="I1" s="839"/>
      <c r="J1" s="839"/>
      <c r="K1" s="839"/>
      <c r="L1" s="839"/>
      <c r="U1" s="21" t="s">
        <v>249</v>
      </c>
    </row>
    <row r="2" spans="2:21" ht="47.25" customHeight="1" thickBot="1" x14ac:dyDescent="0.25">
      <c r="B2" s="101" t="str">
        <f>'פרמטרים לעקרונות חישוב התמיכה'!$B$2</f>
        <v>תקציב התמיכה</v>
      </c>
      <c r="C2" s="14">
        <f>'פרמטרים לעקרונות חישוב התמיכה'!$C$2</f>
        <v>8082764</v>
      </c>
      <c r="D2" s="838"/>
      <c r="E2" s="839"/>
      <c r="F2" s="839"/>
      <c r="G2" s="839"/>
      <c r="H2" s="839"/>
      <c r="I2" s="839"/>
      <c r="J2" s="839"/>
      <c r="K2" s="839"/>
      <c r="L2" s="839"/>
    </row>
    <row r="3" spans="2:21" ht="13.5" customHeight="1" x14ac:dyDescent="0.2">
      <c r="E3" s="430" t="str">
        <f>"סך התקציב בשנת "&amp;C1-1</f>
        <v>סך התקציב בשנת 2024</v>
      </c>
    </row>
    <row r="4" spans="2:21" ht="16.5" thickBot="1" x14ac:dyDescent="0.25">
      <c r="E4" s="320" t="s">
        <v>81</v>
      </c>
    </row>
    <row r="5" spans="2:21" x14ac:dyDescent="0.2">
      <c r="E5" s="431">
        <v>7575634</v>
      </c>
    </row>
    <row r="6" spans="2:21" ht="13.5" thickBot="1" x14ac:dyDescent="0.25"/>
    <row r="7" spans="2:21" hidden="1" x14ac:dyDescent="0.2"/>
    <row r="8" spans="2:21" hidden="1" x14ac:dyDescent="0.2"/>
    <row r="9" spans="2:21" hidden="1" x14ac:dyDescent="0.2"/>
    <row r="10" spans="2:21" hidden="1" x14ac:dyDescent="0.2"/>
    <row r="11" spans="2:21" hidden="1" x14ac:dyDescent="0.2"/>
    <row r="12" spans="2:21" hidden="1" x14ac:dyDescent="0.2"/>
    <row r="13" spans="2:21" hidden="1" x14ac:dyDescent="0.2"/>
    <row r="14" spans="2:21" hidden="1" x14ac:dyDescent="0.2"/>
    <row r="15" spans="2:21" hidden="1" x14ac:dyDescent="0.2"/>
    <row r="16" spans="2:21" hidden="1" x14ac:dyDescent="0.2"/>
    <row r="17" spans="2:21" ht="13.5" hidden="1" thickBot="1" x14ac:dyDescent="0.25"/>
    <row r="18" spans="2:21" ht="19.5" thickBot="1" x14ac:dyDescent="0.35">
      <c r="B18" s="841" t="s">
        <v>262</v>
      </c>
      <c r="C18" s="842"/>
      <c r="D18" s="842"/>
      <c r="E18" s="842"/>
      <c r="F18" s="842"/>
      <c r="G18" s="842"/>
      <c r="H18" s="842"/>
      <c r="I18" s="842"/>
      <c r="J18" s="842"/>
      <c r="K18" s="842"/>
      <c r="L18" s="842"/>
      <c r="U18" s="18">
        <f>IF(AND(SUM(U21:U120)=COUNT(U21:U120),E5&gt;=E133),1,0)</f>
        <v>1</v>
      </c>
    </row>
    <row r="19" spans="2:21" ht="47.25" x14ac:dyDescent="0.2">
      <c r="B19" s="836" t="s">
        <v>206</v>
      </c>
      <c r="C19" s="820" t="str">
        <f>'מוסדי ותמיכה ממקורות אחרים'!C19</f>
        <v>שם המוסד</v>
      </c>
      <c r="D19" s="820" t="s">
        <v>263</v>
      </c>
      <c r="E19" s="627" t="s">
        <v>1013</v>
      </c>
      <c r="F19" s="385" t="s">
        <v>264</v>
      </c>
      <c r="G19" s="846" t="s">
        <v>265</v>
      </c>
      <c r="H19" s="321"/>
      <c r="I19" s="820" t="s">
        <v>115</v>
      </c>
      <c r="J19" s="820" t="s">
        <v>266</v>
      </c>
      <c r="K19" s="820" t="s">
        <v>267</v>
      </c>
      <c r="L19" s="822" t="s">
        <v>268</v>
      </c>
      <c r="R19" s="840" t="s">
        <v>269</v>
      </c>
      <c r="S19" s="840" t="s">
        <v>270</v>
      </c>
      <c r="T19" s="138"/>
    </row>
    <row r="20" spans="2:21" ht="16.5" thickBot="1" x14ac:dyDescent="0.25">
      <c r="B20" s="843"/>
      <c r="C20" s="844"/>
      <c r="D20" s="844"/>
      <c r="E20" s="628" t="s">
        <v>81</v>
      </c>
      <c r="F20" s="386" t="s">
        <v>78</v>
      </c>
      <c r="G20" s="847"/>
      <c r="H20" s="322"/>
      <c r="I20" s="844"/>
      <c r="J20" s="844"/>
      <c r="K20" s="844"/>
      <c r="L20" s="845"/>
      <c r="P20" s="18">
        <v>0</v>
      </c>
      <c r="Q20" s="18">
        <v>1</v>
      </c>
      <c r="R20" s="840"/>
      <c r="S20" s="840"/>
      <c r="T20" s="138"/>
      <c r="U20" s="18" t="s">
        <v>260</v>
      </c>
    </row>
    <row r="21" spans="2:21" ht="15.75" x14ac:dyDescent="0.25">
      <c r="B21" s="126">
        <f>IF(C21="","",ROW()-20)</f>
        <v>1</v>
      </c>
      <c r="C21" s="127" t="str">
        <f>'מוסדי ותמיכה ממקורות אחרים'!C21</f>
        <v>סילביה דוראן</v>
      </c>
      <c r="D21" s="408">
        <f>IF(C21="","",'מוסדי ותמיכה ממקורות אחרים'!J21)</f>
        <v>1.247289396034445E-3</v>
      </c>
      <c r="E21" s="130">
        <f>IF(C21="","",'סיכום לועדה- הזנת נתונים'!O21)</f>
        <v>28695</v>
      </c>
      <c r="F21" s="387">
        <v>0</v>
      </c>
      <c r="G21" s="129">
        <f>IF($C21="","",IF($U21&lt;&gt;1,$U$1,E21/$E$5))</f>
        <v>3.7878017866227434E-3</v>
      </c>
      <c r="H21" s="140"/>
      <c r="I21" s="130"/>
      <c r="J21" s="129">
        <f>IF($C21="","",IF($U21&lt;&gt;1,$U$1,IF(F21=1,D21,AVERAGE($G21,$D21))))</f>
        <v>2.5175455913285941E-3</v>
      </c>
      <c r="K21" s="129">
        <f t="shared" ref="K21:K52" si="0">IF(C21="","",IF($U$18&lt;&gt;1,$U$1,J21/$J$133*100%))</f>
        <v>2.5340699218652607E-3</v>
      </c>
      <c r="L21" s="130">
        <f t="shared" ref="L21:L52" si="1">IF(C21="","",IF(AND($U$18&lt;&gt;1),$U$1,K21*$C$2))</f>
        <v>20482.289137935342</v>
      </c>
      <c r="P21" s="18">
        <f>IF($C21="","",P$20)</f>
        <v>0</v>
      </c>
      <c r="Q21" s="18">
        <f>IF($C21="","",Q$20)</f>
        <v>1</v>
      </c>
      <c r="R21" s="21">
        <f t="shared" ref="R21:R52" si="2">IF(D21=$U$1,0,1)</f>
        <v>1</v>
      </c>
      <c r="S21" s="21">
        <f>IF(E21="",0,IFERROR(IF(E21&gt;=0,1,0),0))</f>
        <v>1</v>
      </c>
      <c r="T21" s="18"/>
      <c r="U21" s="21">
        <f>IF($C21="",1,IFERROR(IF(SUM(R21:S21)=COUNT(R21:S21),1,0),0))</f>
        <v>1</v>
      </c>
    </row>
    <row r="22" spans="2:21" ht="15.75" x14ac:dyDescent="0.25">
      <c r="B22" s="126">
        <f t="shared" ref="B22:B85" si="3">IF(C22="","",ROW()-20)</f>
        <v>2</v>
      </c>
      <c r="C22" s="127" t="str">
        <f>'מוסדי ותמיכה ממקורות אחרים'!C22</f>
        <v>רנה שינפלד</v>
      </c>
      <c r="D22" s="408">
        <f>IF(C22="","",'מוסדי ותמיכה ממקורות אחרים'!J22)</f>
        <v>1.126045450967743E-2</v>
      </c>
      <c r="E22" s="130">
        <f>IF(C22="","",'סיכום לועדה- הזנת נתונים'!O22)</f>
        <v>119206</v>
      </c>
      <c r="F22" s="387">
        <v>0</v>
      </c>
      <c r="G22" s="129">
        <f>IF($C22="","",IF($U22&lt;&gt;1,$U$1,E22/$E$5))</f>
        <v>1.5735448676638814E-2</v>
      </c>
      <c r="H22" s="140"/>
      <c r="I22" s="130"/>
      <c r="J22" s="129">
        <f t="shared" ref="J22:J85" si="4">IF($C22="","",IF($U22&lt;&gt;1,$U$1,IF(F22=1,D22,AVERAGE($G22,$D22))))</f>
        <v>1.3497951593158121E-2</v>
      </c>
      <c r="K22" s="129">
        <f t="shared" si="0"/>
        <v>1.3586547650548909E-2</v>
      </c>
      <c r="L22" s="130">
        <f t="shared" si="1"/>
        <v>109816.8582341413</v>
      </c>
      <c r="P22" s="18">
        <f t="shared" ref="P22:Q53" si="5">IF($C22="","",P$20)</f>
        <v>0</v>
      </c>
      <c r="Q22" s="18">
        <f t="shared" si="5"/>
        <v>1</v>
      </c>
      <c r="R22" s="21">
        <f t="shared" si="2"/>
        <v>1</v>
      </c>
      <c r="S22" s="21">
        <f t="shared" ref="S22:S85" si="6">IF(E22="",0,IFERROR(IF(E22&gt;=0,1,0),0))</f>
        <v>1</v>
      </c>
      <c r="T22" s="18"/>
      <c r="U22" s="21">
        <f t="shared" ref="U22:U85" si="7">IF($C22="",1,IFERROR(IF(SUM(R22:S22)=COUNT(R22:S22),1,0),0))</f>
        <v>1</v>
      </c>
    </row>
    <row r="23" spans="2:21" ht="16.5" customHeight="1" x14ac:dyDescent="0.25">
      <c r="B23" s="126">
        <f t="shared" si="3"/>
        <v>3</v>
      </c>
      <c r="C23" s="127" t="str">
        <f>'מוסדי ותמיכה ממקורות אחרים'!C23</f>
        <v>אבי קייזר וסרג'יו אנטוניניו</v>
      </c>
      <c r="D23" s="408">
        <f>IF(C23="","",'מוסדי ותמיכה ממקורות אחרים'!J23)</f>
        <v>7.9825261840914784E-3</v>
      </c>
      <c r="E23" s="130">
        <f>IF(C23="","",'סיכום לועדה- הזנת נתונים'!O23)</f>
        <v>63582</v>
      </c>
      <c r="F23" s="387">
        <v>0</v>
      </c>
      <c r="G23" s="129">
        <f t="shared" ref="G23:G85" si="8">IF($C23="","",IF($U23&lt;&gt;1,$U$1,E23/$E$5))</f>
        <v>8.392960905978299E-3</v>
      </c>
      <c r="H23" s="140"/>
      <c r="I23" s="130"/>
      <c r="J23" s="129">
        <f t="shared" si="4"/>
        <v>8.1877435450348895E-3</v>
      </c>
      <c r="K23" s="129">
        <f t="shared" si="0"/>
        <v>8.2414851659031001E-3</v>
      </c>
      <c r="L23" s="130">
        <f t="shared" si="1"/>
        <v>66613.97960549561</v>
      </c>
      <c r="P23" s="18">
        <f t="shared" si="5"/>
        <v>0</v>
      </c>
      <c r="Q23" s="18">
        <f t="shared" si="5"/>
        <v>1</v>
      </c>
      <c r="R23" s="21">
        <f t="shared" si="2"/>
        <v>1</v>
      </c>
      <c r="S23" s="21">
        <f t="shared" si="6"/>
        <v>1</v>
      </c>
      <c r="T23" s="18"/>
      <c r="U23" s="21">
        <f t="shared" si="7"/>
        <v>1</v>
      </c>
    </row>
    <row r="24" spans="2:21" ht="15.75" x14ac:dyDescent="0.25">
      <c r="B24" s="126" t="str">
        <f t="shared" si="3"/>
        <v/>
      </c>
      <c r="C24" s="127" t="str">
        <f>'מוסדי ותמיכה ממקורות אחרים'!C24</f>
        <v/>
      </c>
      <c r="D24" s="408" t="str">
        <f>IF(C24="","",'מוסדי ותמיכה ממקורות אחרים'!J24)</f>
        <v/>
      </c>
      <c r="E24" s="130" t="str">
        <f>IF(C24="","",'סיכום לועדה- הזנת נתונים'!O24)</f>
        <v/>
      </c>
      <c r="F24" s="387"/>
      <c r="G24" s="129" t="str">
        <f t="shared" si="8"/>
        <v/>
      </c>
      <c r="H24" s="140"/>
      <c r="I24" s="130"/>
      <c r="J24" s="129" t="str">
        <f t="shared" si="4"/>
        <v/>
      </c>
      <c r="K24" s="129" t="str">
        <f t="shared" si="0"/>
        <v/>
      </c>
      <c r="L24" s="130" t="str">
        <f t="shared" si="1"/>
        <v/>
      </c>
      <c r="P24" s="18" t="str">
        <f t="shared" si="5"/>
        <v/>
      </c>
      <c r="Q24" s="18" t="str">
        <f t="shared" si="5"/>
        <v/>
      </c>
      <c r="R24" s="21">
        <f t="shared" si="2"/>
        <v>1</v>
      </c>
      <c r="S24" s="21">
        <f t="shared" si="6"/>
        <v>0</v>
      </c>
      <c r="T24" s="18"/>
      <c r="U24" s="21">
        <f t="shared" si="7"/>
        <v>1</v>
      </c>
    </row>
    <row r="25" spans="2:21" ht="15.75" x14ac:dyDescent="0.25">
      <c r="B25" s="126">
        <f t="shared" si="3"/>
        <v>5</v>
      </c>
      <c r="C25" s="127" t="str">
        <f>'מוסדי ותמיכה ממקורות אחרים'!C25</f>
        <v>אדוה ירמיהו</v>
      </c>
      <c r="D25" s="408">
        <f>IF(C25="","",'מוסדי ותמיכה ממקורות אחרים'!J25)</f>
        <v>1.2124907175598392E-2</v>
      </c>
      <c r="E25" s="130">
        <f>IF(C25="","",'סיכום לועדה- הזנת נתונים'!O25)</f>
        <v>89585</v>
      </c>
      <c r="F25" s="387">
        <v>0</v>
      </c>
      <c r="G25" s="129">
        <f t="shared" si="8"/>
        <v>1.1825412896135161E-2</v>
      </c>
      <c r="H25" s="140"/>
      <c r="I25" s="139"/>
      <c r="J25" s="129">
        <f t="shared" si="4"/>
        <v>1.1975160035866777E-2</v>
      </c>
      <c r="K25" s="129">
        <f t="shared" si="0"/>
        <v>1.2053760996796233E-2</v>
      </c>
      <c r="L25" s="130">
        <f t="shared" si="1"/>
        <v>97427.705449508707</v>
      </c>
      <c r="P25" s="18">
        <f t="shared" si="5"/>
        <v>0</v>
      </c>
      <c r="Q25" s="18">
        <f t="shared" si="5"/>
        <v>1</v>
      </c>
      <c r="R25" s="21">
        <f t="shared" si="2"/>
        <v>1</v>
      </c>
      <c r="S25" s="21">
        <f t="shared" si="6"/>
        <v>1</v>
      </c>
      <c r="T25" s="18"/>
      <c r="U25" s="21">
        <f t="shared" si="7"/>
        <v>1</v>
      </c>
    </row>
    <row r="26" spans="2:21" ht="15.75" x14ac:dyDescent="0.25">
      <c r="B26" s="126">
        <f t="shared" si="3"/>
        <v>6</v>
      </c>
      <c r="C26" s="127" t="str">
        <f>'מוסדי ותמיכה ממקורות אחרים'!C26</f>
        <v>אהרונה ישראל</v>
      </c>
      <c r="D26" s="408">
        <f>IF(C26="","",'מוסדי ותמיכה ממקורות אחרים'!J26)</f>
        <v>4.7387228234080014E-3</v>
      </c>
      <c r="E26" s="130">
        <f>IF(C26="","",'סיכום לועדה- הזנת נתונים'!O26)</f>
        <v>61327</v>
      </c>
      <c r="F26" s="387">
        <v>0</v>
      </c>
      <c r="G26" s="129">
        <f t="shared" si="8"/>
        <v>8.0952960504691758E-3</v>
      </c>
      <c r="H26" s="140"/>
      <c r="I26" s="139"/>
      <c r="J26" s="129">
        <f t="shared" si="4"/>
        <v>6.417009436938589E-3</v>
      </c>
      <c r="K26" s="129">
        <f t="shared" si="0"/>
        <v>6.4591285490444884E-3</v>
      </c>
      <c r="L26" s="130">
        <f t="shared" si="1"/>
        <v>52207.611707589029</v>
      </c>
      <c r="P26" s="18">
        <f t="shared" si="5"/>
        <v>0</v>
      </c>
      <c r="Q26" s="18">
        <f t="shared" si="5"/>
        <v>1</v>
      </c>
      <c r="R26" s="21">
        <f t="shared" si="2"/>
        <v>1</v>
      </c>
      <c r="S26" s="21">
        <f t="shared" si="6"/>
        <v>1</v>
      </c>
      <c r="T26" s="18"/>
      <c r="U26" s="21">
        <f t="shared" si="7"/>
        <v>1</v>
      </c>
    </row>
    <row r="27" spans="2:21" ht="15.75" x14ac:dyDescent="0.25">
      <c r="B27" s="126">
        <f t="shared" si="3"/>
        <v>7</v>
      </c>
      <c r="C27" s="127" t="str">
        <f>'מוסדי ותמיכה ממקורות אחרים'!C27</f>
        <v>אופיר יודילביץ</v>
      </c>
      <c r="D27" s="408">
        <f>IF(C27="","",'מוסדי ותמיכה ממקורות אחרים'!J27)</f>
        <v>1.2832377634160201E-2</v>
      </c>
      <c r="E27" s="130">
        <f>IF(C27="","",'סיכום לועדה- הזנת נתונים'!O27)</f>
        <v>116698</v>
      </c>
      <c r="F27" s="387">
        <v>0</v>
      </c>
      <c r="G27" s="129">
        <f t="shared" si="8"/>
        <v>1.5404387276365252E-2</v>
      </c>
      <c r="H27" s="140"/>
      <c r="I27" s="139"/>
      <c r="J27" s="129">
        <f t="shared" si="4"/>
        <v>1.4118382455262726E-2</v>
      </c>
      <c r="K27" s="129">
        <f t="shared" si="0"/>
        <v>1.4211050814134717E-2</v>
      </c>
      <c r="L27" s="130">
        <f t="shared" si="1"/>
        <v>114864.56992265879</v>
      </c>
      <c r="P27" s="18">
        <f t="shared" si="5"/>
        <v>0</v>
      </c>
      <c r="Q27" s="18">
        <f t="shared" si="5"/>
        <v>1</v>
      </c>
      <c r="R27" s="21">
        <f t="shared" si="2"/>
        <v>1</v>
      </c>
      <c r="S27" s="21">
        <f t="shared" si="6"/>
        <v>1</v>
      </c>
      <c r="T27" s="18"/>
      <c r="U27" s="21">
        <f t="shared" si="7"/>
        <v>1</v>
      </c>
    </row>
    <row r="28" spans="2:21" ht="15.75" x14ac:dyDescent="0.25">
      <c r="B28" s="126">
        <f t="shared" si="3"/>
        <v>8</v>
      </c>
      <c r="C28" s="127" t="str">
        <f>'מוסדי ותמיכה ממקורות אחרים'!C28</f>
        <v>אור מרין ואורן נחום</v>
      </c>
      <c r="D28" s="408">
        <f>IF(C28="","",'מוסדי ותמיכה ממקורות אחרים'!J28)</f>
        <v>9.9010230573726033E-3</v>
      </c>
      <c r="E28" s="130">
        <f>IF(C28="","",'סיכום לועדה- הזנת נתונים'!O28)</f>
        <v>99738</v>
      </c>
      <c r="F28" s="387">
        <v>0</v>
      </c>
      <c r="G28" s="129">
        <f t="shared" si="8"/>
        <v>1.316563075776892E-2</v>
      </c>
      <c r="H28" s="140"/>
      <c r="I28" s="139"/>
      <c r="J28" s="129">
        <f t="shared" si="4"/>
        <v>1.1533326907570762E-2</v>
      </c>
      <c r="K28" s="129">
        <f t="shared" si="0"/>
        <v>1.1609027823043579E-2</v>
      </c>
      <c r="L28" s="130">
        <f t="shared" si="1"/>
        <v>93833.032163095006</v>
      </c>
      <c r="P28" s="18">
        <f t="shared" si="5"/>
        <v>0</v>
      </c>
      <c r="Q28" s="18">
        <f t="shared" si="5"/>
        <v>1</v>
      </c>
      <c r="R28" s="21">
        <f t="shared" si="2"/>
        <v>1</v>
      </c>
      <c r="S28" s="21">
        <f t="shared" si="6"/>
        <v>1</v>
      </c>
      <c r="T28" s="18"/>
      <c r="U28" s="21">
        <f t="shared" si="7"/>
        <v>1</v>
      </c>
    </row>
    <row r="29" spans="2:21" ht="15.75" x14ac:dyDescent="0.25">
      <c r="B29" s="126">
        <f t="shared" si="3"/>
        <v>9</v>
      </c>
      <c r="C29" s="127" t="str">
        <f>'מוסדי ותמיכה ממקורות אחרים'!C29</f>
        <v>אורי שפיר</v>
      </c>
      <c r="D29" s="408">
        <f>IF(C29="","",'מוסדי ותמיכה ממקורות אחרים'!J29)</f>
        <v>1.3438948902680979E-2</v>
      </c>
      <c r="E29" s="130">
        <f>IF(C29="","",'סיכום לועדה- הזנת נתונים'!O29)</f>
        <v>79664</v>
      </c>
      <c r="F29" s="387">
        <v>0</v>
      </c>
      <c r="G29" s="129">
        <f t="shared" si="8"/>
        <v>1.0515819534048239E-2</v>
      </c>
      <c r="H29" s="140"/>
      <c r="I29" s="139"/>
      <c r="J29" s="129">
        <f t="shared" si="4"/>
        <v>1.1977384218364608E-2</v>
      </c>
      <c r="K29" s="129">
        <f t="shared" si="0"/>
        <v>1.205599977808699E-2</v>
      </c>
      <c r="L29" s="130">
        <f t="shared" si="1"/>
        <v>97445.800990329517</v>
      </c>
      <c r="P29" s="18">
        <f t="shared" si="5"/>
        <v>0</v>
      </c>
      <c r="Q29" s="18">
        <f t="shared" si="5"/>
        <v>1</v>
      </c>
      <c r="R29" s="21">
        <f t="shared" si="2"/>
        <v>1</v>
      </c>
      <c r="S29" s="21">
        <f t="shared" si="6"/>
        <v>1</v>
      </c>
      <c r="T29" s="18"/>
      <c r="U29" s="21">
        <f t="shared" si="7"/>
        <v>1</v>
      </c>
    </row>
    <row r="30" spans="2:21" ht="15.75" x14ac:dyDescent="0.25">
      <c r="B30" s="126">
        <f t="shared" si="3"/>
        <v>10</v>
      </c>
      <c r="C30" s="127" t="str">
        <f>'מוסדי ותמיכה ממקורות אחרים'!C30</f>
        <v>אורלי פורטל</v>
      </c>
      <c r="D30" s="408">
        <f>IF(C30="","",'מוסדי ותמיכה ממקורות אחרים'!J30)</f>
        <v>1.7703542262644194E-2</v>
      </c>
      <c r="E30" s="130">
        <f>IF(C30="","",'סיכום לועדה- הזנת נתונים'!O30)</f>
        <v>166463</v>
      </c>
      <c r="F30" s="387">
        <v>0</v>
      </c>
      <c r="G30" s="129">
        <f t="shared" si="8"/>
        <v>2.1973474431314925E-2</v>
      </c>
      <c r="H30" s="140"/>
      <c r="I30" s="139"/>
      <c r="J30" s="129">
        <f t="shared" si="4"/>
        <v>1.9838508346979561E-2</v>
      </c>
      <c r="K30" s="129">
        <f t="shared" si="0"/>
        <v>1.9968721706534614E-2</v>
      </c>
      <c r="L30" s="130">
        <f t="shared" si="1"/>
        <v>161402.46493559654</v>
      </c>
      <c r="P30" s="18">
        <f t="shared" si="5"/>
        <v>0</v>
      </c>
      <c r="Q30" s="18">
        <f t="shared" si="5"/>
        <v>1</v>
      </c>
      <c r="R30" s="21">
        <f t="shared" si="2"/>
        <v>1</v>
      </c>
      <c r="S30" s="21">
        <f t="shared" si="6"/>
        <v>1</v>
      </c>
      <c r="T30" s="18"/>
      <c r="U30" s="21">
        <f t="shared" si="7"/>
        <v>1</v>
      </c>
    </row>
    <row r="31" spans="2:21" ht="15.75" x14ac:dyDescent="0.25">
      <c r="B31" s="126" t="str">
        <f t="shared" si="3"/>
        <v/>
      </c>
      <c r="C31" s="127" t="str">
        <f>'מוסדי ותמיכה ממקורות אחרים'!C31</f>
        <v/>
      </c>
      <c r="D31" s="408" t="str">
        <f>IF(C31="","",'מוסדי ותמיכה ממקורות אחרים'!J31)</f>
        <v/>
      </c>
      <c r="E31" s="130" t="str">
        <f>IF(C31="","",'סיכום לועדה- הזנת נתונים'!O31)</f>
        <v/>
      </c>
      <c r="F31" s="560"/>
      <c r="G31" s="129" t="str">
        <f t="shared" si="8"/>
        <v/>
      </c>
      <c r="H31" s="140"/>
      <c r="I31" s="139"/>
      <c r="J31" s="129" t="str">
        <f t="shared" si="4"/>
        <v/>
      </c>
      <c r="K31" s="129" t="str">
        <f t="shared" si="0"/>
        <v/>
      </c>
      <c r="L31" s="130" t="str">
        <f t="shared" si="1"/>
        <v/>
      </c>
      <c r="P31" s="18" t="str">
        <f t="shared" si="5"/>
        <v/>
      </c>
      <c r="Q31" s="18" t="str">
        <f t="shared" si="5"/>
        <v/>
      </c>
      <c r="R31" s="21">
        <f t="shared" si="2"/>
        <v>1</v>
      </c>
      <c r="S31" s="21">
        <f t="shared" si="6"/>
        <v>0</v>
      </c>
      <c r="T31" s="18"/>
      <c r="U31" s="21">
        <f t="shared" si="7"/>
        <v>1</v>
      </c>
    </row>
    <row r="32" spans="2:21" ht="15.75" x14ac:dyDescent="0.25">
      <c r="B32" s="126">
        <f t="shared" si="3"/>
        <v>12</v>
      </c>
      <c r="C32" s="127" t="str">
        <f>'מוסדי ותמיכה ממקורות אחרים'!C32</f>
        <v>אורין יוחנן</v>
      </c>
      <c r="D32" s="408">
        <f>IF(C32="","",'מוסדי ותמיכה ממקורות אחרים'!J32)</f>
        <v>7.0828034804991287E-3</v>
      </c>
      <c r="E32" s="130">
        <f>IF(C32="","",'סיכום לועדה- הזנת נתונים'!O32)</f>
        <v>58656</v>
      </c>
      <c r="F32" s="387">
        <v>0</v>
      </c>
      <c r="G32" s="129">
        <f t="shared" si="8"/>
        <v>7.7427182992208972E-3</v>
      </c>
      <c r="H32" s="140"/>
      <c r="I32" s="139"/>
      <c r="J32" s="129">
        <f t="shared" si="4"/>
        <v>7.4127608898600129E-3</v>
      </c>
      <c r="K32" s="129">
        <f t="shared" si="0"/>
        <v>7.4614157827665121E-3</v>
      </c>
      <c r="L32" s="130">
        <f t="shared" si="1"/>
        <v>60308.862877976986</v>
      </c>
      <c r="P32" s="18">
        <f t="shared" si="5"/>
        <v>0</v>
      </c>
      <c r="Q32" s="18">
        <f t="shared" si="5"/>
        <v>1</v>
      </c>
      <c r="R32" s="21">
        <f t="shared" si="2"/>
        <v>1</v>
      </c>
      <c r="S32" s="21">
        <f t="shared" si="6"/>
        <v>1</v>
      </c>
      <c r="T32" s="18"/>
      <c r="U32" s="21">
        <f t="shared" si="7"/>
        <v>1</v>
      </c>
    </row>
    <row r="33" spans="2:21" ht="15.75" x14ac:dyDescent="0.25">
      <c r="B33" s="126">
        <f t="shared" si="3"/>
        <v>13</v>
      </c>
      <c r="C33" s="127" t="str">
        <f>'מוסדי ותמיכה ממקורות אחרים'!C33</f>
        <v>איריס ארז</v>
      </c>
      <c r="D33" s="408">
        <f>IF(C33="","",'מוסדי ותמיכה ממקורות אחרים'!J33)</f>
        <v>2.5292334008915462E-2</v>
      </c>
      <c r="E33" s="130">
        <f>IF(C33="","",'סיכום לועדה- הזנת נתונים'!O33)</f>
        <v>141036</v>
      </c>
      <c r="F33" s="387">
        <v>0</v>
      </c>
      <c r="G33" s="129">
        <f t="shared" si="8"/>
        <v>1.8617055681412274E-2</v>
      </c>
      <c r="H33" s="140"/>
      <c r="I33" s="139"/>
      <c r="J33" s="129">
        <f t="shared" si="4"/>
        <v>2.1954694845163866E-2</v>
      </c>
      <c r="K33" s="129">
        <f t="shared" si="0"/>
        <v>2.2098798147881689E-2</v>
      </c>
      <c r="L33" s="130">
        <f t="shared" si="1"/>
        <v>178619.3701129648</v>
      </c>
      <c r="P33" s="18">
        <f t="shared" si="5"/>
        <v>0</v>
      </c>
      <c r="Q33" s="18">
        <f t="shared" si="5"/>
        <v>1</v>
      </c>
      <c r="R33" s="21">
        <f t="shared" si="2"/>
        <v>1</v>
      </c>
      <c r="S33" s="21">
        <f t="shared" si="6"/>
        <v>1</v>
      </c>
      <c r="T33" s="18"/>
      <c r="U33" s="21">
        <f t="shared" si="7"/>
        <v>1</v>
      </c>
    </row>
    <row r="34" spans="2:21" ht="15.75" x14ac:dyDescent="0.25">
      <c r="B34" s="126" t="str">
        <f t="shared" si="3"/>
        <v/>
      </c>
      <c r="C34" s="127" t="str">
        <f>'מוסדי ותמיכה ממקורות אחרים'!C34</f>
        <v/>
      </c>
      <c r="D34" s="408" t="str">
        <f>IF(C34="","",'מוסדי ותמיכה ממקורות אחרים'!J34)</f>
        <v/>
      </c>
      <c r="E34" s="130" t="str">
        <f>IF(C34="","",'סיכום לועדה- הזנת נתונים'!O34)</f>
        <v/>
      </c>
      <c r="F34" s="387"/>
      <c r="G34" s="129" t="str">
        <f t="shared" si="8"/>
        <v/>
      </c>
      <c r="H34" s="140"/>
      <c r="I34" s="139"/>
      <c r="J34" s="129" t="str">
        <f t="shared" si="4"/>
        <v/>
      </c>
      <c r="K34" s="129" t="str">
        <f t="shared" si="0"/>
        <v/>
      </c>
      <c r="L34" s="130" t="str">
        <f t="shared" si="1"/>
        <v/>
      </c>
      <c r="P34" s="18" t="str">
        <f t="shared" si="5"/>
        <v/>
      </c>
      <c r="Q34" s="18" t="str">
        <f t="shared" si="5"/>
        <v/>
      </c>
      <c r="R34" s="21">
        <f t="shared" si="2"/>
        <v>1</v>
      </c>
      <c r="S34" s="21">
        <f t="shared" si="6"/>
        <v>0</v>
      </c>
      <c r="T34" s="18"/>
      <c r="U34" s="21">
        <f t="shared" si="7"/>
        <v>1</v>
      </c>
    </row>
    <row r="35" spans="2:21" ht="15.75" x14ac:dyDescent="0.25">
      <c r="B35" s="126">
        <f t="shared" si="3"/>
        <v>15</v>
      </c>
      <c r="C35" s="127" t="str">
        <f>'מוסדי ותמיכה ממקורות אחרים'!C35</f>
        <v>ענבל אושמן</v>
      </c>
      <c r="D35" s="408">
        <f>IF(C35="","",'מוסדי ותמיכה ממקורות אחרים'!J35)</f>
        <v>1.0867179841066181E-2</v>
      </c>
      <c r="E35" s="130">
        <f>IF(C35="","",'סיכום לועדה- הזנת נתונים'!O35)</f>
        <v>53042</v>
      </c>
      <c r="F35" s="387">
        <v>0</v>
      </c>
      <c r="G35" s="129">
        <f t="shared" si="8"/>
        <v>7.0016582110487384E-3</v>
      </c>
      <c r="H35" s="140"/>
      <c r="I35" s="139"/>
      <c r="J35" s="129">
        <f t="shared" si="4"/>
        <v>8.9344190260574607E-3</v>
      </c>
      <c r="K35" s="129">
        <f t="shared" si="0"/>
        <v>8.9930615760268322E-3</v>
      </c>
      <c r="L35" s="130">
        <f t="shared" si="1"/>
        <v>72688.794356492945</v>
      </c>
      <c r="P35" s="18">
        <f t="shared" si="5"/>
        <v>0</v>
      </c>
      <c r="Q35" s="18">
        <f t="shared" si="5"/>
        <v>1</v>
      </c>
      <c r="R35" s="21">
        <f t="shared" si="2"/>
        <v>1</v>
      </c>
      <c r="S35" s="21">
        <f t="shared" si="6"/>
        <v>1</v>
      </c>
      <c r="T35" s="18"/>
      <c r="U35" s="21">
        <f t="shared" si="7"/>
        <v>1</v>
      </c>
    </row>
    <row r="36" spans="2:21" ht="15.75" x14ac:dyDescent="0.25">
      <c r="B36" s="126">
        <f t="shared" si="3"/>
        <v>16</v>
      </c>
      <c r="C36" s="127" t="str">
        <f>'מוסדי ותמיכה ממקורות אחרים'!C36</f>
        <v>אנדריאה מרטיני</v>
      </c>
      <c r="D36" s="408">
        <f>IF(C36="","",'מוסדי ותמיכה ממקורות אחרים'!J36)</f>
        <v>9.357254487731767E-3</v>
      </c>
      <c r="E36" s="130">
        <f>IF(C36="","",'סיכום לועדה- הזנת נתונים'!O36)</f>
        <v>93916</v>
      </c>
      <c r="F36" s="387">
        <v>0</v>
      </c>
      <c r="G36" s="129">
        <f t="shared" si="8"/>
        <v>1.2397114221727184E-2</v>
      </c>
      <c r="H36" s="140"/>
      <c r="I36" s="139"/>
      <c r="J36" s="129">
        <f t="shared" si="4"/>
        <v>1.0877184354729477E-2</v>
      </c>
      <c r="K36" s="129">
        <f t="shared" si="0"/>
        <v>1.0948578569080509E-2</v>
      </c>
      <c r="L36" s="130">
        <f t="shared" si="1"/>
        <v>88494.776709335449</v>
      </c>
      <c r="P36" s="18">
        <f t="shared" si="5"/>
        <v>0</v>
      </c>
      <c r="Q36" s="18">
        <f t="shared" si="5"/>
        <v>1</v>
      </c>
      <c r="R36" s="21">
        <f t="shared" si="2"/>
        <v>1</v>
      </c>
      <c r="S36" s="21">
        <f t="shared" si="6"/>
        <v>1</v>
      </c>
      <c r="T36" s="18"/>
      <c r="U36" s="21">
        <f t="shared" si="7"/>
        <v>1</v>
      </c>
    </row>
    <row r="37" spans="2:21" ht="15.75" x14ac:dyDescent="0.25">
      <c r="B37" s="126">
        <f t="shared" si="3"/>
        <v>17</v>
      </c>
      <c r="C37" s="127" t="str">
        <f>'מוסדי ותמיכה ממקורות אחרים'!C37</f>
        <v>אפרת רובין</v>
      </c>
      <c r="D37" s="408">
        <f>IF(C37="","",'מוסדי ותמיכה ממקורות אחרים'!J37)</f>
        <v>7.4685617203170043E-3</v>
      </c>
      <c r="E37" s="130">
        <f>IF(C37="","",'סיכום לועדה- הזנת נתונים'!O37)</f>
        <v>43708</v>
      </c>
      <c r="F37" s="387">
        <v>0</v>
      </c>
      <c r="G37" s="129">
        <f t="shared" si="8"/>
        <v>5.7695501129014417E-3</v>
      </c>
      <c r="H37" s="140"/>
      <c r="I37" s="139"/>
      <c r="J37" s="129">
        <f t="shared" si="4"/>
        <v>6.619055916609223E-3</v>
      </c>
      <c r="K37" s="129">
        <f t="shared" si="0"/>
        <v>6.6625011944955346E-3</v>
      </c>
      <c r="L37" s="130">
        <f t="shared" si="1"/>
        <v>53851.424804825503</v>
      </c>
      <c r="P37" s="18">
        <f t="shared" si="5"/>
        <v>0</v>
      </c>
      <c r="Q37" s="18">
        <f t="shared" si="5"/>
        <v>1</v>
      </c>
      <c r="R37" s="21">
        <f t="shared" si="2"/>
        <v>1</v>
      </c>
      <c r="S37" s="21">
        <f t="shared" si="6"/>
        <v>1</v>
      </c>
      <c r="T37" s="18"/>
      <c r="U37" s="21">
        <f t="shared" si="7"/>
        <v>1</v>
      </c>
    </row>
    <row r="38" spans="2:21" ht="15.75" x14ac:dyDescent="0.25">
      <c r="B38" s="126">
        <f t="shared" si="3"/>
        <v>18</v>
      </c>
      <c r="C38" s="127" t="str">
        <f>'מוסדי ותמיכה ממקורות אחרים'!C38</f>
        <v>שרון צוקרמן</v>
      </c>
      <c r="D38" s="408">
        <f>IF(C38="","",'מוסדי ותמיכה ממקורות אחרים'!J38)</f>
        <v>8.0896646638341594E-3</v>
      </c>
      <c r="E38" s="130">
        <f>IF(C38="","",'סיכום לועדה- הזנת נתונים'!O38)</f>
        <v>44924</v>
      </c>
      <c r="F38" s="387">
        <v>0</v>
      </c>
      <c r="G38" s="129">
        <f t="shared" si="8"/>
        <v>5.9300647312158956E-3</v>
      </c>
      <c r="H38" s="140"/>
      <c r="I38" s="139"/>
      <c r="J38" s="129">
        <f t="shared" si="4"/>
        <v>7.0098646975250275E-3</v>
      </c>
      <c r="K38" s="129">
        <f t="shared" si="0"/>
        <v>7.0558751140506271E-3</v>
      </c>
      <c r="L38" s="130">
        <f t="shared" si="1"/>
        <v>57030.973360344302</v>
      </c>
      <c r="P38" s="18">
        <f t="shared" si="5"/>
        <v>0</v>
      </c>
      <c r="Q38" s="18">
        <f t="shared" si="5"/>
        <v>1</v>
      </c>
      <c r="R38" s="21">
        <f t="shared" si="2"/>
        <v>1</v>
      </c>
      <c r="S38" s="21">
        <f t="shared" si="6"/>
        <v>1</v>
      </c>
      <c r="T38" s="18"/>
      <c r="U38" s="21">
        <f t="shared" si="7"/>
        <v>1</v>
      </c>
    </row>
    <row r="39" spans="2:21" ht="15.75" x14ac:dyDescent="0.25">
      <c r="B39" s="126">
        <f t="shared" si="3"/>
        <v>19</v>
      </c>
      <c r="C39" s="127" t="str">
        <f>'מוסדי ותמיכה ממקורות אחרים'!C39</f>
        <v>בשמת נוסן</v>
      </c>
      <c r="D39" s="408">
        <f>IF(C39="","",'מוסדי ותמיכה ממקורות אחרים'!J39)</f>
        <v>8.2793795457010173E-3</v>
      </c>
      <c r="E39" s="130">
        <f>IF(C39="","",'סיכום לועדה- הזנת נתונים'!O39)</f>
        <v>97446</v>
      </c>
      <c r="F39" s="387">
        <v>0</v>
      </c>
      <c r="G39" s="129">
        <f t="shared" si="8"/>
        <v>1.286308182259069E-2</v>
      </c>
      <c r="H39" s="140"/>
      <c r="I39" s="139"/>
      <c r="J39" s="129">
        <f t="shared" si="4"/>
        <v>1.0571230684145854E-2</v>
      </c>
      <c r="K39" s="129">
        <f t="shared" si="0"/>
        <v>1.0640616720532188E-2</v>
      </c>
      <c r="L39" s="130">
        <f t="shared" si="1"/>
        <v>86005.593766515623</v>
      </c>
      <c r="P39" s="18">
        <f t="shared" si="5"/>
        <v>0</v>
      </c>
      <c r="Q39" s="18">
        <f t="shared" si="5"/>
        <v>1</v>
      </c>
      <c r="R39" s="21">
        <f t="shared" si="2"/>
        <v>1</v>
      </c>
      <c r="S39" s="21">
        <f t="shared" si="6"/>
        <v>1</v>
      </c>
      <c r="T39" s="18"/>
      <c r="U39" s="21">
        <f t="shared" si="7"/>
        <v>1</v>
      </c>
    </row>
    <row r="40" spans="2:21" ht="15.75" x14ac:dyDescent="0.25">
      <c r="B40" s="126">
        <f t="shared" si="3"/>
        <v>20</v>
      </c>
      <c r="C40" s="127" t="str">
        <f>'מוסדי ותמיכה ממקורות אחרים'!C40</f>
        <v>גיל קרר</v>
      </c>
      <c r="D40" s="408">
        <f>IF(C40="","",'מוסדי ותמיכה ממקורות אחרים'!J40)</f>
        <v>1.4614139439499147E-2</v>
      </c>
      <c r="E40" s="130">
        <f>IF(C40="","",'סיכום לועדה- הזנת נתונים'!O40)</f>
        <v>100731</v>
      </c>
      <c r="F40" s="387">
        <v>0</v>
      </c>
      <c r="G40" s="129">
        <f t="shared" si="8"/>
        <v>1.3296708895915511E-2</v>
      </c>
      <c r="H40" s="140"/>
      <c r="I40" s="139"/>
      <c r="J40" s="129">
        <f t="shared" si="4"/>
        <v>1.3955424167707328E-2</v>
      </c>
      <c r="K40" s="129">
        <f t="shared" si="0"/>
        <v>1.404702292266965E-2</v>
      </c>
      <c r="L40" s="130">
        <f t="shared" si="1"/>
        <v>113538.77118652903</v>
      </c>
      <c r="P40" s="18">
        <f t="shared" si="5"/>
        <v>0</v>
      </c>
      <c r="Q40" s="18">
        <f t="shared" si="5"/>
        <v>1</v>
      </c>
      <c r="R40" s="21">
        <f t="shared" si="2"/>
        <v>1</v>
      </c>
      <c r="S40" s="21">
        <f t="shared" si="6"/>
        <v>1</v>
      </c>
      <c r="T40" s="18"/>
      <c r="U40" s="21">
        <f t="shared" si="7"/>
        <v>1</v>
      </c>
    </row>
    <row r="41" spans="2:21" ht="15.75" x14ac:dyDescent="0.25">
      <c r="B41" s="126">
        <f t="shared" si="3"/>
        <v>21</v>
      </c>
      <c r="C41" s="127" t="str">
        <f>'מוסדי ותמיכה ממקורות אחרים'!C41</f>
        <v>דינה תלם</v>
      </c>
      <c r="D41" s="408">
        <f>IF(C41="","",'מוסדי ותמיכה ממקורות אחרים'!J41)</f>
        <v>1.4400298823619026E-2</v>
      </c>
      <c r="E41" s="130">
        <f>IF(C41="","",'סיכום לועדה- הזנת נתונים'!O41)</f>
        <v>78965</v>
      </c>
      <c r="F41" s="387">
        <v>0</v>
      </c>
      <c r="G41" s="129">
        <f t="shared" si="8"/>
        <v>1.0423550028948072E-2</v>
      </c>
      <c r="H41" s="140"/>
      <c r="I41" s="139"/>
      <c r="J41" s="129">
        <f t="shared" si="4"/>
        <v>1.2411924426283548E-2</v>
      </c>
      <c r="K41" s="129">
        <f t="shared" si="0"/>
        <v>1.2493392163162862E-2</v>
      </c>
      <c r="L41" s="130">
        <f t="shared" si="1"/>
        <v>100981.14041429492</v>
      </c>
      <c r="P41" s="18">
        <f t="shared" si="5"/>
        <v>0</v>
      </c>
      <c r="Q41" s="18">
        <f t="shared" si="5"/>
        <v>1</v>
      </c>
      <c r="R41" s="21">
        <f t="shared" si="2"/>
        <v>1</v>
      </c>
      <c r="S41" s="21">
        <f t="shared" si="6"/>
        <v>1</v>
      </c>
      <c r="T41" s="18"/>
      <c r="U41" s="21">
        <f t="shared" si="7"/>
        <v>1</v>
      </c>
    </row>
    <row r="42" spans="2:21" ht="15.75" x14ac:dyDescent="0.25">
      <c r="B42" s="126">
        <f t="shared" si="3"/>
        <v>22</v>
      </c>
      <c r="C42" s="127" t="str">
        <f>'מוסדי ותמיכה ממקורות אחרים'!C42</f>
        <v>דנה יהלומי</v>
      </c>
      <c r="D42" s="408">
        <f>IF(C42="","",'מוסדי ותמיכה ממקורות אחרים'!J42)</f>
        <v>1.0339019380662923E-2</v>
      </c>
      <c r="E42" s="130">
        <f>IF(C42="","",'סיכום לועדה- הזנת נתונים'!O42)</f>
        <v>128269</v>
      </c>
      <c r="F42" s="387">
        <v>0</v>
      </c>
      <c r="G42" s="129">
        <f t="shared" si="8"/>
        <v>1.6931784191263729E-2</v>
      </c>
      <c r="H42" s="140"/>
      <c r="I42" s="139"/>
      <c r="J42" s="129">
        <f t="shared" si="4"/>
        <v>1.3635401785963326E-2</v>
      </c>
      <c r="K42" s="129">
        <f t="shared" si="0"/>
        <v>1.3724900020627909E-2</v>
      </c>
      <c r="L42" s="130">
        <f t="shared" si="1"/>
        <v>110935.12779033052</v>
      </c>
      <c r="P42" s="18">
        <f t="shared" si="5"/>
        <v>0</v>
      </c>
      <c r="Q42" s="18">
        <f t="shared" si="5"/>
        <v>1</v>
      </c>
      <c r="R42" s="21">
        <f t="shared" si="2"/>
        <v>1</v>
      </c>
      <c r="S42" s="21">
        <f t="shared" si="6"/>
        <v>1</v>
      </c>
      <c r="T42" s="18"/>
      <c r="U42" s="21">
        <f t="shared" si="7"/>
        <v>1</v>
      </c>
    </row>
    <row r="43" spans="2:21" ht="15.75" x14ac:dyDescent="0.25">
      <c r="B43" s="126">
        <f t="shared" si="3"/>
        <v>23</v>
      </c>
      <c r="C43" s="127" t="str">
        <f>'מוסדי ותמיכה ממקורות אחרים'!C43</f>
        <v>דנה רוטנברג</v>
      </c>
      <c r="D43" s="408">
        <f>IF(C43="","",'מוסדי ותמיכה ממקורות אחרים'!J43)</f>
        <v>1.6991853243438316E-2</v>
      </c>
      <c r="E43" s="130">
        <f>IF(C43="","",'סיכום לועדה- הזנת נתונים'!O43)</f>
        <v>75628</v>
      </c>
      <c r="F43" s="387">
        <v>0</v>
      </c>
      <c r="G43" s="129">
        <f t="shared" si="8"/>
        <v>9.9830588436558582E-3</v>
      </c>
      <c r="H43" s="140"/>
      <c r="I43" s="139"/>
      <c r="J43" s="129">
        <f t="shared" si="4"/>
        <v>1.3487456043547088E-2</v>
      </c>
      <c r="K43" s="129">
        <f t="shared" si="0"/>
        <v>1.3575983211646839E-2</v>
      </c>
      <c r="L43" s="130">
        <f t="shared" si="1"/>
        <v>109731.46836770345</v>
      </c>
      <c r="P43" s="18">
        <f t="shared" si="5"/>
        <v>0</v>
      </c>
      <c r="Q43" s="18">
        <f t="shared" si="5"/>
        <v>1</v>
      </c>
      <c r="R43" s="21">
        <f t="shared" si="2"/>
        <v>1</v>
      </c>
      <c r="S43" s="21">
        <f t="shared" si="6"/>
        <v>1</v>
      </c>
      <c r="T43" s="18"/>
      <c r="U43" s="21">
        <f t="shared" si="7"/>
        <v>1</v>
      </c>
    </row>
    <row r="44" spans="2:21" ht="15.75" x14ac:dyDescent="0.25">
      <c r="B44" s="126">
        <f t="shared" si="3"/>
        <v>24</v>
      </c>
      <c r="C44" s="127" t="str">
        <f>'מוסדי ותמיכה ממקורות אחרים'!C44</f>
        <v>דפי אלטבב</v>
      </c>
      <c r="D44" s="408">
        <f>IF(C44="","",'מוסדי ותמיכה ממקורות אחרים'!J44)</f>
        <v>1.3539692157904312E-2</v>
      </c>
      <c r="E44" s="130">
        <f>IF(C44="","",'סיכום לועדה- הזנת נתונים'!O44)</f>
        <v>100469</v>
      </c>
      <c r="F44" s="387">
        <v>0</v>
      </c>
      <c r="G44" s="129">
        <f t="shared" si="8"/>
        <v>1.32621243317721E-2</v>
      </c>
      <c r="H44" s="140"/>
      <c r="I44" s="139"/>
      <c r="J44" s="129">
        <f t="shared" si="4"/>
        <v>1.3400908244838205E-2</v>
      </c>
      <c r="K44" s="129">
        <f t="shared" si="0"/>
        <v>1.3488867342020785E-2</v>
      </c>
      <c r="L44" s="130">
        <f t="shared" si="1"/>
        <v>109027.33135286129</v>
      </c>
      <c r="P44" s="18">
        <f t="shared" si="5"/>
        <v>0</v>
      </c>
      <c r="Q44" s="18">
        <f t="shared" si="5"/>
        <v>1</v>
      </c>
      <c r="R44" s="21">
        <f t="shared" si="2"/>
        <v>1</v>
      </c>
      <c r="S44" s="21">
        <f t="shared" si="6"/>
        <v>1</v>
      </c>
      <c r="T44" s="18"/>
      <c r="U44" s="21">
        <f t="shared" si="7"/>
        <v>1</v>
      </c>
    </row>
    <row r="45" spans="2:21" ht="15.75" x14ac:dyDescent="0.25">
      <c r="B45" s="126">
        <f t="shared" si="3"/>
        <v>25</v>
      </c>
      <c r="C45" s="127" t="str">
        <f>'מוסדי ותמיכה ממקורות אחרים'!C45</f>
        <v>הלל קוגן</v>
      </c>
      <c r="D45" s="408">
        <f>IF(C45="","",'מוסדי ותמיכה ממקורות אחרים'!J45)</f>
        <v>1.6561033565242623E-2</v>
      </c>
      <c r="E45" s="130">
        <f>IF(C45="","",'סיכום לועדה- הזנת נתונים'!O45)</f>
        <v>84428</v>
      </c>
      <c r="F45" s="387">
        <v>0</v>
      </c>
      <c r="G45" s="129">
        <f t="shared" si="8"/>
        <v>1.1144677791984144E-2</v>
      </c>
      <c r="H45" s="140"/>
      <c r="I45" s="139"/>
      <c r="J45" s="129">
        <f t="shared" si="4"/>
        <v>1.3852855678613383E-2</v>
      </c>
      <c r="K45" s="129">
        <f t="shared" si="0"/>
        <v>1.3943781208184168E-2</v>
      </c>
      <c r="L45" s="130">
        <f t="shared" si="1"/>
        <v>112704.2927733875</v>
      </c>
      <c r="P45" s="18">
        <f t="shared" si="5"/>
        <v>0</v>
      </c>
      <c r="Q45" s="18">
        <f t="shared" si="5"/>
        <v>1</v>
      </c>
      <c r="R45" s="21">
        <f t="shared" si="2"/>
        <v>1</v>
      </c>
      <c r="S45" s="21">
        <f t="shared" si="6"/>
        <v>1</v>
      </c>
      <c r="T45" s="18"/>
      <c r="U45" s="21">
        <f t="shared" si="7"/>
        <v>1</v>
      </c>
    </row>
    <row r="46" spans="2:21" ht="15.75" x14ac:dyDescent="0.25">
      <c r="B46" s="126">
        <f t="shared" si="3"/>
        <v>26</v>
      </c>
      <c r="C46" s="127" t="str">
        <f>'מוסדי ותמיכה ממקורות אחרים'!C46</f>
        <v>אנאבל דביר</v>
      </c>
      <c r="D46" s="408">
        <f>IF(C46="","",'מוסדי ותמיכה ממקורות אחרים'!J46)</f>
        <v>1.5793846883892161E-2</v>
      </c>
      <c r="E46" s="130">
        <f>IF(C46="","",'סיכום לועדה- הזנת נתונים'!O46)</f>
        <v>98208</v>
      </c>
      <c r="F46" s="387">
        <v>0</v>
      </c>
      <c r="G46" s="129">
        <f t="shared" si="8"/>
        <v>1.2963667463343662E-2</v>
      </c>
      <c r="H46" s="140"/>
      <c r="I46" s="139"/>
      <c r="J46" s="129">
        <f t="shared" si="4"/>
        <v>1.4378757173617911E-2</v>
      </c>
      <c r="K46" s="129">
        <f t="shared" si="0"/>
        <v>1.4473134545396883E-2</v>
      </c>
      <c r="L46" s="130">
        <f t="shared" si="1"/>
        <v>116982.93087069028</v>
      </c>
      <c r="P46" s="18">
        <f t="shared" si="5"/>
        <v>0</v>
      </c>
      <c r="Q46" s="18">
        <f t="shared" si="5"/>
        <v>1</v>
      </c>
      <c r="R46" s="21">
        <f t="shared" si="2"/>
        <v>1</v>
      </c>
      <c r="S46" s="21">
        <f t="shared" si="6"/>
        <v>1</v>
      </c>
      <c r="T46" s="18"/>
      <c r="U46" s="21">
        <f t="shared" si="7"/>
        <v>1</v>
      </c>
    </row>
    <row r="47" spans="2:21" ht="15.75" x14ac:dyDescent="0.25">
      <c r="B47" s="126">
        <f t="shared" si="3"/>
        <v>27</v>
      </c>
      <c r="C47" s="127" t="str">
        <f>'מוסדי ותמיכה ממקורות אחרים'!C47</f>
        <v>יוסי ברג ועודד גרף</v>
      </c>
      <c r="D47" s="408">
        <f>IF(C47="","",'מוסדי ותמיכה ממקורות אחרים'!J47)</f>
        <v>1.8784298816719253E-2</v>
      </c>
      <c r="E47" s="130">
        <f>IF(C47="","",'סיכום לועדה- הזנת נתונים'!O47)</f>
        <v>180005</v>
      </c>
      <c r="F47" s="387">
        <v>0</v>
      </c>
      <c r="G47" s="129">
        <f t="shared" si="8"/>
        <v>2.3761047590208292E-2</v>
      </c>
      <c r="H47" s="140"/>
      <c r="I47" s="139"/>
      <c r="J47" s="129">
        <f t="shared" si="4"/>
        <v>2.1272673203463772E-2</v>
      </c>
      <c r="K47" s="129">
        <f t="shared" si="0"/>
        <v>2.1412299943342202E-2</v>
      </c>
      <c r="L47" s="130">
        <f t="shared" si="1"/>
        <v>173070.56713924839</v>
      </c>
      <c r="P47" s="18">
        <f t="shared" si="5"/>
        <v>0</v>
      </c>
      <c r="Q47" s="18">
        <f t="shared" si="5"/>
        <v>1</v>
      </c>
      <c r="R47" s="21">
        <f t="shared" si="2"/>
        <v>1</v>
      </c>
      <c r="S47" s="21">
        <f t="shared" si="6"/>
        <v>1</v>
      </c>
      <c r="T47" s="18"/>
      <c r="U47" s="21">
        <f t="shared" si="7"/>
        <v>1</v>
      </c>
    </row>
    <row r="48" spans="2:21" ht="15.75" x14ac:dyDescent="0.25">
      <c r="B48" s="126">
        <f t="shared" si="3"/>
        <v>28</v>
      </c>
      <c r="C48" s="127" t="str">
        <f>'מוסדי ותמיכה ממקורות אחרים'!C48</f>
        <v>נדין בומר</v>
      </c>
      <c r="D48" s="408">
        <f>IF(C48="","",'מוסדי ותמיכה ממקורות אחרים'!J48)</f>
        <v>1.1975964309991583E-2</v>
      </c>
      <c r="E48" s="130">
        <f>IF(C48="","",'סיכום לועדה- הזנת נתונים'!O48)</f>
        <v>102939</v>
      </c>
      <c r="F48" s="387">
        <v>0</v>
      </c>
      <c r="G48" s="129">
        <f t="shared" si="8"/>
        <v>1.3588169650223334E-2</v>
      </c>
      <c r="H48" s="140"/>
      <c r="I48" s="139"/>
      <c r="J48" s="129">
        <f t="shared" si="4"/>
        <v>1.2782066980107459E-2</v>
      </c>
      <c r="K48" s="129">
        <f t="shared" si="0"/>
        <v>1.2865964209396419E-2</v>
      </c>
      <c r="L48" s="130">
        <f t="shared" si="1"/>
        <v>103992.55233699783</v>
      </c>
      <c r="P48" s="18">
        <f t="shared" si="5"/>
        <v>0</v>
      </c>
      <c r="Q48" s="18">
        <f t="shared" si="5"/>
        <v>1</v>
      </c>
      <c r="R48" s="21">
        <f t="shared" si="2"/>
        <v>1</v>
      </c>
      <c r="S48" s="21">
        <f t="shared" si="6"/>
        <v>1</v>
      </c>
      <c r="T48" s="18"/>
      <c r="U48" s="21">
        <f t="shared" si="7"/>
        <v>1</v>
      </c>
    </row>
    <row r="49" spans="2:21" ht="15.75" x14ac:dyDescent="0.25">
      <c r="B49" s="126">
        <f t="shared" si="3"/>
        <v>29</v>
      </c>
      <c r="C49" s="127" t="str">
        <f>'מוסדי ותמיכה ממקורות אחרים'!C49</f>
        <v xml:space="preserve">להקת בלט פאנוב </v>
      </c>
      <c r="D49" s="408">
        <f>IF(C49="","",'מוסדי ותמיכה ממקורות אחרים'!J49)</f>
        <v>3.193163123412162E-2</v>
      </c>
      <c r="E49" s="130">
        <f>IF(C49="","",'סיכום לועדה- הזנת נתונים'!O49)</f>
        <v>313447</v>
      </c>
      <c r="F49" s="387">
        <v>0</v>
      </c>
      <c r="G49" s="129">
        <f t="shared" si="8"/>
        <v>4.1375678920074543E-2</v>
      </c>
      <c r="H49" s="140"/>
      <c r="I49" s="139"/>
      <c r="J49" s="129">
        <f t="shared" si="4"/>
        <v>3.6653655077098085E-2</v>
      </c>
      <c r="K49" s="129">
        <f t="shared" si="0"/>
        <v>3.6894237457793445E-2</v>
      </c>
      <c r="L49" s="130">
        <f t="shared" si="1"/>
        <v>298207.41433130438</v>
      </c>
      <c r="P49" s="18">
        <f t="shared" si="5"/>
        <v>0</v>
      </c>
      <c r="Q49" s="18">
        <f t="shared" si="5"/>
        <v>1</v>
      </c>
      <c r="R49" s="21">
        <f t="shared" si="2"/>
        <v>1</v>
      </c>
      <c r="S49" s="21">
        <f t="shared" si="6"/>
        <v>1</v>
      </c>
      <c r="T49" s="18"/>
      <c r="U49" s="21">
        <f t="shared" si="7"/>
        <v>1</v>
      </c>
    </row>
    <row r="50" spans="2:21" ht="15.75" x14ac:dyDescent="0.25">
      <c r="B50" s="126" t="str">
        <f t="shared" si="3"/>
        <v/>
      </c>
      <c r="C50" s="127" t="str">
        <f>'מוסדי ותמיכה ממקורות אחרים'!C50</f>
        <v/>
      </c>
      <c r="D50" s="408" t="str">
        <f>IF(C50="","",'מוסדי ותמיכה ממקורות אחרים'!J50)</f>
        <v/>
      </c>
      <c r="E50" s="130" t="str">
        <f>IF(C50="","",'סיכום לועדה- הזנת נתונים'!O50)</f>
        <v/>
      </c>
      <c r="F50" s="387"/>
      <c r="G50" s="129" t="str">
        <f t="shared" si="8"/>
        <v/>
      </c>
      <c r="H50" s="140"/>
      <c r="I50" s="139"/>
      <c r="J50" s="129" t="str">
        <f t="shared" si="4"/>
        <v/>
      </c>
      <c r="K50" s="129" t="str">
        <f t="shared" si="0"/>
        <v/>
      </c>
      <c r="L50" s="130" t="str">
        <f t="shared" si="1"/>
        <v/>
      </c>
      <c r="P50" s="18" t="str">
        <f t="shared" si="5"/>
        <v/>
      </c>
      <c r="Q50" s="18" t="str">
        <f t="shared" si="5"/>
        <v/>
      </c>
      <c r="R50" s="21">
        <f t="shared" si="2"/>
        <v>1</v>
      </c>
      <c r="S50" s="21">
        <f t="shared" si="6"/>
        <v>0</v>
      </c>
      <c r="T50" s="18"/>
      <c r="U50" s="21">
        <f t="shared" si="7"/>
        <v>1</v>
      </c>
    </row>
    <row r="51" spans="2:21" ht="15.75" x14ac:dyDescent="0.25">
      <c r="B51" s="126" t="str">
        <f t="shared" si="3"/>
        <v/>
      </c>
      <c r="C51" s="127" t="str">
        <f>'מוסדי ותמיכה ממקורות אחרים'!C51</f>
        <v/>
      </c>
      <c r="D51" s="408" t="str">
        <f>IF(C51="","",'מוסדי ותמיכה ממקורות אחרים'!J51)</f>
        <v/>
      </c>
      <c r="E51" s="130" t="str">
        <f>IF(C51="","",'סיכום לועדה- הזנת נתונים'!O51)</f>
        <v/>
      </c>
      <c r="F51" s="195"/>
      <c r="G51" s="129" t="str">
        <f t="shared" si="8"/>
        <v/>
      </c>
      <c r="H51" s="140"/>
      <c r="I51" s="139"/>
      <c r="J51" s="129" t="str">
        <f t="shared" si="4"/>
        <v/>
      </c>
      <c r="K51" s="129" t="str">
        <f t="shared" si="0"/>
        <v/>
      </c>
      <c r="L51" s="130" t="str">
        <f t="shared" si="1"/>
        <v/>
      </c>
      <c r="P51" s="18" t="str">
        <f t="shared" si="5"/>
        <v/>
      </c>
      <c r="Q51" s="18" t="str">
        <f t="shared" si="5"/>
        <v/>
      </c>
      <c r="R51" s="21">
        <f t="shared" si="2"/>
        <v>1</v>
      </c>
      <c r="S51" s="21">
        <f t="shared" si="6"/>
        <v>0</v>
      </c>
      <c r="T51" s="18"/>
      <c r="U51" s="21">
        <f t="shared" si="7"/>
        <v>1</v>
      </c>
    </row>
    <row r="52" spans="2:21" ht="15.75" x14ac:dyDescent="0.25">
      <c r="B52" s="126">
        <f t="shared" si="3"/>
        <v>32</v>
      </c>
      <c r="C52" s="127" t="str">
        <f>'מוסדי ותמיכה ממקורות אחרים'!C52</f>
        <v>מיכל סממה</v>
      </c>
      <c r="D52" s="408">
        <f>IF(C52="","",'מוסדי ותמיכה ממקורות אחרים'!J52)</f>
        <v>6.6112276802981502E-3</v>
      </c>
      <c r="E52" s="130">
        <f>IF(C52="","",'סיכום לועדה- הזנת נתונים'!O52)</f>
        <v>56557</v>
      </c>
      <c r="F52" s="387">
        <v>0</v>
      </c>
      <c r="G52" s="129">
        <f t="shared" si="8"/>
        <v>7.4656457796139566E-3</v>
      </c>
      <c r="H52" s="140"/>
      <c r="I52" s="139"/>
      <c r="J52" s="129">
        <f t="shared" si="4"/>
        <v>7.0384367299560534E-3</v>
      </c>
      <c r="K52" s="129">
        <f t="shared" si="0"/>
        <v>7.0846346837837061E-3</v>
      </c>
      <c r="L52" s="130">
        <f t="shared" si="1"/>
        <v>57263.430175238325</v>
      </c>
      <c r="P52" s="18">
        <f t="shared" si="5"/>
        <v>0</v>
      </c>
      <c r="Q52" s="18">
        <f t="shared" si="5"/>
        <v>1</v>
      </c>
      <c r="R52" s="21">
        <f t="shared" si="2"/>
        <v>1</v>
      </c>
      <c r="S52" s="21">
        <f t="shared" si="6"/>
        <v>1</v>
      </c>
      <c r="T52" s="18"/>
      <c r="U52" s="21">
        <f t="shared" si="7"/>
        <v>1</v>
      </c>
    </row>
    <row r="53" spans="2:21" ht="15.75" x14ac:dyDescent="0.25">
      <c r="B53" s="126">
        <f t="shared" si="3"/>
        <v>33</v>
      </c>
      <c r="C53" s="127" t="str">
        <f>'מוסדי ותמיכה ממקורות אחרים'!C53</f>
        <v>מאיה ברינר</v>
      </c>
      <c r="D53" s="408">
        <f>IF(C53="","",'מוסדי ותמיכה ממקורות אחרים'!J53)</f>
        <v>3.7483317183690877E-2</v>
      </c>
      <c r="E53" s="130">
        <f>IF(C53="","",'סיכום לועדה- הזנת נתונים'!O53)</f>
        <v>171075</v>
      </c>
      <c r="F53" s="387">
        <v>0</v>
      </c>
      <c r="G53" s="129">
        <f t="shared" si="8"/>
        <v>2.2582268361961519E-2</v>
      </c>
      <c r="H53" s="140"/>
      <c r="I53" s="139"/>
      <c r="J53" s="129">
        <f t="shared" si="4"/>
        <v>3.0032792772826198E-2</v>
      </c>
      <c r="K53" s="129">
        <f t="shared" ref="K53:K84" si="9">IF(C53="","",IF($U$18&lt;&gt;1,$U$1,J53/$J$133*100%))</f>
        <v>3.0229918019108428E-2</v>
      </c>
      <c r="L53" s="130">
        <f t="shared" ref="L53:L84" si="10">IF(C53="","",IF(AND($U$18&lt;&gt;1),$U$1,K53*$C$2))</f>
        <v>244341.29308780091</v>
      </c>
      <c r="P53" s="18">
        <f t="shared" si="5"/>
        <v>0</v>
      </c>
      <c r="Q53" s="18">
        <f t="shared" si="5"/>
        <v>1</v>
      </c>
      <c r="R53" s="21">
        <f t="shared" ref="R53:R84" si="11">IF(D53=$U$1,0,1)</f>
        <v>1</v>
      </c>
      <c r="S53" s="21">
        <f t="shared" si="6"/>
        <v>1</v>
      </c>
      <c r="T53" s="18"/>
      <c r="U53" s="21">
        <f t="shared" si="7"/>
        <v>1</v>
      </c>
    </row>
    <row r="54" spans="2:21" ht="15.75" x14ac:dyDescent="0.25">
      <c r="B54" s="126">
        <f t="shared" si="3"/>
        <v>34</v>
      </c>
      <c r="C54" s="127" t="str">
        <f>'מוסדי ותמיכה ממקורות אחרים'!C54</f>
        <v>מאיה מכלל גלפנד</v>
      </c>
      <c r="D54" s="408">
        <f>IF(C54="","",'מוסדי ותמיכה ממקורות אחרים'!J54)</f>
        <v>6.4919769370685295E-3</v>
      </c>
      <c r="E54" s="130">
        <f>IF(C54="","",'סיכום לועדה- הזנת נתונים'!O54)</f>
        <v>39826</v>
      </c>
      <c r="F54" s="387">
        <v>0</v>
      </c>
      <c r="G54" s="129">
        <f t="shared" si="8"/>
        <v>5.257117754104805E-3</v>
      </c>
      <c r="H54" s="140"/>
      <c r="I54" s="139"/>
      <c r="J54" s="129">
        <f t="shared" si="4"/>
        <v>5.8745473455866677E-3</v>
      </c>
      <c r="K54" s="129">
        <f t="shared" si="9"/>
        <v>5.913105917247149E-3</v>
      </c>
      <c r="L54" s="130">
        <f t="shared" si="10"/>
        <v>47794.239636112237</v>
      </c>
      <c r="P54" s="18">
        <f t="shared" ref="P54:Q85" si="12">IF($C54="","",P$20)</f>
        <v>0</v>
      </c>
      <c r="Q54" s="18">
        <f t="shared" si="12"/>
        <v>1</v>
      </c>
      <c r="R54" s="21">
        <f t="shared" si="11"/>
        <v>1</v>
      </c>
      <c r="S54" s="21">
        <f t="shared" si="6"/>
        <v>1</v>
      </c>
      <c r="T54" s="18"/>
      <c r="U54" s="21">
        <f t="shared" si="7"/>
        <v>1</v>
      </c>
    </row>
    <row r="55" spans="2:21" ht="15.75" x14ac:dyDescent="0.25">
      <c r="B55" s="126">
        <f t="shared" si="3"/>
        <v>35</v>
      </c>
      <c r="C55" s="127" t="str">
        <f>'מוסדי ותמיכה ממקורות אחרים'!C55</f>
        <v>מיה שטרן ותומר שרעבי</v>
      </c>
      <c r="D55" s="408">
        <f>IF(C55="","",'מוסדי ותמיכה ממקורות אחרים'!J55)</f>
        <v>5.1419285265147403E-3</v>
      </c>
      <c r="E55" s="130">
        <f>IF(C55="","",'סיכום לועדה- הזנת נתונים'!O55)</f>
        <v>68651</v>
      </c>
      <c r="F55" s="387">
        <v>0</v>
      </c>
      <c r="G55" s="129">
        <f t="shared" si="8"/>
        <v>9.0620798206460344E-3</v>
      </c>
      <c r="H55" s="140"/>
      <c r="I55" s="139"/>
      <c r="J55" s="129">
        <f t="shared" si="4"/>
        <v>7.1020041735803873E-3</v>
      </c>
      <c r="K55" s="129">
        <f t="shared" si="9"/>
        <v>7.1486193629303829E-3</v>
      </c>
      <c r="L55" s="130">
        <f t="shared" si="10"/>
        <v>57780.603236396637</v>
      </c>
      <c r="P55" s="18">
        <f t="shared" si="12"/>
        <v>0</v>
      </c>
      <c r="Q55" s="18">
        <f t="shared" si="12"/>
        <v>1</v>
      </c>
      <c r="R55" s="21">
        <f t="shared" si="11"/>
        <v>1</v>
      </c>
      <c r="S55" s="21">
        <f t="shared" si="6"/>
        <v>1</v>
      </c>
      <c r="T55" s="18"/>
      <c r="U55" s="21">
        <f t="shared" si="7"/>
        <v>1</v>
      </c>
    </row>
    <row r="56" spans="2:21" ht="15.75" x14ac:dyDescent="0.25">
      <c r="B56" s="126">
        <f t="shared" si="3"/>
        <v>36</v>
      </c>
      <c r="C56" s="127" t="str">
        <f>'מוסדי ותמיכה ממקורות אחרים'!C56</f>
        <v>מיכאל גטמן</v>
      </c>
      <c r="D56" s="408">
        <f>IF(C56="","",'מוסדי ותמיכה ממקורות אחרים'!J56)</f>
        <v>1.492924187851916E-2</v>
      </c>
      <c r="E56" s="130">
        <f>IF(C56="","",'סיכום לועדה- הזנת נתונים'!O56)</f>
        <v>112592</v>
      </c>
      <c r="F56" s="387">
        <v>0</v>
      </c>
      <c r="G56" s="129">
        <f t="shared" si="8"/>
        <v>1.4862386435247532E-2</v>
      </c>
      <c r="H56" s="140"/>
      <c r="I56" s="139"/>
      <c r="J56" s="129">
        <f t="shared" si="4"/>
        <v>1.4895814156883347E-2</v>
      </c>
      <c r="K56" s="129">
        <f t="shared" si="9"/>
        <v>1.4993585318442014E-2</v>
      </c>
      <c r="L56" s="130">
        <f t="shared" si="10"/>
        <v>121189.61164283165</v>
      </c>
      <c r="P56" s="18">
        <f t="shared" si="12"/>
        <v>0</v>
      </c>
      <c r="Q56" s="18">
        <f t="shared" si="12"/>
        <v>1</v>
      </c>
      <c r="R56" s="21">
        <f t="shared" si="11"/>
        <v>1</v>
      </c>
      <c r="S56" s="21">
        <f t="shared" si="6"/>
        <v>1</v>
      </c>
      <c r="T56" s="18"/>
      <c r="U56" s="21">
        <f t="shared" si="7"/>
        <v>1</v>
      </c>
    </row>
    <row r="57" spans="2:21" ht="15.75" x14ac:dyDescent="0.25">
      <c r="B57" s="126">
        <f t="shared" si="3"/>
        <v>37</v>
      </c>
      <c r="C57" s="127" t="str">
        <f>'מוסדי ותמיכה ממקורות אחרים'!C57</f>
        <v>מיכל הרמן</v>
      </c>
      <c r="D57" s="408">
        <f>IF(C57="","",'מוסדי ותמיכה ממקורות אחרים'!J57)</f>
        <v>4.8534976775781169E-3</v>
      </c>
      <c r="E57" s="130">
        <f>IF(C57="","",'סיכום לועדה- הזנת נתונים'!O57)</f>
        <v>50949</v>
      </c>
      <c r="F57" s="387">
        <v>0</v>
      </c>
      <c r="G57" s="129">
        <f t="shared" si="8"/>
        <v>6.725377704361114E-3</v>
      </c>
      <c r="H57" s="140"/>
      <c r="I57" s="139"/>
      <c r="J57" s="129">
        <f t="shared" si="4"/>
        <v>5.7894376909696154E-3</v>
      </c>
      <c r="K57" s="129">
        <f t="shared" si="9"/>
        <v>5.8274376312116242E-3</v>
      </c>
      <c r="L57" s="130">
        <f t="shared" si="10"/>
        <v>47101.803097802593</v>
      </c>
      <c r="P57" s="18">
        <f t="shared" si="12"/>
        <v>0</v>
      </c>
      <c r="Q57" s="18">
        <f t="shared" si="12"/>
        <v>1</v>
      </c>
      <c r="R57" s="21">
        <f t="shared" si="11"/>
        <v>1</v>
      </c>
      <c r="S57" s="21">
        <f t="shared" si="6"/>
        <v>1</v>
      </c>
      <c r="T57" s="18"/>
      <c r="U57" s="21">
        <f t="shared" si="7"/>
        <v>1</v>
      </c>
    </row>
    <row r="58" spans="2:21" ht="15.75" x14ac:dyDescent="0.25">
      <c r="B58" s="126">
        <f t="shared" si="3"/>
        <v>38</v>
      </c>
      <c r="C58" s="127" t="str">
        <f>'מוסדי ותמיכה ממקורות אחרים'!C58</f>
        <v>מירב דגן</v>
      </c>
      <c r="D58" s="408">
        <f>IF(C58="","",'מוסדי ותמיכה ממקורות אחרים'!J58)</f>
        <v>1.0159464294264462E-2</v>
      </c>
      <c r="E58" s="130">
        <f>IF(C58="","",'סיכום לועדה- הזנת נתונים'!O58)</f>
        <v>64954</v>
      </c>
      <c r="F58" s="387">
        <v>0</v>
      </c>
      <c r="G58" s="129">
        <f t="shared" si="8"/>
        <v>8.5740678601949356E-3</v>
      </c>
      <c r="H58" s="140"/>
      <c r="I58" s="139"/>
      <c r="J58" s="129">
        <f t="shared" si="4"/>
        <v>9.3667660772296987E-3</v>
      </c>
      <c r="K58" s="129">
        <f t="shared" si="9"/>
        <v>9.4282464092057712E-3</v>
      </c>
      <c r="L58" s="130">
        <f t="shared" si="10"/>
        <v>76206.290659457678</v>
      </c>
      <c r="P58" s="18">
        <f t="shared" si="12"/>
        <v>0</v>
      </c>
      <c r="Q58" s="18">
        <f t="shared" si="12"/>
        <v>1</v>
      </c>
      <c r="R58" s="21">
        <f t="shared" si="11"/>
        <v>1</v>
      </c>
      <c r="S58" s="21">
        <f t="shared" si="6"/>
        <v>1</v>
      </c>
      <c r="T58" s="18"/>
      <c r="U58" s="21">
        <f t="shared" si="7"/>
        <v>1</v>
      </c>
    </row>
    <row r="59" spans="2:21" ht="15.75" x14ac:dyDescent="0.25">
      <c r="B59" s="126">
        <f t="shared" si="3"/>
        <v>39</v>
      </c>
      <c r="C59" s="127" t="str">
        <f>'מוסדי ותמיכה ממקורות אחרים'!C59</f>
        <v>תמר לם ודיוויד קרן</v>
      </c>
      <c r="D59" s="408">
        <f>IF(C59="","",'מוסדי ותמיכה ממקורות אחרים'!J59)</f>
        <v>6.4823785722914846E-3</v>
      </c>
      <c r="E59" s="130">
        <f>IF(C59="","",'סיכום לועדה- הזנת נתונים'!O59)</f>
        <v>44329</v>
      </c>
      <c r="F59" s="387">
        <v>0</v>
      </c>
      <c r="G59" s="129">
        <f t="shared" si="8"/>
        <v>5.8515234500505177E-3</v>
      </c>
      <c r="H59" s="140"/>
      <c r="I59" s="139"/>
      <c r="J59" s="129">
        <f t="shared" si="4"/>
        <v>6.1669510111710011E-3</v>
      </c>
      <c r="K59" s="129">
        <f t="shared" si="9"/>
        <v>6.2074288230775741E-3</v>
      </c>
      <c r="L59" s="130">
        <f t="shared" si="10"/>
        <v>50173.182223733784</v>
      </c>
      <c r="P59" s="18">
        <f t="shared" si="12"/>
        <v>0</v>
      </c>
      <c r="Q59" s="18">
        <f t="shared" si="12"/>
        <v>1</v>
      </c>
      <c r="R59" s="21">
        <f t="shared" si="11"/>
        <v>1</v>
      </c>
      <c r="S59" s="21">
        <f t="shared" si="6"/>
        <v>1</v>
      </c>
      <c r="T59" s="18"/>
      <c r="U59" s="21">
        <f t="shared" si="7"/>
        <v>1</v>
      </c>
    </row>
    <row r="60" spans="2:21" ht="15.75" x14ac:dyDescent="0.25">
      <c r="B60" s="126">
        <f t="shared" si="3"/>
        <v>40</v>
      </c>
      <c r="C60" s="127" t="str">
        <f>'מוסדי ותמיכה ממקורות אחרים'!C60</f>
        <v>סיגל ברגמן</v>
      </c>
      <c r="D60" s="408">
        <f>IF(C60="","",'מוסדי ותמיכה ממקורות אחרים'!J60)</f>
        <v>8.6344645789173738E-3</v>
      </c>
      <c r="E60" s="130">
        <f>IF(C60="","",'סיכום לועדה- הזנת נתונים'!O60)</f>
        <v>68033</v>
      </c>
      <c r="F60" s="387">
        <v>0</v>
      </c>
      <c r="G60" s="129">
        <f t="shared" si="8"/>
        <v>8.9805024899566165E-3</v>
      </c>
      <c r="H60" s="140"/>
      <c r="I60" s="139"/>
      <c r="J60" s="129">
        <f t="shared" si="4"/>
        <v>8.807483534436996E-3</v>
      </c>
      <c r="K60" s="129">
        <f t="shared" si="9"/>
        <v>8.8652929221281571E-3</v>
      </c>
      <c r="L60" s="130">
        <f t="shared" si="10"/>
        <v>71656.070480432274</v>
      </c>
      <c r="P60" s="18">
        <f t="shared" si="12"/>
        <v>0</v>
      </c>
      <c r="Q60" s="18">
        <f t="shared" si="12"/>
        <v>1</v>
      </c>
      <c r="R60" s="21">
        <f t="shared" si="11"/>
        <v>1</v>
      </c>
      <c r="S60" s="21">
        <f t="shared" si="6"/>
        <v>1</v>
      </c>
      <c r="T60" s="18"/>
      <c r="U60" s="21">
        <f t="shared" si="7"/>
        <v>1</v>
      </c>
    </row>
    <row r="61" spans="2:21" ht="15.75" x14ac:dyDescent="0.25">
      <c r="B61" s="126">
        <f t="shared" si="3"/>
        <v>41</v>
      </c>
      <c r="C61" s="127" t="str">
        <f>'מוסדי ותמיכה ממקורות אחרים'!C61</f>
        <v>מעין ליבמן שרון</v>
      </c>
      <c r="D61" s="408">
        <f>IF(C61="","",'מוסדי ותמיכה ממקורות אחרים'!J61)</f>
        <v>1.11682488649428E-2</v>
      </c>
      <c r="E61" s="130">
        <f>IF(C61="","",'סיכום לועדה- הזנת נתונים'!O61)</f>
        <v>75145</v>
      </c>
      <c r="F61" s="387">
        <v>0</v>
      </c>
      <c r="G61" s="129">
        <f t="shared" si="8"/>
        <v>9.9193018036510209E-3</v>
      </c>
      <c r="H61" s="140"/>
      <c r="I61" s="139"/>
      <c r="J61" s="129">
        <f t="shared" si="4"/>
        <v>1.0543775334296911E-2</v>
      </c>
      <c r="K61" s="129">
        <f t="shared" si="9"/>
        <v>1.0612981162913634E-2</v>
      </c>
      <c r="L61" s="130">
        <f t="shared" si="10"/>
        <v>85782.222076276463</v>
      </c>
      <c r="P61" s="18">
        <f t="shared" si="12"/>
        <v>0</v>
      </c>
      <c r="Q61" s="18">
        <f t="shared" si="12"/>
        <v>1</v>
      </c>
      <c r="R61" s="21">
        <f t="shared" si="11"/>
        <v>1</v>
      </c>
      <c r="S61" s="21">
        <f t="shared" si="6"/>
        <v>1</v>
      </c>
      <c r="T61" s="18"/>
      <c r="U61" s="21">
        <f t="shared" si="7"/>
        <v>1</v>
      </c>
    </row>
    <row r="62" spans="2:21" ht="15.75" x14ac:dyDescent="0.25">
      <c r="B62" s="126">
        <f t="shared" si="3"/>
        <v>42</v>
      </c>
      <c r="C62" s="127" t="str">
        <f>'מוסדי ותמיכה ממקורות אחרים'!C62</f>
        <v>אודליה קופרברג</v>
      </c>
      <c r="D62" s="408">
        <f>IF(C62="","",'מוסדי ותמיכה ממקורות אחרים'!J62)</f>
        <v>6.7769132936231491E-3</v>
      </c>
      <c r="E62" s="130">
        <f>IF(C62="","",'סיכום לועדה- הזנת נתונים'!O62)</f>
        <v>50905</v>
      </c>
      <c r="F62" s="387">
        <v>0</v>
      </c>
      <c r="G62" s="129">
        <f t="shared" si="8"/>
        <v>6.719569609619472E-3</v>
      </c>
      <c r="H62" s="140"/>
      <c r="I62" s="139"/>
      <c r="J62" s="129">
        <f t="shared" si="4"/>
        <v>6.7482414516213101E-3</v>
      </c>
      <c r="K62" s="129">
        <f t="shared" si="9"/>
        <v>6.7925346603210498E-3</v>
      </c>
      <c r="L62" s="130">
        <f t="shared" si="10"/>
        <v>54902.454621195211</v>
      </c>
      <c r="P62" s="18">
        <f t="shared" si="12"/>
        <v>0</v>
      </c>
      <c r="Q62" s="18">
        <f t="shared" si="12"/>
        <v>1</v>
      </c>
      <c r="R62" s="21">
        <f t="shared" si="11"/>
        <v>1</v>
      </c>
      <c r="S62" s="21">
        <f t="shared" si="6"/>
        <v>1</v>
      </c>
      <c r="T62" s="18"/>
      <c r="U62" s="21">
        <f t="shared" si="7"/>
        <v>1</v>
      </c>
    </row>
    <row r="63" spans="2:21" ht="15.75" x14ac:dyDescent="0.25">
      <c r="B63" s="126">
        <f t="shared" si="3"/>
        <v>43</v>
      </c>
      <c r="C63" s="127" t="str">
        <f>'מוסדי ותמיכה ממקורות אחרים'!C63</f>
        <v>נועה צוק</v>
      </c>
      <c r="D63" s="408">
        <f>IF(C63="","",'מוסדי ותמיכה ממקורות אחרים'!J63)</f>
        <v>1.2574097239557257E-2</v>
      </c>
      <c r="E63" s="130">
        <f>IF(C63="","",'סיכום לועדה- הזנת נתונים'!O63)</f>
        <v>67993</v>
      </c>
      <c r="F63" s="387">
        <v>0</v>
      </c>
      <c r="G63" s="129">
        <f t="shared" si="8"/>
        <v>8.9752224038278511E-3</v>
      </c>
      <c r="H63" s="140"/>
      <c r="I63" s="139"/>
      <c r="J63" s="129">
        <f t="shared" si="4"/>
        <v>1.0774659821692553E-2</v>
      </c>
      <c r="K63" s="129">
        <f t="shared" si="9"/>
        <v>1.0845381099164962E-2</v>
      </c>
      <c r="L63" s="130">
        <f t="shared" si="10"/>
        <v>87660.655914610979</v>
      </c>
      <c r="P63" s="18">
        <f t="shared" si="12"/>
        <v>0</v>
      </c>
      <c r="Q63" s="18">
        <f t="shared" si="12"/>
        <v>1</v>
      </c>
      <c r="R63" s="21">
        <f t="shared" si="11"/>
        <v>1</v>
      </c>
      <c r="S63" s="21">
        <f t="shared" si="6"/>
        <v>1</v>
      </c>
      <c r="T63" s="18"/>
      <c r="U63" s="21">
        <f t="shared" si="7"/>
        <v>1</v>
      </c>
    </row>
    <row r="64" spans="2:21" ht="15.75" x14ac:dyDescent="0.25">
      <c r="B64" s="126">
        <f t="shared" si="3"/>
        <v>44</v>
      </c>
      <c r="C64" s="127" t="str">
        <f>'מוסדי ותמיכה ממקורות אחרים'!C64</f>
        <v>נטע פולברמכר</v>
      </c>
      <c r="D64" s="408">
        <f>IF(C64="","",'מוסדי ותמיכה ממקורות אחרים'!J64)</f>
        <v>9.846179081924606E-3</v>
      </c>
      <c r="E64" s="130">
        <f>IF(C64="","",'סיכום לועדה- הזנת נתונים'!O64)</f>
        <v>88721</v>
      </c>
      <c r="F64" s="387">
        <v>0</v>
      </c>
      <c r="G64" s="129">
        <f t="shared" si="8"/>
        <v>1.171136303575384E-2</v>
      </c>
      <c r="H64" s="140"/>
      <c r="I64" s="139"/>
      <c r="J64" s="129">
        <f t="shared" si="4"/>
        <v>1.0778771058839223E-2</v>
      </c>
      <c r="K64" s="129">
        <f t="shared" si="9"/>
        <v>1.0849519321102596E-2</v>
      </c>
      <c r="L64" s="130">
        <f t="shared" si="10"/>
        <v>87694.104185912511</v>
      </c>
      <c r="P64" s="18">
        <f t="shared" si="12"/>
        <v>0</v>
      </c>
      <c r="Q64" s="18">
        <f t="shared" si="12"/>
        <v>1</v>
      </c>
      <c r="R64" s="21">
        <f t="shared" si="11"/>
        <v>1</v>
      </c>
      <c r="S64" s="21">
        <f t="shared" si="6"/>
        <v>1</v>
      </c>
      <c r="T64" s="18"/>
      <c r="U64" s="21">
        <f t="shared" si="7"/>
        <v>1</v>
      </c>
    </row>
    <row r="65" spans="2:21" ht="15.75" x14ac:dyDescent="0.25">
      <c r="B65" s="126">
        <f t="shared" si="3"/>
        <v>45</v>
      </c>
      <c r="C65" s="127" t="str">
        <f>'מוסדי ותמיכה ממקורות אחרים'!C65</f>
        <v>ניב שינפלד ואורן לאור</v>
      </c>
      <c r="D65" s="408">
        <f>IF(C65="","",'מוסדי ותמיכה ממקורות אחרים'!J65)</f>
        <v>2.7742008235767099E-2</v>
      </c>
      <c r="E65" s="130">
        <f>IF(C65="","",'סיכום לועדה- הזנת נתונים'!O65)</f>
        <v>219130</v>
      </c>
      <c r="F65" s="387">
        <v>0</v>
      </c>
      <c r="G65" s="129">
        <f t="shared" si="8"/>
        <v>2.8925631834906491E-2</v>
      </c>
      <c r="H65" s="140"/>
      <c r="I65" s="139"/>
      <c r="J65" s="129">
        <f t="shared" si="4"/>
        <v>2.8333820035336795E-2</v>
      </c>
      <c r="K65" s="129">
        <f t="shared" si="9"/>
        <v>2.8519793790585949E-2</v>
      </c>
      <c r="L65" s="130">
        <f t="shared" si="10"/>
        <v>230518.76253797163</v>
      </c>
      <c r="P65" s="18">
        <f t="shared" si="12"/>
        <v>0</v>
      </c>
      <c r="Q65" s="18">
        <f t="shared" si="12"/>
        <v>1</v>
      </c>
      <c r="R65" s="21">
        <f t="shared" si="11"/>
        <v>1</v>
      </c>
      <c r="S65" s="21">
        <f t="shared" si="6"/>
        <v>1</v>
      </c>
      <c r="T65" s="18"/>
      <c r="U65" s="21">
        <f t="shared" si="7"/>
        <v>1</v>
      </c>
    </row>
    <row r="66" spans="2:21" ht="15.75" x14ac:dyDescent="0.25">
      <c r="B66" s="126">
        <f t="shared" si="3"/>
        <v>46</v>
      </c>
      <c r="C66" s="127" t="str">
        <f>'מוסדי ותמיכה ממקורות אחרים'!C66</f>
        <v>נימה יעקובי</v>
      </c>
      <c r="D66" s="408">
        <f>IF(C66="","",'מוסדי ותמיכה ממקורות אחרים'!J66)</f>
        <v>2.4191576178270613E-2</v>
      </c>
      <c r="E66" s="130">
        <f>IF(C66="","",'סיכום לועדה- הזנת נתונים'!O66)</f>
        <v>147533</v>
      </c>
      <c r="F66" s="387">
        <v>0</v>
      </c>
      <c r="G66" s="129">
        <f t="shared" si="8"/>
        <v>1.9474673670876918E-2</v>
      </c>
      <c r="H66" s="140"/>
      <c r="I66" s="139"/>
      <c r="J66" s="129">
        <f t="shared" si="4"/>
        <v>2.1833124924573767E-2</v>
      </c>
      <c r="K66" s="129">
        <f t="shared" si="9"/>
        <v>2.197643028283407E-2</v>
      </c>
      <c r="L66" s="130">
        <f t="shared" si="10"/>
        <v>177630.29953860104</v>
      </c>
      <c r="P66" s="18">
        <f t="shared" si="12"/>
        <v>0</v>
      </c>
      <c r="Q66" s="18">
        <f t="shared" si="12"/>
        <v>1</v>
      </c>
      <c r="R66" s="21">
        <f t="shared" si="11"/>
        <v>1</v>
      </c>
      <c r="S66" s="21">
        <f t="shared" si="6"/>
        <v>1</v>
      </c>
      <c r="T66" s="18"/>
      <c r="U66" s="21">
        <f t="shared" si="7"/>
        <v>1</v>
      </c>
    </row>
    <row r="67" spans="2:21" ht="15.75" x14ac:dyDescent="0.25">
      <c r="B67" s="126">
        <f t="shared" si="3"/>
        <v>47</v>
      </c>
      <c r="C67" s="127" t="str">
        <f>'מוסדי ותמיכה ממקורות אחרים'!C67</f>
        <v>נמרוד פריד</v>
      </c>
      <c r="D67" s="408">
        <f>IF(C67="","",'מוסדי ותמיכה ממקורות אחרים'!J67)</f>
        <v>6.0353205406520911E-3</v>
      </c>
      <c r="E67" s="130">
        <f>IF(C67="","",'סיכום לועדה- הזנת נתונים'!O67)</f>
        <v>61023</v>
      </c>
      <c r="F67" s="387">
        <v>0</v>
      </c>
      <c r="G67" s="129">
        <f t="shared" si="8"/>
        <v>8.0551673958905619E-3</v>
      </c>
      <c r="H67" s="140"/>
      <c r="I67" s="139"/>
      <c r="J67" s="129">
        <f t="shared" si="4"/>
        <v>7.0452439682713265E-3</v>
      </c>
      <c r="K67" s="129">
        <f t="shared" si="9"/>
        <v>7.0914866025434372E-3</v>
      </c>
      <c r="L67" s="130">
        <f t="shared" si="10"/>
        <v>57318.812617520402</v>
      </c>
      <c r="P67" s="18">
        <f t="shared" si="12"/>
        <v>0</v>
      </c>
      <c r="Q67" s="18">
        <f t="shared" si="12"/>
        <v>1</v>
      </c>
      <c r="R67" s="21">
        <f t="shared" si="11"/>
        <v>1</v>
      </c>
      <c r="S67" s="21">
        <f t="shared" si="6"/>
        <v>1</v>
      </c>
      <c r="T67" s="18"/>
      <c r="U67" s="21">
        <f t="shared" si="7"/>
        <v>1</v>
      </c>
    </row>
    <row r="68" spans="2:21" ht="15.75" x14ac:dyDescent="0.25">
      <c r="B68" s="126">
        <f t="shared" si="3"/>
        <v>48</v>
      </c>
      <c r="C68" s="127" t="str">
        <f>'מוסדי ותמיכה ממקורות אחרים'!C68</f>
        <v>נעה דר</v>
      </c>
      <c r="D68" s="408">
        <f>IF(C68="","",'מוסדי ותמיכה ממקורות אחרים'!J68)</f>
        <v>1.0742140587632613E-2</v>
      </c>
      <c r="E68" s="130">
        <f>IF(C68="","",'סיכום לועדה- הזנת נתונים'!O68)</f>
        <v>120357</v>
      </c>
      <c r="F68" s="387">
        <v>0</v>
      </c>
      <c r="G68" s="129">
        <f t="shared" si="8"/>
        <v>1.5887383154994023E-2</v>
      </c>
      <c r="H68" s="140"/>
      <c r="I68" s="139"/>
      <c r="J68" s="129">
        <f t="shared" si="4"/>
        <v>1.3314761871313318E-2</v>
      </c>
      <c r="K68" s="129">
        <f t="shared" si="9"/>
        <v>1.3402155532399899E-2</v>
      </c>
      <c r="L68" s="130">
        <f t="shared" si="10"/>
        <v>108326.46025968273</v>
      </c>
      <c r="P68" s="18">
        <f t="shared" si="12"/>
        <v>0</v>
      </c>
      <c r="Q68" s="18">
        <f t="shared" si="12"/>
        <v>1</v>
      </c>
      <c r="R68" s="21">
        <f t="shared" si="11"/>
        <v>1</v>
      </c>
      <c r="S68" s="21">
        <f t="shared" si="6"/>
        <v>1</v>
      </c>
      <c r="T68" s="18"/>
      <c r="U68" s="21">
        <f t="shared" si="7"/>
        <v>1</v>
      </c>
    </row>
    <row r="69" spans="2:21" ht="15.75" x14ac:dyDescent="0.25">
      <c r="B69" s="126">
        <f t="shared" si="3"/>
        <v>49</v>
      </c>
      <c r="C69" s="127" t="str">
        <f>'מוסדי ותמיכה ממקורות אחרים'!C69</f>
        <v>נעה שדור</v>
      </c>
      <c r="D69" s="408">
        <f>IF(C69="","",'מוסדי ותמיכה ממקורות אחרים'!J69)</f>
        <v>5.9982639135322032E-3</v>
      </c>
      <c r="E69" s="130">
        <f>IF(C69="","",'סיכום לועדה- הזנת נתונים'!O69)</f>
        <v>39601</v>
      </c>
      <c r="F69" s="387">
        <v>0</v>
      </c>
      <c r="G69" s="129">
        <f t="shared" si="8"/>
        <v>5.2274172696305018E-3</v>
      </c>
      <c r="H69" s="140"/>
      <c r="I69" s="139"/>
      <c r="J69" s="129">
        <f t="shared" si="4"/>
        <v>5.6128405915813525E-3</v>
      </c>
      <c r="K69" s="129">
        <f t="shared" si="9"/>
        <v>5.6496814072966159E-3</v>
      </c>
      <c r="L69" s="130">
        <f t="shared" si="10"/>
        <v>45665.04149036642</v>
      </c>
      <c r="P69" s="18">
        <f t="shared" si="12"/>
        <v>0</v>
      </c>
      <c r="Q69" s="18">
        <f t="shared" si="12"/>
        <v>1</v>
      </c>
      <c r="R69" s="21">
        <f t="shared" si="11"/>
        <v>1</v>
      </c>
      <c r="S69" s="21">
        <f t="shared" si="6"/>
        <v>1</v>
      </c>
      <c r="T69" s="18"/>
      <c r="U69" s="21">
        <f t="shared" si="7"/>
        <v>1</v>
      </c>
    </row>
    <row r="70" spans="2:21" ht="15.75" x14ac:dyDescent="0.25">
      <c r="B70" s="126">
        <f t="shared" si="3"/>
        <v>50</v>
      </c>
      <c r="C70" s="127" t="str">
        <f>'מוסדי ותמיכה ממקורות אחרים'!C70</f>
        <v>סאלי אן פרילנד</v>
      </c>
      <c r="D70" s="408">
        <f>IF(C70="","",'מוסדי ותמיכה ממקורות אחרים'!J70)</f>
        <v>5.6722429566114481E-3</v>
      </c>
      <c r="E70" s="130">
        <f>IF(C70="","",'סיכום לועדה- הזנת נתונים'!O70)</f>
        <v>63942</v>
      </c>
      <c r="F70" s="387">
        <v>0</v>
      </c>
      <c r="G70" s="129">
        <f t="shared" si="8"/>
        <v>8.4404816811371828E-3</v>
      </c>
      <c r="H70" s="140"/>
      <c r="I70" s="139"/>
      <c r="J70" s="129">
        <f t="shared" si="4"/>
        <v>7.0563623188743159E-3</v>
      </c>
      <c r="K70" s="129">
        <f t="shared" si="9"/>
        <v>7.1026779302956859E-3</v>
      </c>
      <c r="L70" s="130">
        <f t="shared" si="10"/>
        <v>57409.269478588481</v>
      </c>
      <c r="P70" s="18">
        <f t="shared" si="12"/>
        <v>0</v>
      </c>
      <c r="Q70" s="18">
        <f t="shared" si="12"/>
        <v>1</v>
      </c>
      <c r="R70" s="21">
        <f t="shared" si="11"/>
        <v>1</v>
      </c>
      <c r="S70" s="21">
        <f t="shared" si="6"/>
        <v>1</v>
      </c>
      <c r="T70" s="18"/>
      <c r="U70" s="21">
        <f t="shared" si="7"/>
        <v>1</v>
      </c>
    </row>
    <row r="71" spans="2:21" ht="15.75" x14ac:dyDescent="0.25">
      <c r="B71" s="126">
        <f t="shared" si="3"/>
        <v>51</v>
      </c>
      <c r="C71" s="127" t="str">
        <f>'מוסדי ותמיכה ממקורות אחרים'!C71</f>
        <v>סהר עזימי</v>
      </c>
      <c r="D71" s="408">
        <f>IF(C71="","",'מוסדי ותמיכה ממקורות אחרים'!J71)</f>
        <v>7.4119768099471881E-3</v>
      </c>
      <c r="E71" s="130">
        <f>IF(C71="","",'סיכום לועדה- הזנת נתונים'!O71)</f>
        <v>79144</v>
      </c>
      <c r="F71" s="387">
        <v>0</v>
      </c>
      <c r="G71" s="129">
        <f t="shared" si="8"/>
        <v>1.0447178414374295E-2</v>
      </c>
      <c r="H71" s="140"/>
      <c r="I71" s="139"/>
      <c r="J71" s="129">
        <f t="shared" si="4"/>
        <v>8.9295776121607415E-3</v>
      </c>
      <c r="K71" s="129">
        <f t="shared" si="9"/>
        <v>8.9881883847022209E-3</v>
      </c>
      <c r="L71" s="130">
        <f t="shared" si="10"/>
        <v>72649.405501089263</v>
      </c>
      <c r="P71" s="18">
        <f t="shared" si="12"/>
        <v>0</v>
      </c>
      <c r="Q71" s="18">
        <f t="shared" si="12"/>
        <v>1</v>
      </c>
      <c r="R71" s="21">
        <f t="shared" si="11"/>
        <v>1</v>
      </c>
      <c r="S71" s="21">
        <f t="shared" si="6"/>
        <v>1</v>
      </c>
      <c r="T71" s="18"/>
      <c r="U71" s="21">
        <f t="shared" si="7"/>
        <v>1</v>
      </c>
    </row>
    <row r="72" spans="2:21" ht="15.75" x14ac:dyDescent="0.25">
      <c r="B72" s="126">
        <f t="shared" si="3"/>
        <v>52</v>
      </c>
      <c r="C72" s="127" t="str">
        <f>'מוסדי ותמיכה ממקורות אחרים'!C72</f>
        <v>עדו פדר</v>
      </c>
      <c r="D72" s="408">
        <f>IF(C72="","",'מוסדי ותמיכה ממקורות אחרים'!J72)</f>
        <v>6.9117522902832438E-3</v>
      </c>
      <c r="E72" s="130">
        <f>IF(C72="","",'סיכום לועדה- הזנת נתונים'!O72)</f>
        <v>57397</v>
      </c>
      <c r="F72" s="387">
        <v>0</v>
      </c>
      <c r="G72" s="129">
        <f t="shared" si="8"/>
        <v>7.5765275883180206E-3</v>
      </c>
      <c r="H72" s="140"/>
      <c r="I72" s="139"/>
      <c r="J72" s="129">
        <f t="shared" si="4"/>
        <v>7.2441399393006322E-3</v>
      </c>
      <c r="K72" s="129">
        <f t="shared" si="9"/>
        <v>7.2916880604640306E-3</v>
      </c>
      <c r="L72" s="130">
        <f t="shared" si="10"/>
        <v>58936.993754348492</v>
      </c>
      <c r="P72" s="18">
        <f t="shared" si="12"/>
        <v>0</v>
      </c>
      <c r="Q72" s="18">
        <f t="shared" si="12"/>
        <v>1</v>
      </c>
      <c r="R72" s="21">
        <f t="shared" si="11"/>
        <v>1</v>
      </c>
      <c r="S72" s="21">
        <f t="shared" si="6"/>
        <v>1</v>
      </c>
      <c r="T72" s="18"/>
      <c r="U72" s="21">
        <f t="shared" si="7"/>
        <v>1</v>
      </c>
    </row>
    <row r="73" spans="2:21" ht="15.75" x14ac:dyDescent="0.25">
      <c r="B73" s="126">
        <f t="shared" si="3"/>
        <v>53</v>
      </c>
      <c r="C73" s="127" t="str">
        <f>'מוסדי ותמיכה ממקורות אחרים'!C73</f>
        <v>עודד רונן</v>
      </c>
      <c r="D73" s="408">
        <f>IF(C73="","",'מוסדי ותמיכה ממקורות אחרים'!J73)</f>
        <v>6.4397196449727584E-3</v>
      </c>
      <c r="E73" s="130">
        <f>IF(C73="","",'סיכום לועדה- הזנת נתונים'!O73)</f>
        <v>55682</v>
      </c>
      <c r="F73" s="387">
        <v>0</v>
      </c>
      <c r="G73" s="129">
        <f t="shared" si="8"/>
        <v>7.350143895547224E-3</v>
      </c>
      <c r="H73" s="140"/>
      <c r="I73" s="139"/>
      <c r="J73" s="129">
        <f t="shared" si="4"/>
        <v>6.8949317702599912E-3</v>
      </c>
      <c r="K73" s="129">
        <f t="shared" si="9"/>
        <v>6.9401878053411328E-3</v>
      </c>
      <c r="L73" s="130">
        <f t="shared" si="10"/>
        <v>56095.900146250315</v>
      </c>
      <c r="P73" s="18">
        <f t="shared" si="12"/>
        <v>0</v>
      </c>
      <c r="Q73" s="18">
        <f t="shared" si="12"/>
        <v>1</v>
      </c>
      <c r="R73" s="21">
        <f t="shared" si="11"/>
        <v>1</v>
      </c>
      <c r="S73" s="21">
        <f t="shared" si="6"/>
        <v>1</v>
      </c>
      <c r="T73" s="18"/>
      <c r="U73" s="21">
        <f t="shared" si="7"/>
        <v>1</v>
      </c>
    </row>
    <row r="74" spans="2:21" ht="15.75" x14ac:dyDescent="0.25">
      <c r="B74" s="126">
        <f t="shared" si="3"/>
        <v>54</v>
      </c>
      <c r="C74" s="127" t="str">
        <f>'מוסדי ותמיכה ממקורות אחרים'!C74</f>
        <v>עידן כהן</v>
      </c>
      <c r="D74" s="408">
        <f>IF(C74="","",'מוסדי ותמיכה ממקורות אחרים'!J74)</f>
        <v>4.8583787876253963E-3</v>
      </c>
      <c r="E74" s="130">
        <f>IF(C74="","",'סיכום לועדה- הזנת נתונים'!O74)</f>
        <v>44371</v>
      </c>
      <c r="F74" s="387">
        <v>0</v>
      </c>
      <c r="G74" s="129">
        <f t="shared" si="8"/>
        <v>5.8570675404857201E-3</v>
      </c>
      <c r="H74" s="140"/>
      <c r="I74" s="139"/>
      <c r="J74" s="129">
        <f t="shared" si="4"/>
        <v>5.3577231640555582E-3</v>
      </c>
      <c r="K74" s="129">
        <f t="shared" si="9"/>
        <v>5.3928894739693695E-3</v>
      </c>
      <c r="L74" s="130">
        <f t="shared" si="10"/>
        <v>43589.452896178555</v>
      </c>
      <c r="P74" s="18">
        <f t="shared" si="12"/>
        <v>0</v>
      </c>
      <c r="Q74" s="18">
        <f t="shared" si="12"/>
        <v>1</v>
      </c>
      <c r="R74" s="21">
        <f t="shared" si="11"/>
        <v>1</v>
      </c>
      <c r="S74" s="21">
        <f t="shared" si="6"/>
        <v>1</v>
      </c>
      <c r="T74" s="18"/>
      <c r="U74" s="21">
        <f t="shared" si="7"/>
        <v>1</v>
      </c>
    </row>
    <row r="75" spans="2:21" ht="15.75" x14ac:dyDescent="0.25">
      <c r="B75" s="126">
        <f t="shared" si="3"/>
        <v>55</v>
      </c>
      <c r="C75" s="127" t="str">
        <f>'מוסדי ותמיכה ממקורות אחרים'!C75</f>
        <v>עידן שרעבי</v>
      </c>
      <c r="D75" s="408">
        <f>IF(C75="","",'מוסדי ותמיכה ממקורות אחרים'!J75)</f>
        <v>7.157757475944675E-3</v>
      </c>
      <c r="E75" s="130">
        <f>IF(C75="","",'סיכום לועדה- הזנת נתונים'!O75)</f>
        <v>58491</v>
      </c>
      <c r="F75" s="387">
        <v>0</v>
      </c>
      <c r="G75" s="129">
        <f t="shared" si="8"/>
        <v>7.7209379439397412E-3</v>
      </c>
      <c r="H75" s="140"/>
      <c r="I75" s="139"/>
      <c r="J75" s="129">
        <f t="shared" si="4"/>
        <v>7.4393477099422081E-3</v>
      </c>
      <c r="K75" s="129">
        <f t="shared" si="9"/>
        <v>7.4881771098782805E-3</v>
      </c>
      <c r="L75" s="130">
        <f t="shared" si="10"/>
        <v>60525.168369348212</v>
      </c>
      <c r="P75" s="18">
        <f t="shared" si="12"/>
        <v>0</v>
      </c>
      <c r="Q75" s="18">
        <f t="shared" si="12"/>
        <v>1</v>
      </c>
      <c r="R75" s="21">
        <f t="shared" si="11"/>
        <v>1</v>
      </c>
      <c r="S75" s="21">
        <f t="shared" si="6"/>
        <v>1</v>
      </c>
      <c r="T75" s="18"/>
      <c r="U75" s="21">
        <f t="shared" si="7"/>
        <v>1</v>
      </c>
    </row>
    <row r="76" spans="2:21" ht="15.75" x14ac:dyDescent="0.25">
      <c r="B76" s="126">
        <f t="shared" si="3"/>
        <v>56</v>
      </c>
      <c r="C76" s="127" t="str">
        <f>'מוסדי ותמיכה ממקורות אחרים'!C76</f>
        <v>ענת גריגוריו</v>
      </c>
      <c r="D76" s="408">
        <f>IF(C76="","",'מוסדי ותמיכה ממקורות אחרים'!J76)</f>
        <v>8.9376440053683739E-3</v>
      </c>
      <c r="E76" s="130">
        <f>IF(C76="","",'סיכום לועדה- הזנת נתונים'!O76)</f>
        <v>51589</v>
      </c>
      <c r="F76" s="387">
        <v>0</v>
      </c>
      <c r="G76" s="129">
        <f>IF($C76="","",IF($U76&lt;&gt;1,$U$1,E76/$E$5))</f>
        <v>6.8098590824213524E-3</v>
      </c>
      <c r="H76" s="140"/>
      <c r="I76" s="139"/>
      <c r="J76" s="129">
        <f t="shared" si="4"/>
        <v>7.8737515438948632E-3</v>
      </c>
      <c r="K76" s="129">
        <f t="shared" si="9"/>
        <v>7.925432225874586E-3</v>
      </c>
      <c r="L76" s="130">
        <f t="shared" si="10"/>
        <v>64059.398279738969</v>
      </c>
      <c r="P76" s="18">
        <f t="shared" si="12"/>
        <v>0</v>
      </c>
      <c r="Q76" s="18">
        <f t="shared" si="12"/>
        <v>1</v>
      </c>
      <c r="R76" s="21">
        <f t="shared" si="11"/>
        <v>1</v>
      </c>
      <c r="S76" s="21">
        <f>IF(E76="",0,IFERROR(IF(E76&gt;=0,1,0),0))</f>
        <v>1</v>
      </c>
      <c r="T76" s="18"/>
      <c r="U76" s="21">
        <f t="shared" si="7"/>
        <v>1</v>
      </c>
    </row>
    <row r="77" spans="2:21" ht="15.75" x14ac:dyDescent="0.25">
      <c r="B77" s="126">
        <f t="shared" si="3"/>
        <v>57</v>
      </c>
      <c r="C77" s="127" t="str">
        <f>'מוסדי ותמיכה ממקורות אחרים'!C77</f>
        <v>ענת דניאלי</v>
      </c>
      <c r="D77" s="408">
        <f>IF(C77="","",'מוסדי ותמיכה ממקורות אחרים'!J77)</f>
        <v>1.0793998206179163E-2</v>
      </c>
      <c r="E77" s="130">
        <f>IF(C77="","",'סיכום לועדה- הזנת נתונים'!O77)</f>
        <v>79787</v>
      </c>
      <c r="F77" s="387">
        <v>0</v>
      </c>
      <c r="G77" s="129">
        <f>IF($C77="","",IF($U77&lt;&gt;1,$U$1,E77/$E$5))</f>
        <v>1.0532055798894192E-2</v>
      </c>
      <c r="H77" s="140"/>
      <c r="I77" s="139"/>
      <c r="J77" s="129">
        <f t="shared" si="4"/>
        <v>1.0663027002536678E-2</v>
      </c>
      <c r="K77" s="129">
        <f t="shared" si="9"/>
        <v>1.0733015559374821E-2</v>
      </c>
      <c r="L77" s="130">
        <f t="shared" si="10"/>
        <v>86752.431774754659</v>
      </c>
      <c r="P77" s="18">
        <f t="shared" si="12"/>
        <v>0</v>
      </c>
      <c r="Q77" s="18">
        <f t="shared" si="12"/>
        <v>1</v>
      </c>
      <c r="R77" s="21">
        <f t="shared" si="11"/>
        <v>1</v>
      </c>
      <c r="S77" s="21">
        <f>IF(E77="",0,IFERROR(IF(E77&gt;=0,1,0),0))</f>
        <v>1</v>
      </c>
      <c r="T77" s="18"/>
      <c r="U77" s="21">
        <f t="shared" si="7"/>
        <v>1</v>
      </c>
    </row>
    <row r="78" spans="2:21" ht="15.75" x14ac:dyDescent="0.25">
      <c r="B78" s="126">
        <f t="shared" si="3"/>
        <v>58</v>
      </c>
      <c r="C78" s="127" t="str">
        <f>'מוסדי ותמיכה ממקורות אחרים'!C78</f>
        <v>ענת כץ וארז מעיין</v>
      </c>
      <c r="D78" s="408">
        <f>IF(C78="","",'מוסדי ותמיכה ממקורות אחרים'!J78)</f>
        <v>7.7066402175417908E-3</v>
      </c>
      <c r="E78" s="130">
        <f>IF(C78="","",'סיכום לועדה- הזנת נתונים'!O78)</f>
        <v>47544</v>
      </c>
      <c r="F78" s="387">
        <v>0</v>
      </c>
      <c r="G78" s="129">
        <f t="shared" si="8"/>
        <v>6.2759103726499985E-3</v>
      </c>
      <c r="H78" s="140"/>
      <c r="I78" s="139"/>
      <c r="J78" s="129">
        <f t="shared" si="4"/>
        <v>6.9912752950958947E-3</v>
      </c>
      <c r="K78" s="129">
        <f t="shared" si="9"/>
        <v>7.037163696977042E-3</v>
      </c>
      <c r="L78" s="130">
        <f t="shared" si="10"/>
        <v>56879.73339203294</v>
      </c>
      <c r="P78" s="18">
        <f t="shared" si="12"/>
        <v>0</v>
      </c>
      <c r="Q78" s="18">
        <f t="shared" si="12"/>
        <v>1</v>
      </c>
      <c r="R78" s="21">
        <f t="shared" si="11"/>
        <v>1</v>
      </c>
      <c r="S78" s="21">
        <f t="shared" si="6"/>
        <v>1</v>
      </c>
      <c r="T78" s="18"/>
      <c r="U78" s="21">
        <f t="shared" si="7"/>
        <v>1</v>
      </c>
    </row>
    <row r="79" spans="2:21" ht="15.75" x14ac:dyDescent="0.25">
      <c r="B79" s="126">
        <f t="shared" si="3"/>
        <v>59</v>
      </c>
      <c r="C79" s="127" t="str">
        <f>'מוסדי ותמיכה ממקורות אחרים'!C79</f>
        <v>ענת שמגר</v>
      </c>
      <c r="D79" s="408">
        <f>IF(C79="","",'מוסדי ותמיכה ממקורות אחרים'!J79)</f>
        <v>9.4810653112200414E-3</v>
      </c>
      <c r="E79" s="130">
        <f>IF(C79="","",'סיכום לועדה- הזנת נתונים'!O79)</f>
        <v>63584</v>
      </c>
      <c r="F79" s="387">
        <v>0</v>
      </c>
      <c r="G79" s="129">
        <f t="shared" si="8"/>
        <v>8.393224910284736E-3</v>
      </c>
      <c r="H79" s="140"/>
      <c r="I79" s="139"/>
      <c r="J79" s="129">
        <f t="shared" si="4"/>
        <v>8.9371451107523887E-3</v>
      </c>
      <c r="K79" s="129">
        <f t="shared" si="9"/>
        <v>8.9958055538334972E-3</v>
      </c>
      <c r="L79" s="130">
        <f t="shared" si="10"/>
        <v>72710.973281525454</v>
      </c>
      <c r="P79" s="18">
        <f t="shared" si="12"/>
        <v>0</v>
      </c>
      <c r="Q79" s="18">
        <f t="shared" si="12"/>
        <v>1</v>
      </c>
      <c r="R79" s="21">
        <f t="shared" si="11"/>
        <v>1</v>
      </c>
      <c r="S79" s="21">
        <f t="shared" si="6"/>
        <v>1</v>
      </c>
      <c r="T79" s="18"/>
      <c r="U79" s="21">
        <f t="shared" si="7"/>
        <v>1</v>
      </c>
    </row>
    <row r="80" spans="2:21" ht="15.75" x14ac:dyDescent="0.25">
      <c r="B80" s="126">
        <f t="shared" si="3"/>
        <v>60</v>
      </c>
      <c r="C80" s="127" t="str">
        <f>'מוסדי ותמיכה ממקורות אחרים'!C80</f>
        <v>ק.ט.מ.ו.ן קבוצת מחול בירושלים</v>
      </c>
      <c r="D80" s="408">
        <f>IF(C80="","",'מוסדי ותמיכה ממקורות אחרים'!J80)</f>
        <v>1.5086448417762733E-2</v>
      </c>
      <c r="E80" s="130">
        <f>IF(C80="","",'סיכום לועדה- הזנת נתונים'!O80)</f>
        <v>99192</v>
      </c>
      <c r="F80" s="387">
        <v>0</v>
      </c>
      <c r="G80" s="129">
        <f t="shared" si="8"/>
        <v>1.309355758211128E-2</v>
      </c>
      <c r="H80" s="140"/>
      <c r="I80" s="139"/>
      <c r="J80" s="129">
        <f t="shared" si="4"/>
        <v>1.4090002999937006E-2</v>
      </c>
      <c r="K80" s="129">
        <f t="shared" si="9"/>
        <v>1.4182485085518904E-2</v>
      </c>
      <c r="L80" s="130">
        <f t="shared" si="10"/>
        <v>114633.67987976912</v>
      </c>
      <c r="P80" s="18">
        <f t="shared" si="12"/>
        <v>0</v>
      </c>
      <c r="Q80" s="18">
        <f t="shared" si="12"/>
        <v>1</v>
      </c>
      <c r="R80" s="21">
        <f t="shared" si="11"/>
        <v>1</v>
      </c>
      <c r="S80" s="21">
        <f t="shared" si="6"/>
        <v>1</v>
      </c>
      <c r="T80" s="18"/>
      <c r="U80" s="21">
        <f t="shared" si="7"/>
        <v>1</v>
      </c>
    </row>
    <row r="81" spans="2:21" ht="15.75" x14ac:dyDescent="0.25">
      <c r="B81" s="126">
        <f t="shared" si="3"/>
        <v>61</v>
      </c>
      <c r="C81" s="127" t="str">
        <f>'מוסדי ותמיכה ממקורות אחרים'!C81</f>
        <v>רונית זיו</v>
      </c>
      <c r="D81" s="408">
        <f>IF(C81="","",'מוסדי ותמיכה ממקורות אחרים'!J81)</f>
        <v>9.2800480430651165E-3</v>
      </c>
      <c r="E81" s="130">
        <f>IF(C81="","",'סיכום לועדה- הזנת נתונים'!O81)</f>
        <v>88927</v>
      </c>
      <c r="F81" s="387">
        <v>0</v>
      </c>
      <c r="G81" s="129">
        <f t="shared" si="8"/>
        <v>1.1738555479316978E-2</v>
      </c>
      <c r="H81" s="140"/>
      <c r="I81" s="139"/>
      <c r="J81" s="129">
        <f t="shared" si="4"/>
        <v>1.0509301761191046E-2</v>
      </c>
      <c r="K81" s="129">
        <f t="shared" si="9"/>
        <v>1.0578281316758836E-2</v>
      </c>
      <c r="L81" s="130">
        <f t="shared" si="10"/>
        <v>85501.751408970915</v>
      </c>
      <c r="P81" s="18">
        <f t="shared" si="12"/>
        <v>0</v>
      </c>
      <c r="Q81" s="18">
        <f t="shared" si="12"/>
        <v>1</v>
      </c>
      <c r="R81" s="21">
        <f t="shared" si="11"/>
        <v>1</v>
      </c>
      <c r="S81" s="21">
        <f t="shared" si="6"/>
        <v>1</v>
      </c>
      <c r="T81" s="18"/>
      <c r="U81" s="21">
        <f t="shared" si="7"/>
        <v>1</v>
      </c>
    </row>
    <row r="82" spans="2:21" ht="15.75" x14ac:dyDescent="0.25">
      <c r="B82" s="126">
        <f t="shared" si="3"/>
        <v>62</v>
      </c>
      <c r="C82" s="127" t="str">
        <f>'מוסדי ותמיכה ממקורות אחרים'!C82</f>
        <v>טלי זבילביץ</v>
      </c>
      <c r="D82" s="408">
        <f>IF(C82="","",'מוסדי ותמיכה ממקורות אחרים'!J82)</f>
        <v>5.9996360798274242E-3</v>
      </c>
      <c r="E82" s="130">
        <f>IF(C82="","",'סיכום לועדה- הזנת נתונים'!O82)</f>
        <v>40665</v>
      </c>
      <c r="F82" s="560">
        <v>0</v>
      </c>
      <c r="G82" s="129">
        <f t="shared" si="8"/>
        <v>5.3678675606556496E-3</v>
      </c>
      <c r="H82" s="140"/>
      <c r="I82" s="139"/>
      <c r="J82" s="129">
        <f t="shared" si="4"/>
        <v>5.6837518202415369E-3</v>
      </c>
      <c r="K82" s="129">
        <f t="shared" si="9"/>
        <v>5.7210580736375234E-3</v>
      </c>
      <c r="L82" s="130">
        <f t="shared" si="10"/>
        <v>46241.96223950672</v>
      </c>
      <c r="P82" s="18">
        <f t="shared" si="12"/>
        <v>0</v>
      </c>
      <c r="Q82" s="18">
        <f t="shared" si="12"/>
        <v>1</v>
      </c>
      <c r="R82" s="21">
        <f t="shared" si="11"/>
        <v>1</v>
      </c>
      <c r="S82" s="21">
        <f t="shared" si="6"/>
        <v>1</v>
      </c>
      <c r="T82" s="18"/>
      <c r="U82" s="21">
        <f t="shared" si="7"/>
        <v>1</v>
      </c>
    </row>
    <row r="83" spans="2:21" ht="15.75" x14ac:dyDescent="0.25">
      <c r="B83" s="126">
        <f t="shared" si="3"/>
        <v>63</v>
      </c>
      <c r="C83" s="127" t="str">
        <f>'מוסדי ותמיכה ממקורות אחרים'!C83</f>
        <v>רייצ'ל ארדוס</v>
      </c>
      <c r="D83" s="408">
        <f>IF(C83="","",'מוסדי ותמיכה ממקורות אחרים'!J83)</f>
        <v>1.3935561624502794E-2</v>
      </c>
      <c r="E83" s="130">
        <f>IF(C83="","",'סיכום לועדה- הזנת נתונים'!O83)</f>
        <v>100326</v>
      </c>
      <c r="F83" s="387">
        <v>0</v>
      </c>
      <c r="G83" s="129">
        <f t="shared" si="8"/>
        <v>1.3243248023861766E-2</v>
      </c>
      <c r="H83" s="140"/>
      <c r="I83" s="139"/>
      <c r="J83" s="129">
        <f t="shared" si="4"/>
        <v>1.3589404824182281E-2</v>
      </c>
      <c r="K83" s="129">
        <f t="shared" si="9"/>
        <v>1.3678601150113703E-2</v>
      </c>
      <c r="L83" s="130">
        <f t="shared" si="10"/>
        <v>110560.90494649764</v>
      </c>
      <c r="P83" s="18">
        <f t="shared" si="12"/>
        <v>0</v>
      </c>
      <c r="Q83" s="18">
        <f t="shared" si="12"/>
        <v>1</v>
      </c>
      <c r="R83" s="21">
        <f t="shared" si="11"/>
        <v>1</v>
      </c>
      <c r="S83" s="21">
        <f t="shared" si="6"/>
        <v>1</v>
      </c>
      <c r="T83" s="18"/>
      <c r="U83" s="21">
        <f t="shared" si="7"/>
        <v>1</v>
      </c>
    </row>
    <row r="84" spans="2:21" ht="15.75" x14ac:dyDescent="0.25">
      <c r="B84" s="126">
        <f t="shared" si="3"/>
        <v>64</v>
      </c>
      <c r="C84" s="127" t="str">
        <f>'מוסדי ותמיכה ממקורות אחרים'!C84</f>
        <v>שירה אביתר</v>
      </c>
      <c r="D84" s="408">
        <f>IF(C84="","",'מוסדי ותמיכה ממקורות אחרים'!J84)</f>
        <v>5.296902930554577E-3</v>
      </c>
      <c r="E84" s="130">
        <f>IF(C84="","",'סיכום לועדה- הזנת נתונים'!O84)</f>
        <v>52406</v>
      </c>
      <c r="F84" s="387">
        <v>0</v>
      </c>
      <c r="G84" s="129">
        <f t="shared" si="8"/>
        <v>6.9177048416013765E-3</v>
      </c>
      <c r="H84" s="140"/>
      <c r="I84" s="139"/>
      <c r="J84" s="129">
        <f t="shared" si="4"/>
        <v>6.1073038860779763E-3</v>
      </c>
      <c r="K84" s="129">
        <f t="shared" si="9"/>
        <v>6.1473901941269853E-3</v>
      </c>
      <c r="L84" s="130">
        <f t="shared" si="10"/>
        <v>49687.904155042605</v>
      </c>
      <c r="P84" s="18">
        <f t="shared" si="12"/>
        <v>0</v>
      </c>
      <c r="Q84" s="18">
        <f t="shared" si="12"/>
        <v>1</v>
      </c>
      <c r="R84" s="21">
        <f t="shared" si="11"/>
        <v>1</v>
      </c>
      <c r="S84" s="21">
        <f t="shared" si="6"/>
        <v>1</v>
      </c>
      <c r="T84" s="18"/>
      <c r="U84" s="21">
        <f t="shared" si="7"/>
        <v>1</v>
      </c>
    </row>
    <row r="85" spans="2:21" ht="15.75" x14ac:dyDescent="0.25">
      <c r="B85" s="126">
        <f t="shared" si="3"/>
        <v>65</v>
      </c>
      <c r="C85" s="127" t="str">
        <f>'מוסדי ותמיכה ממקורות אחרים'!C85</f>
        <v>שלומית פונדמינסקי</v>
      </c>
      <c r="D85" s="408">
        <f>IF(C85="","",'מוסדי ותמיכה ממקורות אחרים'!J85)</f>
        <v>2.0625979959170811E-2</v>
      </c>
      <c r="E85" s="130">
        <f>IF(C85="","",'סיכום לועדה- הזנת נתונים'!O85)</f>
        <v>100289</v>
      </c>
      <c r="F85" s="387">
        <v>0</v>
      </c>
      <c r="G85" s="129">
        <f t="shared" si="8"/>
        <v>1.3238363944192658E-2</v>
      </c>
      <c r="H85" s="140"/>
      <c r="I85" s="139"/>
      <c r="J85" s="129">
        <f t="shared" si="4"/>
        <v>1.6932171951681736E-2</v>
      </c>
      <c r="K85" s="129">
        <f t="shared" ref="K85:K116" si="13">IF(C85="","",IF($U$18&lt;&gt;1,$U$1,J85/$J$133*100%))</f>
        <v>1.704330908738922E-2</v>
      </c>
      <c r="L85" s="130">
        <f t="shared" ref="L85:L116" si="14">IF(C85="","",IF(AND($U$18&lt;&gt;1),$U$1,K85*$C$2))</f>
        <v>137757.04513242244</v>
      </c>
      <c r="P85" s="18">
        <f t="shared" si="12"/>
        <v>0</v>
      </c>
      <c r="Q85" s="18">
        <f t="shared" si="12"/>
        <v>1</v>
      </c>
      <c r="R85" s="21">
        <f t="shared" ref="R85:R120" si="15">IF(D85=$U$1,0,1)</f>
        <v>1</v>
      </c>
      <c r="S85" s="21">
        <f t="shared" si="6"/>
        <v>1</v>
      </c>
      <c r="T85" s="18"/>
      <c r="U85" s="21">
        <f t="shared" si="7"/>
        <v>1</v>
      </c>
    </row>
    <row r="86" spans="2:21" ht="15.75" x14ac:dyDescent="0.25">
      <c r="B86" s="126" t="str">
        <f t="shared" ref="B86:B120" si="16">IF(C86="","",ROW()-20)</f>
        <v/>
      </c>
      <c r="C86" s="127" t="str">
        <f>'מוסדי ותמיכה ממקורות אחרים'!C86</f>
        <v/>
      </c>
      <c r="D86" s="408" t="str">
        <f>IF(C86="","",'מוסדי ותמיכה ממקורות אחרים'!J86)</f>
        <v/>
      </c>
      <c r="E86" s="130" t="str">
        <f>IF(C86="","",'סיכום לועדה- הזנת נתונים'!O86)</f>
        <v/>
      </c>
      <c r="F86" s="387"/>
      <c r="G86" s="129" t="str">
        <f t="shared" ref="G86:G120" si="17">IF($C86="","",IF($U86&lt;&gt;1,$U$1,E86/$E$5))</f>
        <v/>
      </c>
      <c r="H86" s="140"/>
      <c r="I86" s="139"/>
      <c r="J86" s="129" t="str">
        <f t="shared" ref="J86:J120" si="18">IF($C86="","",IF($U86&lt;&gt;1,$U$1,IF(F86=1,D86,AVERAGE($G86,$D86))))</f>
        <v/>
      </c>
      <c r="K86" s="129" t="str">
        <f t="shared" si="13"/>
        <v/>
      </c>
      <c r="L86" s="130" t="str">
        <f t="shared" si="14"/>
        <v/>
      </c>
      <c r="P86" s="18" t="str">
        <f t="shared" ref="P86:Q121" si="19">IF($C86="","",P$20)</f>
        <v/>
      </c>
      <c r="Q86" s="18" t="str">
        <f t="shared" si="19"/>
        <v/>
      </c>
      <c r="R86" s="21">
        <f t="shared" si="15"/>
        <v>1</v>
      </c>
      <c r="S86" s="21">
        <f t="shared" ref="S86:S120" si="20">IF(E86="",0,IFERROR(IF(E86&gt;=0,1,0),0))</f>
        <v>0</v>
      </c>
      <c r="T86" s="18"/>
      <c r="U86" s="21">
        <f t="shared" ref="U86:U120" si="21">IF($C86="",1,IFERROR(IF(SUM(R86:S86)=COUNT(R86:S86),1,0),0))</f>
        <v>1</v>
      </c>
    </row>
    <row r="87" spans="2:21" ht="15.75" x14ac:dyDescent="0.25">
      <c r="B87" s="126">
        <f t="shared" si="16"/>
        <v>67</v>
      </c>
      <c r="C87" s="127" t="str">
        <f>'מוסדי ותמיכה ממקורות אחרים'!C87</f>
        <v>שרון וזנה</v>
      </c>
      <c r="D87" s="408">
        <f>IF(C87="","",'מוסדי ותמיכה ממקורות אחרים'!J87)</f>
        <v>9.3957395761048237E-3</v>
      </c>
      <c r="E87" s="130">
        <f>IF(C87="","",'סיכום לועדה- הזנת נתונים'!O87)</f>
        <v>72868</v>
      </c>
      <c r="F87" s="387">
        <v>0</v>
      </c>
      <c r="G87" s="129">
        <f t="shared" si="17"/>
        <v>9.6187329007710771E-3</v>
      </c>
      <c r="H87" s="140"/>
      <c r="I87" s="139"/>
      <c r="J87" s="129">
        <f t="shared" si="18"/>
        <v>9.5072362384379504E-3</v>
      </c>
      <c r="K87" s="129">
        <f t="shared" si="13"/>
        <v>9.5696385697543081E-3</v>
      </c>
      <c r="L87" s="130">
        <f t="shared" si="14"/>
        <v>77349.130124621617</v>
      </c>
      <c r="P87" s="18">
        <f t="shared" si="19"/>
        <v>0</v>
      </c>
      <c r="Q87" s="18">
        <f t="shared" si="19"/>
        <v>1</v>
      </c>
      <c r="R87" s="21">
        <f t="shared" si="15"/>
        <v>1</v>
      </c>
      <c r="S87" s="21">
        <f t="shared" si="20"/>
        <v>1</v>
      </c>
      <c r="T87" s="18"/>
      <c r="U87" s="21">
        <f t="shared" si="21"/>
        <v>1</v>
      </c>
    </row>
    <row r="88" spans="2:21" ht="15.75" x14ac:dyDescent="0.25">
      <c r="B88" s="126">
        <f t="shared" si="16"/>
        <v>68</v>
      </c>
      <c r="C88" s="127" t="str">
        <f>'מוסדי ותמיכה ממקורות אחרים'!C88</f>
        <v>שרונה פלורסהיים</v>
      </c>
      <c r="D88" s="408">
        <f>IF(C88="","",'מוסדי ותמיכה ממקורות אחרים'!J88)</f>
        <v>1.6329993481206381E-2</v>
      </c>
      <c r="E88" s="130">
        <f>IF(C88="","",'סיכום לועדה- הזנת נתונים'!O88)</f>
        <v>141083</v>
      </c>
      <c r="F88" s="387">
        <v>0</v>
      </c>
      <c r="G88" s="129">
        <f t="shared" si="17"/>
        <v>1.8623259782613574E-2</v>
      </c>
      <c r="H88" s="140"/>
      <c r="I88" s="139"/>
      <c r="J88" s="129">
        <f t="shared" si="18"/>
        <v>1.7476626631909978E-2</v>
      </c>
      <c r="K88" s="129">
        <f t="shared" si="13"/>
        <v>1.7591337386752431E-2</v>
      </c>
      <c r="L88" s="130">
        <f t="shared" si="14"/>
        <v>142186.62854149661</v>
      </c>
      <c r="P88" s="18">
        <f t="shared" si="19"/>
        <v>0</v>
      </c>
      <c r="Q88" s="18">
        <f t="shared" si="19"/>
        <v>1</v>
      </c>
      <c r="R88" s="21">
        <f t="shared" si="15"/>
        <v>1</v>
      </c>
      <c r="S88" s="21">
        <f t="shared" si="20"/>
        <v>1</v>
      </c>
      <c r="T88" s="18"/>
      <c r="U88" s="21">
        <f t="shared" si="21"/>
        <v>1</v>
      </c>
    </row>
    <row r="89" spans="2:21" ht="15.75" x14ac:dyDescent="0.25">
      <c r="B89" s="126">
        <f t="shared" si="16"/>
        <v>69</v>
      </c>
      <c r="C89" s="127" t="str">
        <f>'מוסדי ותמיכה ממקורות אחרים'!C89</f>
        <v>תמי ליבוביץ</v>
      </c>
      <c r="D89" s="408">
        <f>IF(C89="","",'מוסדי ותמיכה ממקורות אחרים'!J89)</f>
        <v>6.8338767890824582E-3</v>
      </c>
      <c r="E89" s="130">
        <f>IF(C89="","",'סיכום לועדה- הזנת נתונים'!O89)</f>
        <v>61466</v>
      </c>
      <c r="F89" s="387">
        <v>0</v>
      </c>
      <c r="G89" s="129">
        <f t="shared" si="17"/>
        <v>8.1136443497666338E-3</v>
      </c>
      <c r="H89" s="140"/>
      <c r="I89" s="139"/>
      <c r="J89" s="129">
        <f t="shared" si="18"/>
        <v>7.473760569424546E-3</v>
      </c>
      <c r="K89" s="129">
        <f t="shared" si="13"/>
        <v>7.5228158439055543E-3</v>
      </c>
      <c r="L89" s="130">
        <f t="shared" si="14"/>
        <v>60805.145081749433</v>
      </c>
      <c r="P89" s="18">
        <f t="shared" si="19"/>
        <v>0</v>
      </c>
      <c r="Q89" s="18">
        <f t="shared" si="19"/>
        <v>1</v>
      </c>
      <c r="R89" s="21">
        <f t="shared" si="15"/>
        <v>1</v>
      </c>
      <c r="S89" s="21">
        <f t="shared" si="20"/>
        <v>1</v>
      </c>
      <c r="T89" s="18"/>
      <c r="U89" s="21">
        <f t="shared" si="21"/>
        <v>1</v>
      </c>
    </row>
    <row r="90" spans="2:21" ht="13.5" customHeight="1" x14ac:dyDescent="0.25">
      <c r="B90" s="126">
        <f t="shared" si="16"/>
        <v>70</v>
      </c>
      <c r="C90" s="127" t="str">
        <f>'מוסדי ותמיכה ממקורות אחרים'!C90</f>
        <v>תמר בורר</v>
      </c>
      <c r="D90" s="408">
        <f>IF(C90="","",'מוסדי ותמיכה ממקורות אחרים'!J90)</f>
        <v>7.2654780576516921E-3</v>
      </c>
      <c r="E90" s="130">
        <f>IF(C90="","",'סיכום לועדה- הזנת נתונים'!O90)</f>
        <v>76073</v>
      </c>
      <c r="F90" s="387">
        <v>0</v>
      </c>
      <c r="G90" s="129">
        <f t="shared" si="17"/>
        <v>1.0041799801838367E-2</v>
      </c>
      <c r="H90" s="140"/>
      <c r="I90" s="139"/>
      <c r="J90" s="129">
        <f t="shared" si="18"/>
        <v>8.6536389297450292E-3</v>
      </c>
      <c r="K90" s="129">
        <f t="shared" si="13"/>
        <v>8.7104385327045966E-3</v>
      </c>
      <c r="L90" s="130">
        <f t="shared" si="14"/>
        <v>70404.418996357534</v>
      </c>
      <c r="P90" s="18">
        <f t="shared" si="19"/>
        <v>0</v>
      </c>
      <c r="Q90" s="18">
        <f t="shared" si="19"/>
        <v>1</v>
      </c>
      <c r="R90" s="21">
        <f t="shared" si="15"/>
        <v>1</v>
      </c>
      <c r="S90" s="21">
        <f t="shared" si="20"/>
        <v>1</v>
      </c>
      <c r="T90" s="18"/>
      <c r="U90" s="21">
        <f t="shared" si="21"/>
        <v>1</v>
      </c>
    </row>
    <row r="91" spans="2:21" ht="15.75" x14ac:dyDescent="0.25">
      <c r="B91" s="126">
        <f t="shared" si="16"/>
        <v>71</v>
      </c>
      <c r="C91" s="127" t="str">
        <f>'מוסדי ותמיכה ממקורות אחרים'!C91</f>
        <v>תמי ורונן יצחקי</v>
      </c>
      <c r="D91" s="408">
        <f>IF(C91="","",'מוסדי ותמיכה ממקורות אחרים'!J91)</f>
        <v>1.0771415938243115E-2</v>
      </c>
      <c r="E91" s="130">
        <f>IF(C91="","",'סיכום לועדה- הזנת נתונים'!O91)</f>
        <v>91811</v>
      </c>
      <c r="F91" s="387">
        <v>0</v>
      </c>
      <c r="G91" s="129">
        <f t="shared" si="17"/>
        <v>1.2119249689200931E-2</v>
      </c>
      <c r="H91" s="140"/>
      <c r="I91" s="139"/>
      <c r="J91" s="129">
        <f t="shared" si="18"/>
        <v>1.1445332813722023E-2</v>
      </c>
      <c r="K91" s="129">
        <f t="shared" si="13"/>
        <v>1.1520456165278208E-2</v>
      </c>
      <c r="L91" s="130">
        <f t="shared" si="14"/>
        <v>93117.128356288755</v>
      </c>
      <c r="P91" s="18">
        <f t="shared" si="19"/>
        <v>0</v>
      </c>
      <c r="Q91" s="18">
        <f t="shared" si="19"/>
        <v>1</v>
      </c>
      <c r="R91" s="21">
        <f t="shared" si="15"/>
        <v>1</v>
      </c>
      <c r="S91" s="21">
        <f t="shared" si="20"/>
        <v>1</v>
      </c>
      <c r="T91" s="18"/>
      <c r="U91" s="21">
        <f t="shared" si="21"/>
        <v>1</v>
      </c>
    </row>
    <row r="92" spans="2:21" ht="15.75" x14ac:dyDescent="0.25">
      <c r="B92" s="126">
        <f t="shared" si="16"/>
        <v>72</v>
      </c>
      <c r="C92" s="127" t="str">
        <f>'מוסדי ותמיכה ממקורות אחרים'!C92</f>
        <v>רננה רז</v>
      </c>
      <c r="D92" s="408">
        <f>IF(C92="","",'מוסדי ותמיכה ממקורות אחרים'!J92)</f>
        <v>2.0783401350391105E-2</v>
      </c>
      <c r="E92" s="130">
        <f>IF(C92="","",'סיכום לועדה- הזנת נתונים'!O92)</f>
        <v>185871</v>
      </c>
      <c r="F92" s="387">
        <v>0</v>
      </c>
      <c r="G92" s="129">
        <f t="shared" si="17"/>
        <v>2.4535372220991669E-2</v>
      </c>
      <c r="H92" s="140"/>
      <c r="I92" s="139"/>
      <c r="J92" s="129">
        <f t="shared" si="18"/>
        <v>2.2659386785691387E-2</v>
      </c>
      <c r="K92" s="129">
        <f t="shared" si="13"/>
        <v>2.280811545153745E-2</v>
      </c>
      <c r="L92" s="130">
        <f t="shared" si="14"/>
        <v>184352.61447953066</v>
      </c>
      <c r="P92" s="18">
        <f t="shared" si="19"/>
        <v>0</v>
      </c>
      <c r="Q92" s="18">
        <f t="shared" si="19"/>
        <v>1</v>
      </c>
      <c r="R92" s="21">
        <f t="shared" si="15"/>
        <v>1</v>
      </c>
      <c r="S92" s="21">
        <f t="shared" si="20"/>
        <v>1</v>
      </c>
      <c r="T92" s="18"/>
      <c r="U92" s="21">
        <f t="shared" si="21"/>
        <v>1</v>
      </c>
    </row>
    <row r="93" spans="2:21" ht="15.75" x14ac:dyDescent="0.25">
      <c r="B93" s="126">
        <f t="shared" si="16"/>
        <v>73</v>
      </c>
      <c r="C93" s="127" t="str">
        <f>'מוסדי ותמיכה ממקורות אחרים'!C93</f>
        <v>רתם תשח</v>
      </c>
      <c r="D93" s="408">
        <f>IF(C93="","",'מוסדי ותמיכה ממקורות אחרים'!J93)</f>
        <v>4.3555001216272534E-3</v>
      </c>
      <c r="E93" s="130">
        <f>IF(C93="","",'סיכום לועדה- הזנת נתונים'!O93)</f>
        <v>37843</v>
      </c>
      <c r="F93" s="387">
        <v>0</v>
      </c>
      <c r="G93" s="129">
        <f t="shared" si="17"/>
        <v>4.9953574842712834E-3</v>
      </c>
      <c r="H93" s="140"/>
      <c r="I93" s="139"/>
      <c r="J93" s="129">
        <f t="shared" si="18"/>
        <v>4.6754288029492684E-3</v>
      </c>
      <c r="K93" s="129">
        <f t="shared" si="13"/>
        <v>4.7061167599843634E-3</v>
      </c>
      <c r="L93" s="130">
        <f t="shared" si="14"/>
        <v>38038.431127398253</v>
      </c>
      <c r="P93" s="18">
        <f t="shared" si="19"/>
        <v>0</v>
      </c>
      <c r="Q93" s="18">
        <f t="shared" si="19"/>
        <v>1</v>
      </c>
      <c r="R93" s="21">
        <f t="shared" si="15"/>
        <v>1</v>
      </c>
      <c r="S93" s="21">
        <f t="shared" si="20"/>
        <v>1</v>
      </c>
      <c r="T93" s="18"/>
      <c r="U93" s="21">
        <f t="shared" si="21"/>
        <v>1</v>
      </c>
    </row>
    <row r="94" spans="2:21" ht="15.75" x14ac:dyDescent="0.25">
      <c r="B94" s="126" t="str">
        <f t="shared" si="16"/>
        <v/>
      </c>
      <c r="C94" s="127" t="str">
        <f>'מוסדי ותמיכה ממקורות אחרים'!C94</f>
        <v/>
      </c>
      <c r="D94" s="408" t="str">
        <f>IF(C94="","",'מוסדי ותמיכה ממקורות אחרים'!J94)</f>
        <v/>
      </c>
      <c r="E94" s="130" t="str">
        <f>IF(C94="","",'סיכום לועדה- הזנת נתונים'!O94)</f>
        <v/>
      </c>
      <c r="F94" s="387"/>
      <c r="G94" s="129" t="str">
        <f t="shared" si="17"/>
        <v/>
      </c>
      <c r="H94" s="140"/>
      <c r="I94" s="139"/>
      <c r="J94" s="129" t="str">
        <f t="shared" si="18"/>
        <v/>
      </c>
      <c r="K94" s="129" t="str">
        <f t="shared" si="13"/>
        <v/>
      </c>
      <c r="L94" s="130" t="str">
        <f t="shared" si="14"/>
        <v/>
      </c>
      <c r="P94" s="18" t="str">
        <f t="shared" si="19"/>
        <v/>
      </c>
      <c r="Q94" s="18" t="str">
        <f t="shared" si="19"/>
        <v/>
      </c>
      <c r="R94" s="21">
        <f t="shared" si="15"/>
        <v>1</v>
      </c>
      <c r="S94" s="21">
        <f t="shared" si="20"/>
        <v>0</v>
      </c>
      <c r="T94" s="18"/>
      <c r="U94" s="21">
        <f t="shared" si="21"/>
        <v>1</v>
      </c>
    </row>
    <row r="95" spans="2:21" ht="15.75" x14ac:dyDescent="0.25">
      <c r="B95" s="126" t="str">
        <f t="shared" si="16"/>
        <v/>
      </c>
      <c r="C95" s="127" t="str">
        <f>'מוסדי ותמיכה ממקורות אחרים'!C95</f>
        <v/>
      </c>
      <c r="D95" s="408" t="str">
        <f>IF(C95="","",'מוסדי ותמיכה ממקורות אחרים'!J95)</f>
        <v/>
      </c>
      <c r="E95" s="130" t="str">
        <f>IF(C95="","",'סיכום לועדה- הזנת נתונים'!O95)</f>
        <v/>
      </c>
      <c r="F95" s="560"/>
      <c r="G95" s="129" t="str">
        <f t="shared" si="17"/>
        <v/>
      </c>
      <c r="H95" s="140"/>
      <c r="I95" s="139"/>
      <c r="J95" s="129" t="str">
        <f t="shared" si="18"/>
        <v/>
      </c>
      <c r="K95" s="129" t="str">
        <f t="shared" si="13"/>
        <v/>
      </c>
      <c r="L95" s="130" t="str">
        <f t="shared" si="14"/>
        <v/>
      </c>
      <c r="P95" s="18" t="str">
        <f t="shared" si="19"/>
        <v/>
      </c>
      <c r="Q95" s="18" t="str">
        <f t="shared" si="19"/>
        <v/>
      </c>
      <c r="R95" s="21">
        <f t="shared" si="15"/>
        <v>1</v>
      </c>
      <c r="S95" s="21">
        <f t="shared" si="20"/>
        <v>0</v>
      </c>
      <c r="T95" s="18"/>
      <c r="U95" s="21">
        <f t="shared" si="21"/>
        <v>1</v>
      </c>
    </row>
    <row r="96" spans="2:21" ht="15.75" x14ac:dyDescent="0.25">
      <c r="B96" s="126">
        <f t="shared" si="16"/>
        <v>76</v>
      </c>
      <c r="C96" s="127" t="str">
        <f>'מוסדי ותמיכה ממקורות אחרים'!C96</f>
        <v>שרון שגיא - פלמנקו</v>
      </c>
      <c r="D96" s="408">
        <f>IF(C96="","",'מוסדי ותמיכה ממקורות אחרים'!J96)</f>
        <v>3.2904454237646201E-2</v>
      </c>
      <c r="E96" s="130">
        <f>IF(C96="","",'סיכום לועדה- הזנת נתונים'!O96)</f>
        <v>209701</v>
      </c>
      <c r="F96" s="387">
        <v>0</v>
      </c>
      <c r="G96" s="129">
        <f t="shared" si="17"/>
        <v>2.7680983532203378E-2</v>
      </c>
      <c r="H96" s="140"/>
      <c r="I96" s="139"/>
      <c r="J96" s="129">
        <f t="shared" si="18"/>
        <v>3.0292718884924789E-2</v>
      </c>
      <c r="K96" s="129">
        <f t="shared" si="13"/>
        <v>3.0491550199611986E-2</v>
      </c>
      <c r="L96" s="130">
        <f t="shared" si="14"/>
        <v>246456.00425761659</v>
      </c>
      <c r="P96" s="18">
        <f t="shared" si="19"/>
        <v>0</v>
      </c>
      <c r="Q96" s="18">
        <f t="shared" si="19"/>
        <v>1</v>
      </c>
      <c r="R96" s="21">
        <f t="shared" si="15"/>
        <v>1</v>
      </c>
      <c r="S96" s="21">
        <f t="shared" si="20"/>
        <v>1</v>
      </c>
      <c r="T96" s="18"/>
      <c r="U96" s="21">
        <f t="shared" si="21"/>
        <v>1</v>
      </c>
    </row>
    <row r="97" spans="2:21" ht="15.75" x14ac:dyDescent="0.25">
      <c r="B97" s="126" t="str">
        <f t="shared" si="16"/>
        <v/>
      </c>
      <c r="C97" s="127" t="str">
        <f>'מוסדי ותמיכה ממקורות אחרים'!C97</f>
        <v/>
      </c>
      <c r="D97" s="408" t="str">
        <f>IF(C97="","",'מוסדי ותמיכה ממקורות אחרים'!J97)</f>
        <v/>
      </c>
      <c r="E97" s="130" t="str">
        <f>IF(C97="","",'סיכום לועדה- הזנת נתונים'!O97)</f>
        <v/>
      </c>
      <c r="F97" s="560"/>
      <c r="G97" s="129" t="str">
        <f t="shared" si="17"/>
        <v/>
      </c>
      <c r="H97" s="140"/>
      <c r="I97" s="139"/>
      <c r="J97" s="129" t="str">
        <f t="shared" si="18"/>
        <v/>
      </c>
      <c r="K97" s="129" t="str">
        <f t="shared" si="13"/>
        <v/>
      </c>
      <c r="L97" s="130" t="str">
        <f t="shared" si="14"/>
        <v/>
      </c>
      <c r="P97" s="18" t="str">
        <f t="shared" si="19"/>
        <v/>
      </c>
      <c r="Q97" s="18" t="str">
        <f t="shared" si="19"/>
        <v/>
      </c>
      <c r="R97" s="21">
        <f t="shared" si="15"/>
        <v>1</v>
      </c>
      <c r="S97" s="21">
        <f t="shared" si="20"/>
        <v>0</v>
      </c>
      <c r="T97" s="18"/>
      <c r="U97" s="21">
        <f t="shared" si="21"/>
        <v>1</v>
      </c>
    </row>
    <row r="98" spans="2:21" ht="15.75" x14ac:dyDescent="0.25">
      <c r="B98" s="126">
        <f t="shared" si="16"/>
        <v>78</v>
      </c>
      <c r="C98" s="127" t="str">
        <f>'מוסדי ותמיכה ממקורות אחרים'!C98</f>
        <v>אוליביה קורט מסה</v>
      </c>
      <c r="D98" s="408">
        <f>IF(C98="","",'מוסדי ותמיכה ממקורות אחרים'!J98)</f>
        <v>1.2116191758990228E-2</v>
      </c>
      <c r="E98" s="130">
        <f>IF(C98="","",'סיכום לועדה- הזנת נתונים'!O98)</f>
        <v>0</v>
      </c>
      <c r="F98" s="560">
        <v>1</v>
      </c>
      <c r="G98" s="129">
        <f t="shared" si="17"/>
        <v>0</v>
      </c>
      <c r="H98" s="140"/>
      <c r="I98" s="139"/>
      <c r="J98" s="129">
        <f t="shared" si="18"/>
        <v>1.2116191758990228E-2</v>
      </c>
      <c r="K98" s="129">
        <f t="shared" si="13"/>
        <v>1.2195718405165297E-2</v>
      </c>
      <c r="L98" s="130">
        <f t="shared" si="14"/>
        <v>98575.11367940747</v>
      </c>
      <c r="P98" s="18">
        <f t="shared" si="19"/>
        <v>0</v>
      </c>
      <c r="Q98" s="18">
        <f t="shared" si="19"/>
        <v>1</v>
      </c>
      <c r="R98" s="21">
        <f t="shared" si="15"/>
        <v>1</v>
      </c>
      <c r="S98" s="21">
        <f t="shared" si="20"/>
        <v>1</v>
      </c>
      <c r="T98" s="18"/>
      <c r="U98" s="21">
        <f t="shared" si="21"/>
        <v>1</v>
      </c>
    </row>
    <row r="99" spans="2:21" ht="15.75" x14ac:dyDescent="0.25">
      <c r="B99" s="126" t="str">
        <f t="shared" si="16"/>
        <v/>
      </c>
      <c r="C99" s="127" t="str">
        <f>'מוסדי ותמיכה ממקורות אחרים'!C99</f>
        <v/>
      </c>
      <c r="D99" s="408" t="str">
        <f>IF(C99="","",'מוסדי ותמיכה ממקורות אחרים'!J99)</f>
        <v/>
      </c>
      <c r="E99" s="130" t="str">
        <f>IF(C99="","",'סיכום לועדה- הזנת נתונים'!O99)</f>
        <v/>
      </c>
      <c r="F99" s="560"/>
      <c r="G99" s="129" t="str">
        <f t="shared" si="17"/>
        <v/>
      </c>
      <c r="H99" s="140"/>
      <c r="I99" s="139"/>
      <c r="J99" s="129" t="str">
        <f t="shared" si="18"/>
        <v/>
      </c>
      <c r="K99" s="129" t="str">
        <f t="shared" si="13"/>
        <v/>
      </c>
      <c r="L99" s="130" t="str">
        <f t="shared" si="14"/>
        <v/>
      </c>
      <c r="P99" s="18" t="str">
        <f t="shared" si="19"/>
        <v/>
      </c>
      <c r="Q99" s="18" t="str">
        <f t="shared" si="19"/>
        <v/>
      </c>
      <c r="R99" s="21">
        <f t="shared" si="15"/>
        <v>1</v>
      </c>
      <c r="S99" s="21">
        <f t="shared" si="20"/>
        <v>0</v>
      </c>
      <c r="T99" s="18"/>
      <c r="U99" s="21">
        <f t="shared" si="21"/>
        <v>1</v>
      </c>
    </row>
    <row r="100" spans="2:21" ht="15.75" x14ac:dyDescent="0.25">
      <c r="B100" s="126" t="str">
        <f t="shared" si="16"/>
        <v/>
      </c>
      <c r="C100" s="127" t="str">
        <f>'מוסדי ותמיכה ממקורות אחרים'!C100</f>
        <v/>
      </c>
      <c r="D100" s="408" t="str">
        <f>IF(C100="","",'מוסדי ותמיכה ממקורות אחרים'!J100)</f>
        <v/>
      </c>
      <c r="E100" s="130" t="str">
        <f>IF(C100="","",'סיכום לועדה- הזנת נתונים'!O100)</f>
        <v/>
      </c>
      <c r="F100" s="387"/>
      <c r="G100" s="129" t="str">
        <f t="shared" si="17"/>
        <v/>
      </c>
      <c r="H100" s="140"/>
      <c r="I100" s="139"/>
      <c r="J100" s="129" t="str">
        <f t="shared" si="18"/>
        <v/>
      </c>
      <c r="K100" s="129" t="str">
        <f t="shared" si="13"/>
        <v/>
      </c>
      <c r="L100" s="130" t="str">
        <f t="shared" si="14"/>
        <v/>
      </c>
      <c r="P100" s="18" t="str">
        <f t="shared" si="19"/>
        <v/>
      </c>
      <c r="Q100" s="18" t="str">
        <f t="shared" si="19"/>
        <v/>
      </c>
      <c r="R100" s="21">
        <f t="shared" si="15"/>
        <v>1</v>
      </c>
      <c r="S100" s="21">
        <f t="shared" si="20"/>
        <v>0</v>
      </c>
      <c r="T100" s="18"/>
      <c r="U100" s="21">
        <f t="shared" si="21"/>
        <v>1</v>
      </c>
    </row>
    <row r="101" spans="2:21" ht="15.75" customHeight="1" x14ac:dyDescent="0.25">
      <c r="B101" s="126">
        <f t="shared" si="16"/>
        <v>81</v>
      </c>
      <c r="C101" s="127" t="str">
        <f>'מוסדי ותמיכה ממקורות אחרים'!C101</f>
        <v>דגה פדר</v>
      </c>
      <c r="D101" s="408">
        <f>IF(C101="","",'מוסדי ותמיכה ממקורות אחרים'!J101)</f>
        <v>3.9750014166276383E-3</v>
      </c>
      <c r="E101" s="130">
        <f>IF(C101="","",'סיכום לועדה- הזנת נתונים'!O101)</f>
        <v>35296</v>
      </c>
      <c r="F101" s="387">
        <v>0</v>
      </c>
      <c r="G101" s="129">
        <f t="shared" si="17"/>
        <v>4.6591480000221759E-3</v>
      </c>
      <c r="H101" s="140"/>
      <c r="I101" s="139"/>
      <c r="J101" s="129">
        <f t="shared" si="18"/>
        <v>4.3170747083249071E-3</v>
      </c>
      <c r="K101" s="129">
        <f t="shared" si="13"/>
        <v>4.3454105484691955E-3</v>
      </c>
      <c r="L101" s="130">
        <f t="shared" si="14"/>
        <v>35122.92794638707</v>
      </c>
      <c r="P101" s="18">
        <f t="shared" si="19"/>
        <v>0</v>
      </c>
      <c r="Q101" s="18">
        <f t="shared" si="19"/>
        <v>1</v>
      </c>
      <c r="R101" s="21">
        <f t="shared" si="15"/>
        <v>1</v>
      </c>
      <c r="S101" s="21">
        <f t="shared" si="20"/>
        <v>1</v>
      </c>
      <c r="T101" s="18"/>
      <c r="U101" s="21">
        <f t="shared" si="21"/>
        <v>1</v>
      </c>
    </row>
    <row r="102" spans="2:21" ht="15.75" x14ac:dyDescent="0.25">
      <c r="B102" s="126">
        <f t="shared" si="16"/>
        <v>82</v>
      </c>
      <c r="C102" s="127" t="str">
        <f>'מוסדי ותמיכה ממקורות אחרים'!C102</f>
        <v>דנה חפוטה</v>
      </c>
      <c r="D102" s="408">
        <f>IF(C102="","",'מוסדי ותמיכה ממקורות אחרים'!J102)</f>
        <v>7.1200852900338771E-3</v>
      </c>
      <c r="E102" s="130">
        <f>IF(C102="","",'סיכום לועדה- הזנת נתונים'!O102)</f>
        <v>40372</v>
      </c>
      <c r="F102" s="387">
        <v>0</v>
      </c>
      <c r="G102" s="129">
        <f t="shared" si="17"/>
        <v>5.329190929762446E-3</v>
      </c>
      <c r="H102" s="140"/>
      <c r="I102" s="139"/>
      <c r="J102" s="129">
        <f t="shared" si="18"/>
        <v>6.2246381098981611E-3</v>
      </c>
      <c r="K102" s="129">
        <f t="shared" si="13"/>
        <v>6.265494560702219E-3</v>
      </c>
      <c r="L102" s="130">
        <f t="shared" si="14"/>
        <v>50642.513877439713</v>
      </c>
      <c r="P102" s="18">
        <f t="shared" si="19"/>
        <v>0</v>
      </c>
      <c r="Q102" s="18">
        <f t="shared" si="19"/>
        <v>1</v>
      </c>
      <c r="R102" s="21">
        <f t="shared" si="15"/>
        <v>1</v>
      </c>
      <c r="S102" s="21">
        <f t="shared" si="20"/>
        <v>1</v>
      </c>
      <c r="T102" s="18"/>
      <c r="U102" s="21">
        <f t="shared" si="21"/>
        <v>1</v>
      </c>
    </row>
    <row r="103" spans="2:21" ht="15.75" customHeight="1" x14ac:dyDescent="0.25">
      <c r="B103" s="126" t="str">
        <f t="shared" si="16"/>
        <v/>
      </c>
      <c r="C103" s="127" t="str">
        <f>'מוסדי ותמיכה ממקורות אחרים'!C103</f>
        <v/>
      </c>
      <c r="D103" s="408" t="str">
        <f>IF(C103="","",'מוסדי ותמיכה ממקורות אחרים'!J103)</f>
        <v/>
      </c>
      <c r="E103" s="130" t="str">
        <f>IF(C103="","",'סיכום לועדה- הזנת נתונים'!O103)</f>
        <v/>
      </c>
      <c r="F103" s="387"/>
      <c r="G103" s="129" t="str">
        <f t="shared" si="17"/>
        <v/>
      </c>
      <c r="H103" s="140"/>
      <c r="I103" s="139"/>
      <c r="J103" s="129" t="str">
        <f t="shared" si="18"/>
        <v/>
      </c>
      <c r="K103" s="129" t="str">
        <f t="shared" si="13"/>
        <v/>
      </c>
      <c r="L103" s="130" t="str">
        <f t="shared" si="14"/>
        <v/>
      </c>
      <c r="P103" s="18" t="str">
        <f t="shared" si="19"/>
        <v/>
      </c>
      <c r="Q103" s="18" t="str">
        <f t="shared" si="19"/>
        <v/>
      </c>
      <c r="R103" s="21">
        <f t="shared" si="15"/>
        <v>1</v>
      </c>
      <c r="S103" s="21">
        <f t="shared" si="20"/>
        <v>0</v>
      </c>
      <c r="T103" s="18"/>
      <c r="U103" s="21">
        <f t="shared" si="21"/>
        <v>1</v>
      </c>
    </row>
    <row r="104" spans="2:21" ht="15.75" x14ac:dyDescent="0.25">
      <c r="B104" s="126" t="str">
        <f t="shared" si="16"/>
        <v/>
      </c>
      <c r="C104" s="127" t="str">
        <f>'מוסדי ותמיכה ממקורות אחרים'!C104</f>
        <v/>
      </c>
      <c r="D104" s="408" t="str">
        <f>IF(C104="","",'מוסדי ותמיכה ממקורות אחרים'!J104)</f>
        <v/>
      </c>
      <c r="E104" s="130" t="str">
        <f>IF(C104="","",'סיכום לועדה- הזנת נתונים'!O104)</f>
        <v/>
      </c>
      <c r="F104" s="387"/>
      <c r="G104" s="129" t="str">
        <f t="shared" si="17"/>
        <v/>
      </c>
      <c r="H104" s="140"/>
      <c r="I104" s="139"/>
      <c r="J104" s="129" t="str">
        <f t="shared" si="18"/>
        <v/>
      </c>
      <c r="K104" s="129" t="str">
        <f t="shared" si="13"/>
        <v/>
      </c>
      <c r="L104" s="130" t="str">
        <f t="shared" si="14"/>
        <v/>
      </c>
      <c r="P104" s="18" t="str">
        <f t="shared" si="19"/>
        <v/>
      </c>
      <c r="Q104" s="18" t="str">
        <f t="shared" si="19"/>
        <v/>
      </c>
      <c r="R104" s="21">
        <f t="shared" si="15"/>
        <v>1</v>
      </c>
      <c r="S104" s="21">
        <f t="shared" si="20"/>
        <v>0</v>
      </c>
      <c r="T104" s="18"/>
      <c r="U104" s="21">
        <f t="shared" si="21"/>
        <v>1</v>
      </c>
    </row>
    <row r="105" spans="2:21" ht="15.75" x14ac:dyDescent="0.25">
      <c r="B105" s="126">
        <f t="shared" si="16"/>
        <v>85</v>
      </c>
      <c r="C105" s="127" t="str">
        <f>'מוסדי ותמיכה ממקורות אחרים'!C105</f>
        <v>יענק'לה פילצר</v>
      </c>
      <c r="D105" s="408">
        <f>IF(C105="","",'מוסדי ותמיכה ממקורות אחרים'!J105)</f>
        <v>2.0630231375146905E-2</v>
      </c>
      <c r="E105" s="130">
        <f>IF(C105="","",'סיכום לועדה- הזנת נתונים'!O105)</f>
        <v>118486</v>
      </c>
      <c r="F105" s="387">
        <v>0</v>
      </c>
      <c r="G105" s="129">
        <f t="shared" si="17"/>
        <v>1.5640407126321046E-2</v>
      </c>
      <c r="H105" s="140"/>
      <c r="I105" s="139"/>
      <c r="J105" s="129">
        <f t="shared" si="18"/>
        <v>1.8135319250733976E-2</v>
      </c>
      <c r="K105" s="129">
        <f t="shared" si="13"/>
        <v>1.8254353444481765E-2</v>
      </c>
      <c r="L105" s="130">
        <f t="shared" si="14"/>
        <v>147545.63086433322</v>
      </c>
      <c r="P105" s="18">
        <f t="shared" si="19"/>
        <v>0</v>
      </c>
      <c r="Q105" s="18">
        <f t="shared" si="19"/>
        <v>1</v>
      </c>
      <c r="R105" s="21">
        <f t="shared" si="15"/>
        <v>1</v>
      </c>
      <c r="S105" s="21">
        <f t="shared" si="20"/>
        <v>1</v>
      </c>
      <c r="T105" s="18"/>
      <c r="U105" s="21">
        <f t="shared" si="21"/>
        <v>1</v>
      </c>
    </row>
    <row r="106" spans="2:21" ht="15.75" x14ac:dyDescent="0.25">
      <c r="B106" s="126">
        <f t="shared" si="16"/>
        <v>86</v>
      </c>
      <c r="C106" s="127" t="str">
        <f>'מוסדי ותמיכה ממקורות אחרים'!C106</f>
        <v>ענבל פינטו</v>
      </c>
      <c r="D106" s="408">
        <f>IF(C106="","",'מוסדי ותמיכה ממקורות אחרים'!J106)</f>
        <v>1.2009363813931617E-2</v>
      </c>
      <c r="E106" s="130">
        <f>IF(C106="","",'סיכום לועדה- הזנת נתונים'!O106)</f>
        <v>104222</v>
      </c>
      <c r="F106" s="387">
        <v>0</v>
      </c>
      <c r="G106" s="129">
        <f t="shared" si="17"/>
        <v>1.375752841280347E-2</v>
      </c>
      <c r="H106" s="140"/>
      <c r="I106" s="139"/>
      <c r="J106" s="129">
        <f t="shared" si="18"/>
        <v>1.2883446113367544E-2</v>
      </c>
      <c r="K106" s="129">
        <f t="shared" si="13"/>
        <v>1.2968008761512585E-2</v>
      </c>
      <c r="L106" s="130">
        <f t="shared" si="14"/>
        <v>104817.35436923851</v>
      </c>
      <c r="P106" s="18">
        <f t="shared" si="19"/>
        <v>0</v>
      </c>
      <c r="Q106" s="18">
        <f t="shared" si="19"/>
        <v>1</v>
      </c>
      <c r="R106" s="21">
        <f t="shared" si="15"/>
        <v>1</v>
      </c>
      <c r="S106" s="21">
        <f t="shared" si="20"/>
        <v>1</v>
      </c>
      <c r="T106" s="18"/>
      <c r="U106" s="21">
        <f t="shared" si="21"/>
        <v>1</v>
      </c>
    </row>
    <row r="107" spans="2:21" ht="15.75" x14ac:dyDescent="0.25">
      <c r="B107" s="126">
        <f t="shared" si="16"/>
        <v>87</v>
      </c>
      <c r="C107" s="127" t="str">
        <f>'מוסדי ותמיכה ממקורות אחרים'!C107</f>
        <v>רוני חדש</v>
      </c>
      <c r="D107" s="408">
        <f>IF(C107="","",'מוסדי ותמיכה ממקורות אחרים'!J107)</f>
        <v>9.5551831408079869E-3</v>
      </c>
      <c r="E107" s="130">
        <f>IF(C107="","",'סיכום לועדה- הזנת נתונים'!O107)</f>
        <v>113688</v>
      </c>
      <c r="F107" s="387">
        <v>0</v>
      </c>
      <c r="G107" s="129">
        <f t="shared" si="17"/>
        <v>1.500706079517569E-2</v>
      </c>
      <c r="H107" s="140"/>
      <c r="I107" s="139"/>
      <c r="J107" s="129">
        <f t="shared" si="18"/>
        <v>1.2281121967991838E-2</v>
      </c>
      <c r="K107" s="129">
        <f t="shared" si="13"/>
        <v>1.2361731161112E-2</v>
      </c>
      <c r="L107" s="130">
        <f t="shared" si="14"/>
        <v>99916.955606714269</v>
      </c>
      <c r="P107" s="18">
        <f t="shared" si="19"/>
        <v>0</v>
      </c>
      <c r="Q107" s="18">
        <f t="shared" si="19"/>
        <v>1</v>
      </c>
      <c r="R107" s="21">
        <f t="shared" si="15"/>
        <v>1</v>
      </c>
      <c r="S107" s="21">
        <f t="shared" si="20"/>
        <v>1</v>
      </c>
      <c r="T107" s="18"/>
      <c r="U107" s="21">
        <f t="shared" si="21"/>
        <v>1</v>
      </c>
    </row>
    <row r="108" spans="2:21" ht="15.75" x14ac:dyDescent="0.25">
      <c r="B108" s="126">
        <f t="shared" si="16"/>
        <v>88</v>
      </c>
      <c r="C108" s="127" t="str">
        <f>'מוסדי ותמיכה ממקורות אחרים'!C108</f>
        <v>שחר בנימיני</v>
      </c>
      <c r="D108" s="408">
        <f>IF(C108="","",'מוסדי ותמיכה ממקורות אחרים'!J108)</f>
        <v>1.1635436774636947E-2</v>
      </c>
      <c r="E108" s="130">
        <f>IF(C108="","",'סיכום לועדה- הזנת נתונים'!O108)</f>
        <v>107793</v>
      </c>
      <c r="F108" s="387">
        <v>0</v>
      </c>
      <c r="G108" s="129">
        <f t="shared" si="17"/>
        <v>1.4228908101948958E-2</v>
      </c>
      <c r="H108" s="140"/>
      <c r="I108" s="139"/>
      <c r="J108" s="129">
        <f t="shared" si="18"/>
        <v>1.2932172438292953E-2</v>
      </c>
      <c r="K108" s="129">
        <f t="shared" si="13"/>
        <v>1.3017054909801542E-2</v>
      </c>
      <c r="L108" s="130">
        <f t="shared" si="14"/>
        <v>105213.78281096715</v>
      </c>
      <c r="P108" s="18">
        <f t="shared" si="19"/>
        <v>0</v>
      </c>
      <c r="Q108" s="18">
        <f t="shared" si="19"/>
        <v>1</v>
      </c>
      <c r="R108" s="21">
        <f t="shared" si="15"/>
        <v>1</v>
      </c>
      <c r="S108" s="21">
        <f t="shared" si="20"/>
        <v>1</v>
      </c>
      <c r="T108" s="18"/>
      <c r="U108" s="21">
        <f t="shared" si="21"/>
        <v>1</v>
      </c>
    </row>
    <row r="109" spans="2:21" ht="15.75" x14ac:dyDescent="0.25">
      <c r="B109" s="126">
        <f t="shared" si="16"/>
        <v>89</v>
      </c>
      <c r="C109" s="127" t="str">
        <f>'מוסדי ותמיכה ממקורות אחרים'!C109</f>
        <v>רביד אברבאנל</v>
      </c>
      <c r="D109" s="408">
        <f>IF(C109="","",'מוסדי ותמיכה ממקורות אחרים'!J109)</f>
        <v>8.8582643372890017E-3</v>
      </c>
      <c r="E109" s="130">
        <f>IF(C109="","",'סיכום לועדה- הזנת נתונים'!O109)</f>
        <v>54644</v>
      </c>
      <c r="F109" s="387">
        <v>0</v>
      </c>
      <c r="G109" s="129">
        <f t="shared" si="17"/>
        <v>7.2131256605057741E-3</v>
      </c>
      <c r="H109" s="140"/>
      <c r="I109" s="139"/>
      <c r="J109" s="129">
        <f t="shared" si="18"/>
        <v>8.0356949988973879E-3</v>
      </c>
      <c r="K109" s="129">
        <f t="shared" si="13"/>
        <v>8.0884386237639969E-3</v>
      </c>
      <c r="L109" s="130">
        <f t="shared" si="14"/>
        <v>65376.94052436918</v>
      </c>
      <c r="P109" s="18">
        <f t="shared" si="19"/>
        <v>0</v>
      </c>
      <c r="Q109" s="18">
        <f t="shared" si="19"/>
        <v>1</v>
      </c>
      <c r="R109" s="21">
        <f t="shared" si="15"/>
        <v>1</v>
      </c>
      <c r="S109" s="21">
        <f t="shared" si="20"/>
        <v>1</v>
      </c>
      <c r="T109" s="18"/>
      <c r="U109" s="21">
        <f t="shared" si="21"/>
        <v>1</v>
      </c>
    </row>
    <row r="110" spans="2:21" ht="15.75" x14ac:dyDescent="0.25">
      <c r="B110" s="126">
        <f t="shared" si="16"/>
        <v>90</v>
      </c>
      <c r="C110" s="127" t="str">
        <f>'מוסדי ותמיכה ממקורות אחרים'!C110</f>
        <v>שרון פרידמן</v>
      </c>
      <c r="D110" s="408">
        <f>IF(C110="","",'מוסדי ותמיכה ממקורות אחרים'!J110)</f>
        <v>1.4153532595321254E-2</v>
      </c>
      <c r="E110" s="130">
        <f>IF(C110="","",'סיכום לועדה- הזנת נתונים'!O110)</f>
        <v>51870</v>
      </c>
      <c r="F110" s="387">
        <v>0</v>
      </c>
      <c r="G110" s="129">
        <f t="shared" si="17"/>
        <v>6.8469516874759264E-3</v>
      </c>
      <c r="H110" s="140"/>
      <c r="I110" s="139"/>
      <c r="J110" s="129">
        <f t="shared" si="18"/>
        <v>1.0500242141398591E-2</v>
      </c>
      <c r="K110" s="129">
        <f t="shared" si="13"/>
        <v>1.0569162232640291E-2</v>
      </c>
      <c r="L110" s="130">
        <f t="shared" si="14"/>
        <v>85428.044004144569</v>
      </c>
      <c r="P110" s="18">
        <f t="shared" si="19"/>
        <v>0</v>
      </c>
      <c r="Q110" s="18">
        <f t="shared" si="19"/>
        <v>1</v>
      </c>
      <c r="R110" s="21">
        <f t="shared" si="15"/>
        <v>1</v>
      </c>
      <c r="S110" s="21">
        <f t="shared" si="20"/>
        <v>1</v>
      </c>
      <c r="T110" s="18"/>
      <c r="U110" s="21">
        <f t="shared" si="21"/>
        <v>1</v>
      </c>
    </row>
    <row r="111" spans="2:21" ht="15.75" x14ac:dyDescent="0.25">
      <c r="B111" s="126">
        <f t="shared" si="16"/>
        <v>91</v>
      </c>
      <c r="C111" s="127" t="str">
        <f>'מוסדי ותמיכה ממקורות אחרים'!C111</f>
        <v>מירב כהן</v>
      </c>
      <c r="D111" s="408">
        <f>IF(C111="","",'מוסדי ותמיכה ממקורות אחרים'!J111)</f>
        <v>4.2818986857397117E-3</v>
      </c>
      <c r="E111" s="130">
        <f>IF(C111="","",'סיכום לועדה- הזנת נתונים'!O111)</f>
        <v>44731</v>
      </c>
      <c r="F111" s="387">
        <v>0</v>
      </c>
      <c r="G111" s="129">
        <f t="shared" si="17"/>
        <v>5.9045883156446047E-3</v>
      </c>
      <c r="H111" s="140"/>
      <c r="I111" s="139"/>
      <c r="J111" s="129">
        <f t="shared" si="18"/>
        <v>5.0932435006921586E-3</v>
      </c>
      <c r="K111" s="129">
        <f t="shared" si="13"/>
        <v>5.126673854207525E-3</v>
      </c>
      <c r="L111" s="130">
        <f t="shared" si="14"/>
        <v>41437.694868529834</v>
      </c>
      <c r="P111" s="18">
        <f t="shared" si="19"/>
        <v>0</v>
      </c>
      <c r="Q111" s="18">
        <f t="shared" si="19"/>
        <v>1</v>
      </c>
      <c r="R111" s="21">
        <f t="shared" si="15"/>
        <v>1</v>
      </c>
      <c r="S111" s="21">
        <f t="shared" si="20"/>
        <v>1</v>
      </c>
      <c r="T111" s="18"/>
      <c r="U111" s="21">
        <f t="shared" si="21"/>
        <v>1</v>
      </c>
    </row>
    <row r="112" spans="2:21" ht="15.75" x14ac:dyDescent="0.25">
      <c r="B112" s="126">
        <f t="shared" si="16"/>
        <v>92</v>
      </c>
      <c r="C112" s="127" t="str">
        <f>'מוסדי ותמיכה ממקורות אחרים'!C112</f>
        <v>קים טייטלבאום</v>
      </c>
      <c r="D112" s="408">
        <f>IF(C112="","",'מוסדי ותמיכה ממקורות אחרים'!J112)</f>
        <v>5.1649307920540784E-3</v>
      </c>
      <c r="E112" s="130">
        <f>IF(C112="","",'סיכום לועדה- הזנת נתונים'!O112)</f>
        <v>48987</v>
      </c>
      <c r="F112" s="387">
        <v>0</v>
      </c>
      <c r="G112" s="129">
        <f t="shared" si="17"/>
        <v>6.4663894797451936E-3</v>
      </c>
      <c r="H112" s="140"/>
      <c r="I112" s="139"/>
      <c r="J112" s="129">
        <f t="shared" si="18"/>
        <v>5.8156601358996356E-3</v>
      </c>
      <c r="K112" s="129">
        <f t="shared" si="13"/>
        <v>5.8538321915341104E-3</v>
      </c>
      <c r="L112" s="130">
        <f t="shared" si="14"/>
        <v>47315.14409977301</v>
      </c>
      <c r="P112" s="18">
        <f t="shared" si="19"/>
        <v>0</v>
      </c>
      <c r="Q112" s="18">
        <f t="shared" si="19"/>
        <v>1</v>
      </c>
      <c r="R112" s="21">
        <f t="shared" si="15"/>
        <v>1</v>
      </c>
      <c r="S112" s="21">
        <f t="shared" si="20"/>
        <v>1</v>
      </c>
      <c r="T112" s="18"/>
      <c r="U112" s="21">
        <f t="shared" si="21"/>
        <v>1</v>
      </c>
    </row>
    <row r="113" spans="2:21" ht="15.75" x14ac:dyDescent="0.25">
      <c r="B113" s="126" t="str">
        <f t="shared" si="16"/>
        <v/>
      </c>
      <c r="C113" s="127" t="str">
        <f>'מוסדי ותמיכה ממקורות אחרים'!C113</f>
        <v/>
      </c>
      <c r="D113" s="408" t="str">
        <f>IF(C113="","",'מוסדי ותמיכה ממקורות אחרים'!J113)</f>
        <v/>
      </c>
      <c r="E113" s="130" t="str">
        <f>IF(C113="","",'סיכום לועדה- הזנת נתונים'!O113)</f>
        <v/>
      </c>
      <c r="F113" s="387"/>
      <c r="G113" s="129" t="str">
        <f t="shared" si="17"/>
        <v/>
      </c>
      <c r="H113" s="140"/>
      <c r="I113" s="139"/>
      <c r="J113" s="129" t="str">
        <f t="shared" si="18"/>
        <v/>
      </c>
      <c r="K113" s="129" t="str">
        <f t="shared" si="13"/>
        <v/>
      </c>
      <c r="L113" s="130" t="str">
        <f t="shared" si="14"/>
        <v/>
      </c>
      <c r="P113" s="18" t="str">
        <f t="shared" si="19"/>
        <v/>
      </c>
      <c r="Q113" s="18" t="str">
        <f t="shared" si="19"/>
        <v/>
      </c>
      <c r="R113" s="21">
        <f t="shared" si="15"/>
        <v>1</v>
      </c>
      <c r="S113" s="21">
        <f t="shared" si="20"/>
        <v>0</v>
      </c>
      <c r="T113" s="18"/>
      <c r="U113" s="21">
        <f t="shared" si="21"/>
        <v>1</v>
      </c>
    </row>
    <row r="114" spans="2:21" ht="15.75" x14ac:dyDescent="0.25">
      <c r="B114" s="126">
        <f t="shared" si="16"/>
        <v>94</v>
      </c>
      <c r="C114" s="127" t="str">
        <f>'מוסדי ותמיכה ממקורות אחרים'!C114</f>
        <v>מאי זרחי</v>
      </c>
      <c r="D114" s="408">
        <f>IF(C114="","",'מוסדי ותמיכה ממקורות אחרים'!J114)</f>
        <v>5.7292587780912634E-3</v>
      </c>
      <c r="E114" s="130">
        <f>IF(C114="","",'סיכום לועדה- הזנת נתונים'!O114)</f>
        <v>0</v>
      </c>
      <c r="F114" s="387">
        <v>1</v>
      </c>
      <c r="G114" s="129">
        <f t="shared" si="17"/>
        <v>0</v>
      </c>
      <c r="H114" s="140"/>
      <c r="I114" s="139"/>
      <c r="J114" s="129">
        <f t="shared" si="18"/>
        <v>5.7292587780912634E-3</v>
      </c>
      <c r="K114" s="129">
        <f t="shared" si="13"/>
        <v>5.7668637239978509E-3</v>
      </c>
      <c r="L114" s="130">
        <f t="shared" si="14"/>
        <v>46612.198501235769</v>
      </c>
      <c r="P114" s="18">
        <f t="shared" si="19"/>
        <v>0</v>
      </c>
      <c r="Q114" s="18">
        <f t="shared" si="19"/>
        <v>1</v>
      </c>
      <c r="R114" s="21">
        <f t="shared" si="15"/>
        <v>1</v>
      </c>
      <c r="S114" s="21">
        <f t="shared" si="20"/>
        <v>1</v>
      </c>
      <c r="T114" s="18"/>
      <c r="U114" s="21">
        <f t="shared" si="21"/>
        <v>1</v>
      </c>
    </row>
    <row r="115" spans="2:21" ht="15.75" x14ac:dyDescent="0.25">
      <c r="B115" s="126">
        <f t="shared" si="16"/>
        <v>95</v>
      </c>
      <c r="C115" s="127" t="str">
        <f>'מוסדי ותמיכה ממקורות אחרים'!C115</f>
        <v>דנה מרכוס</v>
      </c>
      <c r="D115" s="408">
        <f>IF(C115="","",'מוסדי ותמיכה ממקורות אחרים'!J115)</f>
        <v>6.8263553632195882E-3</v>
      </c>
      <c r="E115" s="130">
        <f>IF(C115="","",'סיכום לועדה- הזנת נתונים'!O115)</f>
        <v>52969</v>
      </c>
      <c r="F115" s="387">
        <v>0</v>
      </c>
      <c r="G115" s="129">
        <f t="shared" si="17"/>
        <v>6.992022053863743E-3</v>
      </c>
      <c r="H115" s="140"/>
      <c r="I115" s="139"/>
      <c r="J115" s="129">
        <f t="shared" si="18"/>
        <v>6.9091887085416656E-3</v>
      </c>
      <c r="K115" s="129">
        <f t="shared" si="13"/>
        <v>6.9545383214159638E-3</v>
      </c>
      <c r="L115" s="130">
        <f t="shared" si="14"/>
        <v>56211.89198096138</v>
      </c>
      <c r="P115" s="18">
        <f t="shared" si="19"/>
        <v>0</v>
      </c>
      <c r="Q115" s="18">
        <f t="shared" si="19"/>
        <v>1</v>
      </c>
      <c r="R115" s="21">
        <f t="shared" si="15"/>
        <v>1</v>
      </c>
      <c r="S115" s="21">
        <f t="shared" si="20"/>
        <v>1</v>
      </c>
      <c r="T115" s="18"/>
      <c r="U115" s="21">
        <f t="shared" si="21"/>
        <v>1</v>
      </c>
    </row>
    <row r="116" spans="2:21" ht="15.75" x14ac:dyDescent="0.25">
      <c r="B116" s="126" t="str">
        <f t="shared" si="16"/>
        <v/>
      </c>
      <c r="C116" s="127" t="str">
        <f>'מוסדי ותמיכה ממקורות אחרים'!C116</f>
        <v/>
      </c>
      <c r="D116" s="408" t="str">
        <f>IF(C116="","",'מוסדי ותמיכה ממקורות אחרים'!J116)</f>
        <v/>
      </c>
      <c r="E116" s="130" t="str">
        <f>IF(C116="","",'סיכום לועדה- הזנת נתונים'!O116)</f>
        <v/>
      </c>
      <c r="F116" s="387"/>
      <c r="G116" s="129" t="str">
        <f t="shared" si="17"/>
        <v/>
      </c>
      <c r="H116" s="140"/>
      <c r="I116" s="139"/>
      <c r="J116" s="129" t="str">
        <f t="shared" si="18"/>
        <v/>
      </c>
      <c r="K116" s="129" t="str">
        <f t="shared" si="13"/>
        <v/>
      </c>
      <c r="L116" s="130" t="str">
        <f t="shared" si="14"/>
        <v/>
      </c>
      <c r="P116" s="18" t="str">
        <f t="shared" si="19"/>
        <v/>
      </c>
      <c r="Q116" s="18" t="str">
        <f t="shared" si="19"/>
        <v/>
      </c>
      <c r="R116" s="21">
        <f t="shared" si="15"/>
        <v>1</v>
      </c>
      <c r="S116" s="21">
        <f t="shared" si="20"/>
        <v>0</v>
      </c>
      <c r="T116" s="18"/>
      <c r="U116" s="21">
        <f t="shared" si="21"/>
        <v>1</v>
      </c>
    </row>
    <row r="117" spans="2:21" ht="15.75" x14ac:dyDescent="0.25">
      <c r="B117" s="126" t="str">
        <f t="shared" si="16"/>
        <v/>
      </c>
      <c r="C117" s="127" t="str">
        <f>'מוסדי ותמיכה ממקורות אחרים'!C117</f>
        <v/>
      </c>
      <c r="D117" s="408" t="str">
        <f>IF(C117="","",'מוסדי ותמיכה ממקורות אחרים'!J117)</f>
        <v/>
      </c>
      <c r="E117" s="130" t="str">
        <f>IF(C117="","",'סיכום לועדה- הזנת נתונים'!O117)</f>
        <v/>
      </c>
      <c r="F117" s="387"/>
      <c r="G117" s="129" t="str">
        <f t="shared" si="17"/>
        <v/>
      </c>
      <c r="H117" s="140"/>
      <c r="I117" s="139"/>
      <c r="J117" s="129" t="str">
        <f t="shared" si="18"/>
        <v/>
      </c>
      <c r="K117" s="129" t="str">
        <f t="shared" ref="K117:K120" si="22">IF(C117="","",IF($U$18&lt;&gt;1,$U$1,J117/$J$133*100%))</f>
        <v/>
      </c>
      <c r="L117" s="130" t="str">
        <f>IF(C117="","",IF(AND($U$18&lt;&gt;1),$U$1,K117*$C$2))</f>
        <v/>
      </c>
      <c r="P117" s="18" t="str">
        <f t="shared" si="19"/>
        <v/>
      </c>
      <c r="Q117" s="18" t="str">
        <f t="shared" si="19"/>
        <v/>
      </c>
      <c r="R117" s="21">
        <f t="shared" si="15"/>
        <v>1</v>
      </c>
      <c r="S117" s="21">
        <f t="shared" si="20"/>
        <v>0</v>
      </c>
      <c r="T117" s="18"/>
      <c r="U117" s="21">
        <f t="shared" si="21"/>
        <v>1</v>
      </c>
    </row>
    <row r="118" spans="2:21" ht="15.75" x14ac:dyDescent="0.25">
      <c r="B118" s="126">
        <f t="shared" si="16"/>
        <v>98</v>
      </c>
      <c r="C118" s="127" t="str">
        <f>'מוסדי ותמיכה ממקורות אחרים'!C118</f>
        <v>שקד מוכיח</v>
      </c>
      <c r="D118" s="408">
        <f>IF(C118="","",'מוסדי ותמיכה ממקורות אחרים'!J118)</f>
        <v>1.4188996289539159E-2</v>
      </c>
      <c r="E118" s="130">
        <f>IF(C118="","",'סיכום לועדה- הזנת נתונים'!O118)</f>
        <v>54685</v>
      </c>
      <c r="F118" s="387">
        <v>0</v>
      </c>
      <c r="G118" s="129">
        <f t="shared" si="17"/>
        <v>7.2185377487877581E-3</v>
      </c>
      <c r="H118" s="140"/>
      <c r="I118" s="139"/>
      <c r="J118" s="129">
        <f t="shared" si="18"/>
        <v>1.0703767019163458E-2</v>
      </c>
      <c r="K118" s="129">
        <f t="shared" si="22"/>
        <v>1.0774022979898131E-2</v>
      </c>
      <c r="L118" s="130">
        <f>IF(C118="","",IF(AND($U$18&lt;&gt;1),$U$1,K118*$C$2))</f>
        <v>87083.885077093335</v>
      </c>
      <c r="P118" s="18">
        <f t="shared" si="19"/>
        <v>0</v>
      </c>
      <c r="Q118" s="18">
        <f t="shared" si="19"/>
        <v>1</v>
      </c>
      <c r="R118" s="21">
        <f t="shared" si="15"/>
        <v>1</v>
      </c>
      <c r="S118" s="21">
        <f t="shared" si="20"/>
        <v>1</v>
      </c>
      <c r="T118" s="18"/>
      <c r="U118" s="21">
        <f t="shared" si="21"/>
        <v>1</v>
      </c>
    </row>
    <row r="119" spans="2:21" ht="15.75" x14ac:dyDescent="0.25">
      <c r="B119" s="126">
        <f t="shared" si="16"/>
        <v>99</v>
      </c>
      <c r="C119" s="127" t="str">
        <f>'מוסדי ותמיכה ממקורות אחרים'!C119</f>
        <v>שרון הללי אסא</v>
      </c>
      <c r="D119" s="408">
        <f>IF(C119="","",'מוסדי ותמיכה ממקורות אחרים'!J119)</f>
        <v>1.195522886133411E-2</v>
      </c>
      <c r="E119" s="130">
        <f>IF(C119="","",'סיכום לועדה- הזנת נתונים'!O119)</f>
        <v>63003</v>
      </c>
      <c r="F119" s="387">
        <v>0</v>
      </c>
      <c r="G119" s="129">
        <f t="shared" si="17"/>
        <v>8.3165316592644263E-3</v>
      </c>
      <c r="H119" s="140"/>
      <c r="I119" s="139"/>
      <c r="J119" s="129">
        <f t="shared" si="18"/>
        <v>1.0135880260299268E-2</v>
      </c>
      <c r="K119" s="129">
        <f t="shared" si="22"/>
        <v>1.0202408801541244E-2</v>
      </c>
      <c r="L119" s="130">
        <f>IF(C119="","",IF(AND($U$18&lt;&gt;1),$U$1,K119*$C$2))</f>
        <v>82463.662574380709</v>
      </c>
      <c r="P119" s="18">
        <f t="shared" si="19"/>
        <v>0</v>
      </c>
      <c r="Q119" s="18">
        <f t="shared" si="19"/>
        <v>1</v>
      </c>
      <c r="R119" s="21">
        <f t="shared" si="15"/>
        <v>1</v>
      </c>
      <c r="S119" s="21">
        <f t="shared" si="20"/>
        <v>1</v>
      </c>
      <c r="T119" s="18"/>
      <c r="U119" s="21">
        <f t="shared" si="21"/>
        <v>1</v>
      </c>
    </row>
    <row r="120" spans="2:21" ht="15.75" x14ac:dyDescent="0.25">
      <c r="B120" s="424">
        <f t="shared" si="16"/>
        <v>100</v>
      </c>
      <c r="C120" s="409" t="str">
        <f>'מוסדי ותמיכה ממקורות אחרים'!C120</f>
        <v>להקת ג'אם</v>
      </c>
      <c r="D120" s="408">
        <f>IF(C120="","",'מוסדי ותמיכה ממקורות אחרים'!J120)</f>
        <v>7.9484146312539024E-3</v>
      </c>
      <c r="E120" s="130">
        <f>IF(C120="","",'סיכום לועדה- הזנת נתונים'!O120)</f>
        <v>34967</v>
      </c>
      <c r="F120" s="599">
        <v>0</v>
      </c>
      <c r="G120" s="436">
        <f t="shared" si="17"/>
        <v>4.6157192916130851E-3</v>
      </c>
      <c r="H120" s="600"/>
      <c r="I120" s="601"/>
      <c r="J120" s="436">
        <f t="shared" si="18"/>
        <v>6.2820669614334938E-3</v>
      </c>
      <c r="K120" s="436">
        <f t="shared" si="22"/>
        <v>6.3233003560865053E-3</v>
      </c>
      <c r="L120" s="428">
        <f>IF(C120="","",IF(AND($U$18&lt;&gt;1),$U$1,K120*$C$2))</f>
        <v>51109.744479363188</v>
      </c>
      <c r="P120" s="18">
        <f t="shared" si="19"/>
        <v>0</v>
      </c>
      <c r="Q120" s="18">
        <f t="shared" si="19"/>
        <v>1</v>
      </c>
      <c r="R120" s="21">
        <f t="shared" si="15"/>
        <v>1</v>
      </c>
      <c r="S120" s="21">
        <f t="shared" si="20"/>
        <v>1</v>
      </c>
      <c r="T120" s="18"/>
      <c r="U120" s="21">
        <f t="shared" si="21"/>
        <v>1</v>
      </c>
    </row>
    <row r="121" spans="2:21" ht="15.75" x14ac:dyDescent="0.25">
      <c r="B121" s="424" t="str">
        <f t="shared" ref="B121:B132" si="23">IF(C121="","",ROW()-20)</f>
        <v/>
      </c>
      <c r="C121" s="409" t="str">
        <f>'מוסדי ותמיכה ממקורות אחרים'!C121</f>
        <v/>
      </c>
      <c r="D121" s="408" t="str">
        <f>IF(C121="","",'מוסדי ותמיכה ממקורות אחרים'!J121)</f>
        <v/>
      </c>
      <c r="E121" s="130" t="str">
        <f>IF(C121="","",'סיכום לועדה- הזנת נתונים'!O121)</f>
        <v/>
      </c>
      <c r="F121" s="599"/>
      <c r="G121" s="436" t="str">
        <f t="shared" ref="G121:G132" si="24">IF($C121="","",IF($U121&lt;&gt;1,$U$1,E121/$E$5))</f>
        <v/>
      </c>
      <c r="H121" s="600"/>
      <c r="I121" s="601"/>
      <c r="J121" s="436" t="str">
        <f t="shared" ref="J121:J132" si="25">IF($C121="","",IF($U121&lt;&gt;1,$U$1,IF(F121=1,D121,AVERAGE($G121,$D121))))</f>
        <v/>
      </c>
      <c r="K121" s="436" t="str">
        <f t="shared" ref="K121:K132" si="26">IF(C121="","",IF($U$18&lt;&gt;1,$U$1,J121/$J$133*100%))</f>
        <v/>
      </c>
      <c r="L121" s="428" t="str">
        <f t="shared" ref="L121:L132" si="27">IF(C121="","",IF(AND($U$18&lt;&gt;1),$U$1,K121*$C$2))</f>
        <v/>
      </c>
      <c r="P121" s="18" t="str">
        <f t="shared" si="19"/>
        <v/>
      </c>
      <c r="Q121" s="18" t="str">
        <f t="shared" si="19"/>
        <v/>
      </c>
      <c r="R121" s="21">
        <f t="shared" ref="R121:R132" si="28">IF(D121=$U$1,0,1)</f>
        <v>1</v>
      </c>
      <c r="S121" s="21">
        <f t="shared" ref="S121:S132" si="29">IF(E121="",0,IFERROR(IF(E121&gt;=0,1,0),0))</f>
        <v>0</v>
      </c>
      <c r="T121" s="18"/>
      <c r="U121" s="21">
        <f t="shared" ref="U121:U132" si="30">IF($C121="",1,IFERROR(IF(SUM(R121:S121)=COUNT(R121:S121),1,0),0))</f>
        <v>1</v>
      </c>
    </row>
    <row r="122" spans="2:21" ht="15.75" x14ac:dyDescent="0.25">
      <c r="B122" s="424" t="str">
        <f t="shared" si="23"/>
        <v/>
      </c>
      <c r="C122" s="409" t="str">
        <f>'מוסדי ותמיכה ממקורות אחרים'!C122</f>
        <v/>
      </c>
      <c r="D122" s="408" t="str">
        <f>IF(C122="","",'מוסדי ותמיכה ממקורות אחרים'!J122)</f>
        <v/>
      </c>
      <c r="E122" s="130" t="str">
        <f>IF(C122="","",'סיכום לועדה- הזנת נתונים'!O122)</f>
        <v/>
      </c>
      <c r="F122" s="599"/>
      <c r="G122" s="436" t="str">
        <f t="shared" si="24"/>
        <v/>
      </c>
      <c r="H122" s="600"/>
      <c r="I122" s="601"/>
      <c r="J122" s="436" t="str">
        <f t="shared" si="25"/>
        <v/>
      </c>
      <c r="K122" s="436" t="str">
        <f t="shared" si="26"/>
        <v/>
      </c>
      <c r="L122" s="428" t="str">
        <f t="shared" si="27"/>
        <v/>
      </c>
      <c r="P122" s="18" t="str">
        <f t="shared" ref="P122:Q132" si="31">IF($C122="","",P$20)</f>
        <v/>
      </c>
      <c r="Q122" s="18" t="str">
        <f t="shared" si="31"/>
        <v/>
      </c>
      <c r="R122" s="21">
        <f t="shared" si="28"/>
        <v>1</v>
      </c>
      <c r="S122" s="21">
        <f t="shared" si="29"/>
        <v>0</v>
      </c>
      <c r="T122" s="18"/>
      <c r="U122" s="21">
        <f t="shared" si="30"/>
        <v>1</v>
      </c>
    </row>
    <row r="123" spans="2:21" ht="15.75" x14ac:dyDescent="0.25">
      <c r="B123" s="424" t="str">
        <f t="shared" si="23"/>
        <v/>
      </c>
      <c r="C123" s="409" t="str">
        <f>'מוסדי ותמיכה ממקורות אחרים'!C123</f>
        <v/>
      </c>
      <c r="D123" s="408" t="str">
        <f>IF(C123="","",'מוסדי ותמיכה ממקורות אחרים'!J123)</f>
        <v/>
      </c>
      <c r="E123" s="130" t="str">
        <f>IF(C123="","",'סיכום לועדה- הזנת נתונים'!O123)</f>
        <v/>
      </c>
      <c r="F123" s="599"/>
      <c r="G123" s="436" t="str">
        <f t="shared" si="24"/>
        <v/>
      </c>
      <c r="H123" s="600"/>
      <c r="I123" s="601"/>
      <c r="J123" s="436" t="str">
        <f t="shared" si="25"/>
        <v/>
      </c>
      <c r="K123" s="436" t="str">
        <f t="shared" si="26"/>
        <v/>
      </c>
      <c r="L123" s="428" t="str">
        <f t="shared" si="27"/>
        <v/>
      </c>
      <c r="P123" s="18" t="str">
        <f t="shared" si="31"/>
        <v/>
      </c>
      <c r="Q123" s="18" t="str">
        <f t="shared" si="31"/>
        <v/>
      </c>
      <c r="R123" s="21">
        <f t="shared" si="28"/>
        <v>1</v>
      </c>
      <c r="S123" s="21">
        <f t="shared" si="29"/>
        <v>0</v>
      </c>
      <c r="T123" s="18"/>
      <c r="U123" s="21">
        <f t="shared" si="30"/>
        <v>1</v>
      </c>
    </row>
    <row r="124" spans="2:21" ht="15.75" x14ac:dyDescent="0.25">
      <c r="B124" s="424" t="str">
        <f t="shared" si="23"/>
        <v/>
      </c>
      <c r="C124" s="409" t="str">
        <f>'מוסדי ותמיכה ממקורות אחרים'!C124</f>
        <v/>
      </c>
      <c r="D124" s="408" t="str">
        <f>IF(C124="","",'מוסדי ותמיכה ממקורות אחרים'!J124)</f>
        <v/>
      </c>
      <c r="E124" s="130" t="str">
        <f>IF(C124="","",'סיכום לועדה- הזנת נתונים'!O124)</f>
        <v/>
      </c>
      <c r="F124" s="599"/>
      <c r="G124" s="436" t="str">
        <f>IF($C124="","",IF($U124&lt;&gt;1,$U$1,E124/$E$5))</f>
        <v/>
      </c>
      <c r="H124" s="600"/>
      <c r="I124" s="601"/>
      <c r="J124" s="436" t="str">
        <f t="shared" si="25"/>
        <v/>
      </c>
      <c r="K124" s="436" t="str">
        <f t="shared" si="26"/>
        <v/>
      </c>
      <c r="L124" s="428" t="str">
        <f t="shared" si="27"/>
        <v/>
      </c>
      <c r="P124" s="18" t="str">
        <f t="shared" si="31"/>
        <v/>
      </c>
      <c r="Q124" s="18" t="str">
        <f t="shared" si="31"/>
        <v/>
      </c>
      <c r="R124" s="21">
        <f t="shared" si="28"/>
        <v>1</v>
      </c>
      <c r="S124" s="21">
        <f t="shared" si="29"/>
        <v>0</v>
      </c>
      <c r="T124" s="18"/>
      <c r="U124" s="21">
        <f t="shared" si="30"/>
        <v>1</v>
      </c>
    </row>
    <row r="125" spans="2:21" ht="15.75" x14ac:dyDescent="0.25">
      <c r="B125" s="424">
        <f t="shared" si="23"/>
        <v>105</v>
      </c>
      <c r="C125" s="409" t="str">
        <f>'מוסדי ותמיכה ממקורות אחרים'!C125</f>
        <v>מורן אברג'ל יצחקי</v>
      </c>
      <c r="D125" s="408">
        <f>IF(C125="","",'מוסדי ותמיכה ממקורות אחרים'!J125)</f>
        <v>5.6306137805869124E-3</v>
      </c>
      <c r="E125" s="130">
        <f>IF(C125="","",'סיכום לועדה- הזנת נתונים'!O125)</f>
        <v>0</v>
      </c>
      <c r="F125" s="599">
        <v>1</v>
      </c>
      <c r="G125" s="436">
        <f t="shared" si="24"/>
        <v>0</v>
      </c>
      <c r="H125" s="600"/>
      <c r="I125" s="601"/>
      <c r="J125" s="436">
        <f t="shared" si="25"/>
        <v>5.6306137805869124E-3</v>
      </c>
      <c r="K125" s="436">
        <f t="shared" si="26"/>
        <v>5.667571253593638E-3</v>
      </c>
      <c r="L125" s="428">
        <f t="shared" si="27"/>
        <v>45809.640895981531</v>
      </c>
      <c r="P125" s="18">
        <f t="shared" si="31"/>
        <v>0</v>
      </c>
      <c r="Q125" s="18">
        <f t="shared" si="31"/>
        <v>1</v>
      </c>
      <c r="R125" s="21">
        <f t="shared" si="28"/>
        <v>1</v>
      </c>
      <c r="S125" s="21">
        <f t="shared" si="29"/>
        <v>1</v>
      </c>
      <c r="T125" s="18"/>
      <c r="U125" s="21">
        <f t="shared" si="30"/>
        <v>1</v>
      </c>
    </row>
    <row r="126" spans="2:21" ht="15.75" x14ac:dyDescent="0.25">
      <c r="B126" s="424">
        <f t="shared" si="23"/>
        <v>106</v>
      </c>
      <c r="C126" s="409" t="str">
        <f>'מוסדי ותמיכה ממקורות אחרים'!C126</f>
        <v>מיכל בן צבי</v>
      </c>
      <c r="D126" s="408">
        <f>IF(C126="","",'מוסדי ותמיכה ממקורות אחרים'!J126)</f>
        <v>7.4513893662080648E-3</v>
      </c>
      <c r="E126" s="130">
        <f>IF(C126="","",'סיכום לועדה- הזנת נתונים'!O126)</f>
        <v>0</v>
      </c>
      <c r="F126" s="599">
        <v>1</v>
      </c>
      <c r="G126" s="436">
        <f t="shared" si="24"/>
        <v>0</v>
      </c>
      <c r="H126" s="600"/>
      <c r="I126" s="601"/>
      <c r="J126" s="436">
        <f t="shared" si="25"/>
        <v>7.4513893662080648E-3</v>
      </c>
      <c r="K126" s="436">
        <f t="shared" si="26"/>
        <v>7.500297803564167E-3</v>
      </c>
      <c r="L126" s="428">
        <f t="shared" si="27"/>
        <v>60623.137075927523</v>
      </c>
      <c r="P126" s="18">
        <f t="shared" si="31"/>
        <v>0</v>
      </c>
      <c r="Q126" s="18">
        <f t="shared" si="31"/>
        <v>1</v>
      </c>
      <c r="R126" s="21">
        <f t="shared" si="28"/>
        <v>1</v>
      </c>
      <c r="S126" s="21">
        <f t="shared" si="29"/>
        <v>1</v>
      </c>
      <c r="T126" s="18"/>
      <c r="U126" s="21">
        <f t="shared" si="30"/>
        <v>1</v>
      </c>
    </row>
    <row r="127" spans="2:21" ht="15.75" x14ac:dyDescent="0.25">
      <c r="B127" s="424">
        <f t="shared" si="23"/>
        <v>107</v>
      </c>
      <c r="C127" s="409" t="str">
        <f>'מוסדי ותמיכה ממקורות אחרים'!C127</f>
        <v>מיקה קופפר</v>
      </c>
      <c r="D127" s="408">
        <f>IF(C127="","",'מוסדי ותמיכה ממקורות אחרים'!J127)</f>
        <v>6.4377947331706051E-3</v>
      </c>
      <c r="E127" s="130">
        <f>IF(C127="","",'סיכום לועדה- הזנת נתונים'!O127)</f>
        <v>60204</v>
      </c>
      <c r="F127" s="599">
        <v>0</v>
      </c>
      <c r="G127" s="436">
        <f t="shared" si="24"/>
        <v>7.9470576324041E-3</v>
      </c>
      <c r="H127" s="600"/>
      <c r="I127" s="601"/>
      <c r="J127" s="436">
        <f t="shared" si="25"/>
        <v>7.192426182787353E-3</v>
      </c>
      <c r="K127" s="436">
        <f t="shared" si="26"/>
        <v>7.2396348720815294E-3</v>
      </c>
      <c r="L127" s="428">
        <f t="shared" si="27"/>
        <v>58516.260117205187</v>
      </c>
      <c r="P127" s="18">
        <f t="shared" si="31"/>
        <v>0</v>
      </c>
      <c r="Q127" s="18">
        <f t="shared" si="31"/>
        <v>1</v>
      </c>
      <c r="R127" s="21">
        <f t="shared" si="28"/>
        <v>1</v>
      </c>
      <c r="S127" s="21">
        <f t="shared" si="29"/>
        <v>1</v>
      </c>
      <c r="T127" s="18"/>
      <c r="U127" s="21">
        <f t="shared" si="30"/>
        <v>1</v>
      </c>
    </row>
    <row r="128" spans="2:21" ht="15.75" x14ac:dyDescent="0.25">
      <c r="B128" s="424" t="str">
        <f t="shared" si="23"/>
        <v/>
      </c>
      <c r="C128" s="409" t="str">
        <f>'מוסדי ותמיכה ממקורות אחרים'!C128</f>
        <v/>
      </c>
      <c r="D128" s="408" t="str">
        <f>IF(C128="","",'מוסדי ותמיכה ממקורות אחרים'!J128)</f>
        <v/>
      </c>
      <c r="E128" s="130" t="str">
        <f>IF(C128="","",'סיכום לועדה- הזנת נתונים'!O128)</f>
        <v/>
      </c>
      <c r="F128" s="599"/>
      <c r="G128" s="436" t="str">
        <f t="shared" si="24"/>
        <v/>
      </c>
      <c r="H128" s="600"/>
      <c r="I128" s="601"/>
      <c r="J128" s="436" t="str">
        <f t="shared" si="25"/>
        <v/>
      </c>
      <c r="K128" s="436" t="str">
        <f t="shared" si="26"/>
        <v/>
      </c>
      <c r="L128" s="428" t="str">
        <f t="shared" si="27"/>
        <v/>
      </c>
      <c r="P128" s="18" t="str">
        <f t="shared" si="31"/>
        <v/>
      </c>
      <c r="Q128" s="18" t="str">
        <f t="shared" si="31"/>
        <v/>
      </c>
      <c r="R128" s="21">
        <f t="shared" si="28"/>
        <v>1</v>
      </c>
      <c r="S128" s="21">
        <f t="shared" si="29"/>
        <v>0</v>
      </c>
      <c r="T128" s="18"/>
      <c r="U128" s="21">
        <f t="shared" si="30"/>
        <v>1</v>
      </c>
    </row>
    <row r="129" spans="2:41" ht="15.75" x14ac:dyDescent="0.25">
      <c r="B129" s="424">
        <f t="shared" si="23"/>
        <v>109</v>
      </c>
      <c r="C129" s="409" t="str">
        <f>'מוסדי ותמיכה ממקורות אחרים'!C129</f>
        <v>נועה שילה</v>
      </c>
      <c r="D129" s="408">
        <f>IF(C129="","",'מוסדי ותמיכה ממקורות אחרים'!J129)</f>
        <v>6.9226603521990457E-3</v>
      </c>
      <c r="E129" s="130">
        <f>IF(C129="","",'סיכום לועדה- הזנת נתונים'!O129)</f>
        <v>0</v>
      </c>
      <c r="F129" s="599">
        <v>1</v>
      </c>
      <c r="G129" s="436">
        <f t="shared" si="24"/>
        <v>0</v>
      </c>
      <c r="H129" s="600"/>
      <c r="I129" s="601"/>
      <c r="J129" s="436">
        <f t="shared" si="25"/>
        <v>6.9226603521990457E-3</v>
      </c>
      <c r="K129" s="436">
        <f t="shared" si="26"/>
        <v>6.9680983884542087E-3</v>
      </c>
      <c r="L129" s="428">
        <f t="shared" si="27"/>
        <v>56321.494802655696</v>
      </c>
      <c r="P129" s="18">
        <f t="shared" si="31"/>
        <v>0</v>
      </c>
      <c r="Q129" s="18">
        <f t="shared" si="31"/>
        <v>1</v>
      </c>
      <c r="R129" s="21">
        <f t="shared" si="28"/>
        <v>1</v>
      </c>
      <c r="S129" s="21">
        <f t="shared" si="29"/>
        <v>1</v>
      </c>
      <c r="T129" s="18"/>
      <c r="U129" s="21">
        <f t="shared" si="30"/>
        <v>1</v>
      </c>
    </row>
    <row r="130" spans="2:41" ht="15.75" x14ac:dyDescent="0.25">
      <c r="B130" s="424" t="str">
        <f t="shared" si="23"/>
        <v/>
      </c>
      <c r="C130" s="409" t="str">
        <f>'מוסדי ותמיכה ממקורות אחרים'!C130</f>
        <v/>
      </c>
      <c r="D130" s="408" t="str">
        <f>IF(C130="","",'מוסדי ותמיכה ממקורות אחרים'!J130)</f>
        <v/>
      </c>
      <c r="E130" s="130" t="str">
        <f>IF(C130="","",'סיכום לועדה- הזנת נתונים'!O130)</f>
        <v/>
      </c>
      <c r="F130" s="599"/>
      <c r="G130" s="436" t="str">
        <f t="shared" si="24"/>
        <v/>
      </c>
      <c r="H130" s="600"/>
      <c r="I130" s="601"/>
      <c r="J130" s="436" t="str">
        <f t="shared" si="25"/>
        <v/>
      </c>
      <c r="K130" s="436" t="str">
        <f t="shared" si="26"/>
        <v/>
      </c>
      <c r="L130" s="428" t="str">
        <f t="shared" si="27"/>
        <v/>
      </c>
      <c r="P130" s="18" t="str">
        <f t="shared" si="31"/>
        <v/>
      </c>
      <c r="Q130" s="18" t="str">
        <f t="shared" si="31"/>
        <v/>
      </c>
      <c r="R130" s="21">
        <f t="shared" si="28"/>
        <v>1</v>
      </c>
      <c r="S130" s="21">
        <f t="shared" si="29"/>
        <v>0</v>
      </c>
      <c r="T130" s="18"/>
      <c r="U130" s="21">
        <f t="shared" si="30"/>
        <v>1</v>
      </c>
    </row>
    <row r="131" spans="2:41" ht="15.75" x14ac:dyDescent="0.25">
      <c r="B131" s="424">
        <f t="shared" si="23"/>
        <v>111</v>
      </c>
      <c r="C131" s="409" t="str">
        <f>'מוסדי ותמיכה ממקורות אחרים'!C131</f>
        <v>עדי בוטרוס אמנויות הבמה (ע"ר)</v>
      </c>
      <c r="D131" s="408">
        <f>IF(C131="","",'מוסדי ותמיכה ממקורות אחרים'!J131)</f>
        <v>1.471256273741855E-2</v>
      </c>
      <c r="E131" s="130">
        <f>IF(C131="","",'סיכום לועדה- הזנת נתונים'!O131)</f>
        <v>75978</v>
      </c>
      <c r="F131" s="599">
        <v>0</v>
      </c>
      <c r="G131" s="436">
        <f t="shared" si="24"/>
        <v>1.002925959728255E-2</v>
      </c>
      <c r="H131" s="600"/>
      <c r="I131" s="601"/>
      <c r="J131" s="436">
        <f t="shared" si="25"/>
        <v>1.237091116735055E-2</v>
      </c>
      <c r="K131" s="436">
        <f t="shared" si="26"/>
        <v>1.2452109706861869E-2</v>
      </c>
      <c r="L131" s="428">
        <f t="shared" si="27"/>
        <v>100647.46406267367</v>
      </c>
      <c r="P131" s="18">
        <f t="shared" si="31"/>
        <v>0</v>
      </c>
      <c r="Q131" s="18">
        <f t="shared" si="31"/>
        <v>1</v>
      </c>
      <c r="R131" s="21">
        <f t="shared" si="28"/>
        <v>1</v>
      </c>
      <c r="S131" s="21">
        <f t="shared" si="29"/>
        <v>1</v>
      </c>
      <c r="T131" s="18"/>
      <c r="U131" s="21">
        <f t="shared" si="30"/>
        <v>1</v>
      </c>
    </row>
    <row r="132" spans="2:41" ht="15.75" x14ac:dyDescent="0.25">
      <c r="B132" s="424" t="str">
        <f t="shared" si="23"/>
        <v/>
      </c>
      <c r="C132" s="409" t="str">
        <f>'מוסדי ותמיכה ממקורות אחרים'!C132</f>
        <v/>
      </c>
      <c r="D132" s="408" t="str">
        <f>IF(C132="","",'מוסדי ותמיכה ממקורות אחרים'!J132)</f>
        <v/>
      </c>
      <c r="E132" s="130" t="str">
        <f>IF(C132="","",'סיכום לועדה- הזנת נתונים'!O132)</f>
        <v/>
      </c>
      <c r="F132" s="599"/>
      <c r="G132" s="436" t="str">
        <f t="shared" si="24"/>
        <v/>
      </c>
      <c r="H132" s="600"/>
      <c r="I132" s="601"/>
      <c r="J132" s="436" t="str">
        <f t="shared" si="25"/>
        <v/>
      </c>
      <c r="K132" s="436" t="str">
        <f t="shared" si="26"/>
        <v/>
      </c>
      <c r="L132" s="428" t="str">
        <f t="shared" si="27"/>
        <v/>
      </c>
      <c r="P132" s="18" t="str">
        <f t="shared" si="31"/>
        <v/>
      </c>
      <c r="Q132" s="18" t="str">
        <f t="shared" si="31"/>
        <v/>
      </c>
      <c r="R132" s="21">
        <f t="shared" si="28"/>
        <v>1</v>
      </c>
      <c r="S132" s="21">
        <f t="shared" si="29"/>
        <v>0</v>
      </c>
      <c r="T132" s="18"/>
      <c r="U132" s="21">
        <f t="shared" si="30"/>
        <v>1</v>
      </c>
    </row>
    <row r="133" spans="2:41" ht="16.5" thickBot="1" x14ac:dyDescent="0.3">
      <c r="B133" s="824" t="s">
        <v>41</v>
      </c>
      <c r="C133" s="825"/>
      <c r="D133" s="141">
        <f>SUM(D21:D132)</f>
        <v>1</v>
      </c>
      <c r="E133" s="596">
        <f>SUM(E21:E132)</f>
        <v>7190096</v>
      </c>
      <c r="F133" s="596">
        <f>SUM(F21:F132)</f>
        <v>5</v>
      </c>
      <c r="G133" s="597">
        <f>SUM(G21:G132)</f>
        <v>0.9491081538522057</v>
      </c>
      <c r="H133" s="597"/>
      <c r="I133" s="598"/>
      <c r="J133" s="598">
        <f>SUM(J21:J132)</f>
        <v>0.99347913394414011</v>
      </c>
      <c r="K133" s="136">
        <f>SUM(K21:K132)</f>
        <v>1.0000000000000004</v>
      </c>
      <c r="L133" s="143">
        <f>SUM(L21:L132)</f>
        <v>8082764.0000000019</v>
      </c>
    </row>
    <row r="138" spans="2:41" x14ac:dyDescent="0.2">
      <c r="C138" s="21" t="s">
        <v>261</v>
      </c>
      <c r="G138" s="21">
        <f>IFERROR(IF(G133&lt;1,1,0),0)</f>
        <v>1</v>
      </c>
      <c r="K138" s="21">
        <f>IF(K133=1,1,0)</f>
        <v>1</v>
      </c>
      <c r="L138" s="21">
        <f>IF(L133=C2,1,0)</f>
        <v>1</v>
      </c>
      <c r="AO138" s="388">
        <f>L133-E5</f>
        <v>507130.00000000186</v>
      </c>
    </row>
  </sheetData>
  <sheetProtection algorithmName="SHA-512" hashValue="q0frRGglKyp+aCJQP1UH1oG4ds3awSnVydFG1tIKaMA/MECA8MogEs+8Fl4el21HUPuAcpg9s5tR0zJxkCYl+w==" saltValue="IbjKWSaYDkMVCnYCPXrrnQ==" spinCount="100000" sheet="1" scenarios="1" formatColumns="0" formatRows="0" autoFilter="0"/>
  <mergeCells count="13">
    <mergeCell ref="D1:L2"/>
    <mergeCell ref="R19:R20"/>
    <mergeCell ref="S19:S20"/>
    <mergeCell ref="B133:C133"/>
    <mergeCell ref="B18:L18"/>
    <mergeCell ref="B19:B20"/>
    <mergeCell ref="C19:C20"/>
    <mergeCell ref="D19:D20"/>
    <mergeCell ref="I19:I20"/>
    <mergeCell ref="J19:J20"/>
    <mergeCell ref="K19:K20"/>
    <mergeCell ref="L19:L20"/>
    <mergeCell ref="G19:G20"/>
  </mergeCells>
  <conditionalFormatting sqref="B21:E132">
    <cfRule type="containsBlanks" dxfId="115" priority="2">
      <formula>LEN(TRIM(B21))=0</formula>
    </cfRule>
  </conditionalFormatting>
  <conditionalFormatting sqref="C1:C2">
    <cfRule type="containsBlanks" dxfId="114" priority="50">
      <formula>LEN(TRIM(C1))=0</formula>
    </cfRule>
  </conditionalFormatting>
  <conditionalFormatting sqref="D21:E132">
    <cfRule type="expression" dxfId="113" priority="1">
      <formula>D21=$U$1</formula>
    </cfRule>
  </conditionalFormatting>
  <conditionalFormatting sqref="D1:L2">
    <cfRule type="notContainsBlanks" dxfId="112" priority="20">
      <formula>LEN(TRIM(D1))&gt;0</formula>
    </cfRule>
  </conditionalFormatting>
  <conditionalFormatting sqref="F21:F90">
    <cfRule type="expression" dxfId="111" priority="19">
      <formula>IF($C21="",0,1)</formula>
    </cfRule>
  </conditionalFormatting>
  <conditionalFormatting sqref="F91:F93 F103:F107 F109:F132">
    <cfRule type="expression" dxfId="110" priority="33">
      <formula>AND($C91="",F91&lt;&gt;"")</formula>
    </cfRule>
    <cfRule type="expression" dxfId="109" priority="34">
      <formula>$C91=""</formula>
    </cfRule>
    <cfRule type="expression" dxfId="108" priority="35">
      <formula>$C91&lt;&gt;""</formula>
    </cfRule>
  </conditionalFormatting>
  <conditionalFormatting sqref="F94:F99">
    <cfRule type="expression" dxfId="107" priority="18">
      <formula>IF($C94="",0,1)</formula>
    </cfRule>
  </conditionalFormatting>
  <conditionalFormatting sqref="F100:F101">
    <cfRule type="expression" dxfId="106" priority="6">
      <formula>AND($C100="",F100&lt;&gt;"")</formula>
    </cfRule>
    <cfRule type="expression" dxfId="105" priority="7">
      <formula>$C100=""</formula>
    </cfRule>
    <cfRule type="expression" dxfId="104" priority="8">
      <formula>$C100&lt;&gt;""</formula>
    </cfRule>
  </conditionalFormatting>
  <conditionalFormatting sqref="F102">
    <cfRule type="expression" dxfId="103" priority="17">
      <formula>IF($C102="",0,1)</formula>
    </cfRule>
  </conditionalFormatting>
  <conditionalFormatting sqref="F108">
    <cfRule type="expression" dxfId="102" priority="15">
      <formula>IF($C108="",0,1)</formula>
    </cfRule>
  </conditionalFormatting>
  <conditionalFormatting sqref="G21:G132">
    <cfRule type="expression" dxfId="101" priority="21">
      <formula>G21=$U$1</formula>
    </cfRule>
  </conditionalFormatting>
  <conditionalFormatting sqref="G21:H132">
    <cfRule type="containsBlanks" dxfId="100" priority="22">
      <formula>LEN(TRIM(G21))=0</formula>
    </cfRule>
  </conditionalFormatting>
  <conditionalFormatting sqref="I21:I24">
    <cfRule type="expression" dxfId="99" priority="25">
      <formula>I21=$U$1</formula>
    </cfRule>
  </conditionalFormatting>
  <conditionalFormatting sqref="I21:I132">
    <cfRule type="containsBlanks" dxfId="98" priority="26">
      <formula>LEN(TRIM(I21))=0</formula>
    </cfRule>
  </conditionalFormatting>
  <conditionalFormatting sqref="J21:L132">
    <cfRule type="expression" dxfId="97" priority="36">
      <formula>J21=$U$1</formula>
    </cfRule>
    <cfRule type="containsBlanks" dxfId="96" priority="37">
      <formula>LEN(TRIM(J21))=0</formula>
    </cfRule>
  </conditionalFormatting>
  <dataValidations count="4">
    <dataValidation type="list" allowBlank="1" showInputMessage="1" showErrorMessage="1" error="יש להזין 0 או 1._x000a_0 = לא זכאי להגנה._x000a_1= זכאי להגנה" sqref="H21:H132" xr:uid="{00000000-0002-0000-0E00-000000000000}">
      <formula1>$P21:$Q21</formula1>
    </dataValidation>
    <dataValidation type="decimal" operator="greaterThanOrEqual" allowBlank="1" showInputMessage="1" showErrorMessage="1" errorTitle="נתון שגוי." error="ניתן להזין רק מספר גדול או שווה ל-0." sqref="E5" xr:uid="{00000000-0002-0000-0E00-000001000000}">
      <formula1>0</formula1>
    </dataValidation>
    <dataValidation type="decimal" operator="greaterThanOrEqual" allowBlank="1" showInputMessage="1" showErrorMessage="1" errorTitle="טעות בהזנה" error="יש להזין סכום שאינו שלילי" sqref="E21:E132" xr:uid="{00000000-0002-0000-0E00-000002000000}">
      <formula1>0</formula1>
    </dataValidation>
    <dataValidation type="list" operator="greaterThanOrEqual" allowBlank="1" showInputMessage="1" showErrorMessage="1" errorTitle="טעות בהזנה" error="יש להזין סכום שאינו שלילי" sqref="F21:F132" xr:uid="{00000000-0002-0000-0E00-000003000000}">
      <formula1>"0,1"</formula1>
    </dataValidation>
  </dataValidations>
  <printOptions horizontalCentered="1"/>
  <pageMargins left="0.27559055118110237" right="0.19685039370078741" top="0.62992125984251968" bottom="0.47244094488188981" header="0.31496062992125984" footer="0.23622047244094491"/>
  <pageSetup paperSize="9" scale="38" orientation="portrait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7">
    <tabColor theme="4" tint="-0.249977111117893"/>
    <pageSetUpPr fitToPage="1"/>
  </sheetPr>
  <dimension ref="B1:BD133"/>
  <sheetViews>
    <sheetView rightToLeft="1" view="pageBreakPreview" zoomScale="80" zoomScaleNormal="100" zoomScaleSheetLayoutView="80" workbookViewId="0"/>
  </sheetViews>
  <sheetFormatPr defaultColWidth="9.140625" defaultRowHeight="15.75" x14ac:dyDescent="0.25"/>
  <cols>
    <col min="1" max="1" width="2.28515625" style="629" customWidth="1"/>
    <col min="2" max="2" width="12" style="629" bestFit="1" customWidth="1"/>
    <col min="3" max="3" width="36.42578125" style="629" bestFit="1" customWidth="1"/>
    <col min="4" max="4" width="22.42578125" style="629" customWidth="1"/>
    <col min="5" max="5" width="32.85546875" style="629" customWidth="1"/>
    <col min="6" max="6" width="22.140625" style="629" customWidth="1"/>
    <col min="7" max="7" width="16.28515625" style="629" customWidth="1"/>
    <col min="8" max="45" width="16.28515625" style="629" hidden="1" customWidth="1"/>
    <col min="46" max="46" width="7" style="629" hidden="1" customWidth="1"/>
    <col min="47" max="47" width="15.140625" style="629" customWidth="1"/>
    <col min="48" max="48" width="13.7109375" style="629" customWidth="1"/>
    <col min="49" max="52" width="9.140625" style="629"/>
    <col min="53" max="57" width="0" style="629" hidden="1" customWidth="1"/>
    <col min="58" max="16384" width="9.140625" style="629"/>
  </cols>
  <sheetData>
    <row r="1" spans="2:53" ht="15.75" customHeight="1" x14ac:dyDescent="0.25">
      <c r="B1" s="100" t="str">
        <f>'פרמטרים לעקרונות חישוב התמיכה'!$B$1</f>
        <v>שנה</v>
      </c>
      <c r="C1" s="13">
        <f>'פרמטרים לעקרונות חישוב התמיכה'!$C$1</f>
        <v>2025</v>
      </c>
      <c r="BA1" s="629" t="s">
        <v>249</v>
      </c>
    </row>
    <row r="2" spans="2:53" ht="16.5" customHeight="1" thickBot="1" x14ac:dyDescent="0.3">
      <c r="B2" s="101" t="str">
        <f>'פרמטרים לעקרונות חישוב התמיכה'!$B$2</f>
        <v>תקציב התמיכה</v>
      </c>
      <c r="C2" s="14">
        <f>'פרמטרים לעקרונות חישוב התמיכה'!$C$2</f>
        <v>8082764</v>
      </c>
    </row>
    <row r="4" spans="2:53" ht="16.5" thickBot="1" x14ac:dyDescent="0.3"/>
    <row r="5" spans="2:53" s="630" customFormat="1" ht="31.5" customHeight="1" x14ac:dyDescent="0.25">
      <c r="C5" s="854" t="str">
        <f>'פרמטרים לעקרונות חישוב התמיכה'!B21</f>
        <v>שיעור פיחות מירבי בתמיכה</v>
      </c>
      <c r="D5" s="855"/>
      <c r="E5" s="144">
        <f>'פרמטרים לעקרונות חישוב התמיכה'!C21</f>
        <v>0.2</v>
      </c>
    </row>
    <row r="6" spans="2:53" s="630" customFormat="1" ht="60" customHeight="1" thickBot="1" x14ac:dyDescent="0.3">
      <c r="C6" s="856" t="str">
        <f>'פרמטרים לעקרונות חישוב התמיכה'!B22</f>
        <v>שיעור תמיכה מינימלי משנה קודמת</v>
      </c>
      <c r="D6" s="857"/>
      <c r="E6" s="145">
        <f>'פרמטרים לעקרונות חישוב התמיכה'!C22</f>
        <v>0.8</v>
      </c>
    </row>
    <row r="7" spans="2:53" s="630" customFormat="1" ht="16.5" thickBot="1" x14ac:dyDescent="0.3"/>
    <row r="8" spans="2:53" s="630" customFormat="1" ht="16.5" hidden="1" thickBot="1" x14ac:dyDescent="0.3"/>
    <row r="9" spans="2:53" s="630" customFormat="1" ht="16.5" hidden="1" thickBot="1" x14ac:dyDescent="0.3"/>
    <row r="10" spans="2:53" s="630" customFormat="1" ht="16.5" hidden="1" thickBot="1" x14ac:dyDescent="0.3"/>
    <row r="11" spans="2:53" s="630" customFormat="1" ht="16.5" hidden="1" thickBot="1" x14ac:dyDescent="0.3"/>
    <row r="12" spans="2:53" s="630" customFormat="1" ht="16.5" hidden="1" thickBot="1" x14ac:dyDescent="0.3"/>
    <row r="13" spans="2:53" s="630" customFormat="1" ht="16.5" hidden="1" thickBot="1" x14ac:dyDescent="0.3"/>
    <row r="14" spans="2:53" s="630" customFormat="1" ht="16.5" hidden="1" thickBot="1" x14ac:dyDescent="0.3"/>
    <row r="15" spans="2:53" s="630" customFormat="1" ht="16.5" hidden="1" thickBot="1" x14ac:dyDescent="0.3"/>
    <row r="16" spans="2:53" s="630" customFormat="1" ht="16.5" hidden="1" thickBot="1" x14ac:dyDescent="0.3"/>
    <row r="17" spans="2:56" s="630" customFormat="1" ht="16.5" hidden="1" thickBot="1" x14ac:dyDescent="0.3"/>
    <row r="18" spans="2:56" s="630" customFormat="1" ht="19.5" thickBot="1" x14ac:dyDescent="0.3">
      <c r="B18" s="858" t="str">
        <f ca="1">MID(CELL("filename",B17),FIND("]",CELL("filename",C17),1)+1,99)</f>
        <v>הגנה</v>
      </c>
      <c r="C18" s="859"/>
      <c r="D18" s="859"/>
      <c r="E18" s="859"/>
      <c r="F18" s="859"/>
      <c r="G18" s="859"/>
      <c r="H18" s="859"/>
      <c r="I18" s="859"/>
      <c r="J18" s="859"/>
      <c r="K18" s="859"/>
      <c r="L18" s="859"/>
      <c r="M18" s="859"/>
      <c r="N18" s="859"/>
      <c r="O18" s="859"/>
      <c r="P18" s="859"/>
      <c r="Q18" s="859"/>
      <c r="R18" s="859"/>
      <c r="S18" s="859"/>
      <c r="T18" s="859"/>
      <c r="U18" s="859"/>
      <c r="V18" s="859"/>
      <c r="W18" s="859"/>
      <c r="X18" s="859"/>
      <c r="Y18" s="859"/>
      <c r="Z18" s="859"/>
      <c r="AA18" s="859"/>
      <c r="AB18" s="859"/>
      <c r="AC18" s="859"/>
      <c r="AD18" s="859"/>
      <c r="AE18" s="859"/>
      <c r="AF18" s="859"/>
      <c r="AG18" s="859"/>
      <c r="AH18" s="859"/>
      <c r="AI18" s="859"/>
      <c r="AJ18" s="859"/>
      <c r="AK18" s="859"/>
      <c r="AL18" s="859"/>
      <c r="AM18" s="859"/>
      <c r="AN18" s="859"/>
      <c r="AO18" s="859"/>
      <c r="AP18" s="859"/>
      <c r="AQ18" s="859"/>
      <c r="AR18" s="859"/>
      <c r="AS18" s="859"/>
      <c r="AT18" s="859"/>
      <c r="AU18" s="859"/>
      <c r="AV18" s="860"/>
    </row>
    <row r="19" spans="2:56" s="630" customFormat="1" ht="24" customHeight="1" x14ac:dyDescent="0.25">
      <c r="B19" s="861" t="s">
        <v>206</v>
      </c>
      <c r="C19" s="820" t="str">
        <f>ייצוב!C19</f>
        <v>שם המוסד</v>
      </c>
      <c r="D19" s="848" t="s">
        <v>266</v>
      </c>
      <c r="E19" s="848" t="s">
        <v>271</v>
      </c>
      <c r="F19" s="631" t="s">
        <v>272</v>
      </c>
      <c r="G19" s="848" t="s">
        <v>273</v>
      </c>
      <c r="H19" s="848" t="s">
        <v>274</v>
      </c>
      <c r="I19" s="848" t="s">
        <v>275</v>
      </c>
      <c r="J19" s="848" t="s">
        <v>276</v>
      </c>
      <c r="K19" s="848" t="s">
        <v>277</v>
      </c>
      <c r="L19" s="848" t="s">
        <v>278</v>
      </c>
      <c r="M19" s="848" t="s">
        <v>279</v>
      </c>
      <c r="N19" s="848" t="s">
        <v>280</v>
      </c>
      <c r="O19" s="848" t="s">
        <v>281</v>
      </c>
      <c r="P19" s="848" t="s">
        <v>282</v>
      </c>
      <c r="Q19" s="848" t="s">
        <v>283</v>
      </c>
      <c r="R19" s="848" t="s">
        <v>284</v>
      </c>
      <c r="S19" s="848" t="s">
        <v>285</v>
      </c>
      <c r="T19" s="848" t="s">
        <v>286</v>
      </c>
      <c r="U19" s="848" t="s">
        <v>287</v>
      </c>
      <c r="V19" s="848" t="s">
        <v>288</v>
      </c>
      <c r="W19" s="848" t="s">
        <v>289</v>
      </c>
      <c r="X19" s="848" t="s">
        <v>290</v>
      </c>
      <c r="Y19" s="848" t="s">
        <v>291</v>
      </c>
      <c r="Z19" s="848" t="s">
        <v>292</v>
      </c>
      <c r="AA19" s="848" t="s">
        <v>293</v>
      </c>
      <c r="AB19" s="848" t="s">
        <v>294</v>
      </c>
      <c r="AC19" s="848" t="s">
        <v>295</v>
      </c>
      <c r="AD19" s="848" t="s">
        <v>296</v>
      </c>
      <c r="AE19" s="848" t="s">
        <v>297</v>
      </c>
      <c r="AF19" s="848" t="s">
        <v>298</v>
      </c>
      <c r="AG19" s="848" t="s">
        <v>299</v>
      </c>
      <c r="AH19" s="848" t="s">
        <v>300</v>
      </c>
      <c r="AI19" s="848" t="s">
        <v>301</v>
      </c>
      <c r="AJ19" s="848" t="s">
        <v>302</v>
      </c>
      <c r="AK19" s="848" t="s">
        <v>303</v>
      </c>
      <c r="AL19" s="848" t="s">
        <v>304</v>
      </c>
      <c r="AM19" s="848" t="s">
        <v>305</v>
      </c>
      <c r="AN19" s="848" t="s">
        <v>306</v>
      </c>
      <c r="AO19" s="848" t="s">
        <v>307</v>
      </c>
      <c r="AP19" s="848" t="s">
        <v>308</v>
      </c>
      <c r="AQ19" s="848" t="s">
        <v>309</v>
      </c>
      <c r="AR19" s="848" t="s">
        <v>310</v>
      </c>
      <c r="AS19" s="848" t="s">
        <v>311</v>
      </c>
      <c r="AT19" s="848" t="s">
        <v>312</v>
      </c>
      <c r="AU19" s="848" t="s">
        <v>313</v>
      </c>
      <c r="AV19" s="850" t="s">
        <v>314</v>
      </c>
    </row>
    <row r="20" spans="2:56" s="630" customFormat="1" ht="32.25" customHeight="1" thickBot="1" x14ac:dyDescent="0.3">
      <c r="B20" s="862"/>
      <c r="C20" s="844"/>
      <c r="D20" s="849"/>
      <c r="E20" s="849"/>
      <c r="F20" s="632" t="s">
        <v>78</v>
      </c>
      <c r="G20" s="849"/>
      <c r="H20" s="849"/>
      <c r="I20" s="849"/>
      <c r="J20" s="849"/>
      <c r="K20" s="849"/>
      <c r="L20" s="849"/>
      <c r="M20" s="849"/>
      <c r="N20" s="849"/>
      <c r="O20" s="849"/>
      <c r="P20" s="849"/>
      <c r="Q20" s="849"/>
      <c r="R20" s="849"/>
      <c r="S20" s="849"/>
      <c r="T20" s="849"/>
      <c r="U20" s="849"/>
      <c r="V20" s="849"/>
      <c r="W20" s="849"/>
      <c r="X20" s="849"/>
      <c r="Y20" s="849"/>
      <c r="Z20" s="849"/>
      <c r="AA20" s="849"/>
      <c r="AB20" s="849"/>
      <c r="AC20" s="849"/>
      <c r="AD20" s="849"/>
      <c r="AE20" s="849"/>
      <c r="AF20" s="849"/>
      <c r="AG20" s="849"/>
      <c r="AH20" s="849"/>
      <c r="AI20" s="849"/>
      <c r="AJ20" s="849"/>
      <c r="AK20" s="849"/>
      <c r="AL20" s="849"/>
      <c r="AM20" s="849"/>
      <c r="AN20" s="849"/>
      <c r="AO20" s="849"/>
      <c r="AP20" s="849"/>
      <c r="AQ20" s="849"/>
      <c r="AR20" s="849"/>
      <c r="AS20" s="849"/>
      <c r="AT20" s="849"/>
      <c r="AU20" s="849"/>
      <c r="AV20" s="851"/>
      <c r="BA20" s="18">
        <v>0</v>
      </c>
      <c r="BB20" s="18">
        <v>1</v>
      </c>
      <c r="BD20" s="630" t="s">
        <v>315</v>
      </c>
    </row>
    <row r="21" spans="2:56" s="630" customFormat="1" x14ac:dyDescent="0.25">
      <c r="B21" s="126">
        <f>IF(C21="","",ROW()-20)</f>
        <v>1</v>
      </c>
      <c r="C21" s="633" t="str">
        <f>ייצוב!C21</f>
        <v>סילביה דוראן</v>
      </c>
      <c r="D21" s="139">
        <f>IF(ייצוב!K21="","",ייצוב!K21)</f>
        <v>2.5340699218652607E-3</v>
      </c>
      <c r="E21" s="139">
        <f>IF(ייצוב!G21="","",ייצוב!G21)</f>
        <v>3.7878017866227434E-3</v>
      </c>
      <c r="F21" s="634">
        <f>'סיכום לועדה- הזנת נתונים'!G21</f>
        <v>0</v>
      </c>
      <c r="G21" s="146">
        <f>IF($C21="","",IF(OR(D21="",E21="",BD21&lt;&gt;1),$BA$1,IF($D21&lt;$E21*$E$6,1,0)))</f>
        <v>1</v>
      </c>
      <c r="H21" s="147">
        <f>IF($C21="","",IF(G21+$F21=2,1,0))</f>
        <v>0</v>
      </c>
      <c r="I21" s="148">
        <f>IF($C21="","",IF(H21=1,$E21*$E$6,$D21))</f>
        <v>2.5340699218652607E-3</v>
      </c>
      <c r="J21" s="148">
        <f t="shared" ref="J21:J52" si="0">IF(G21="","",IF(H21=1,I21,I21/SUMIF(H$21:H$132,"&lt;&gt;1",I$21:I$132)*(1-SUMIF(H$21:H$132,"=1",I$21:I$132))))</f>
        <v>2.5340262864117806E-3</v>
      </c>
      <c r="K21" s="149">
        <f>IF($C21="","",IF(J21&lt;$E21*$E$6,1,0))</f>
        <v>1</v>
      </c>
      <c r="L21" s="149">
        <f>IF($C21="","",IF(K21+$F21=2,1,0))</f>
        <v>0</v>
      </c>
      <c r="M21" s="150">
        <f>IF($C21="","",IF(L21=1,$E21*$E$6,$I21))</f>
        <v>2.5340699218652607E-3</v>
      </c>
      <c r="N21" s="150">
        <f t="shared" ref="N21:N52" si="1">IF(K21="","",IF(L21=1,M21,M21/SUMIF(L$21:L$132,"&lt;&gt;1",M$21:M$132)*(1-SUMIF(L$21:L$132,"=1",M$21:M$132))))</f>
        <v>2.5340265690004774E-3</v>
      </c>
      <c r="O21" s="149">
        <f>IF($C21="","",IF(N21&lt;$E21*$E$6,1,0))</f>
        <v>1</v>
      </c>
      <c r="P21" s="149">
        <f>IF($C21="","",IF(O21+$F21=2,1,0))</f>
        <v>0</v>
      </c>
      <c r="Q21" s="150">
        <f>IF($C21="","",IF(P21=1,$E21*$E$6,$M21))</f>
        <v>2.5340699218652607E-3</v>
      </c>
      <c r="R21" s="150">
        <f t="shared" ref="R21:R52" si="2">IF(O21="","",IF(P21=1,Q21,Q21/SUMIF(P$21:P$132,"&lt;&gt;1",Q$21:Q$132)*(1-SUMIF(P$21:P$132,"=1",Q$21:Q$132))))</f>
        <v>2.5340262864117806E-3</v>
      </c>
      <c r="S21" s="149">
        <f>IF($C21="","",IF(R21&lt;$E21*$E$6,1,0))</f>
        <v>1</v>
      </c>
      <c r="T21" s="149">
        <f>IF($C21="","",IF(S21+$F21=2,1,0))</f>
        <v>0</v>
      </c>
      <c r="U21" s="150">
        <f>IF($C21="","",IF(T21=1,$E21*$E$6,R21))</f>
        <v>2.5340262864117806E-3</v>
      </c>
      <c r="V21" s="150">
        <f t="shared" ref="V21:V52" si="3">IF(S21="","",IF(T21=1,U21,U21/SUMIF(T$21:T$132,"&lt;&gt;1",U$21:U$132)*(1-SUMIF(T$21:T$132,"=1",U$21:U$132))))</f>
        <v>2.5340262864117801E-3</v>
      </c>
      <c r="W21" s="149">
        <f>IF($C21="","",IF(V21&lt;$E21*$E$6,1,0))</f>
        <v>1</v>
      </c>
      <c r="X21" s="149">
        <f>IF($C21="","",IF(W21+$F21=2,1,0))</f>
        <v>0</v>
      </c>
      <c r="Y21" s="150">
        <f>IF($C21="","",IF(X21=1,$E21*$E$6,V21))</f>
        <v>2.5340262864117801E-3</v>
      </c>
      <c r="Z21" s="150">
        <f t="shared" ref="Z21:Z52" si="4">IF(W21="","",IF(X21=1,Y21,Y21/SUMIF(X$21:X$132,"&lt;&gt;1",Y$21:Y$132)*(1-SUMIF(X$21:X$132,"=1",Y$21:Y$132))))</f>
        <v>2.5340262864117801E-3</v>
      </c>
      <c r="AA21" s="149">
        <f>IF($C21="","",IF(Z21&lt;$E21*$E$6,1,0))</f>
        <v>1</v>
      </c>
      <c r="AB21" s="149">
        <f>IF($C21="","",IF(AA21+$F21=2,1,0))</f>
        <v>0</v>
      </c>
      <c r="AC21" s="150">
        <f>IF($C21="","",IF(AB21=1,$E21*$E$6,Z21))</f>
        <v>2.5340262864117801E-3</v>
      </c>
      <c r="AD21" s="150">
        <f t="shared" ref="AD21:AD52" si="5">IF(AA21="","",IF(AB21=1,AC21,AC21/SUMIF(AB$21:AB$132,"&lt;&gt;1",AC$21:AC$132)*(1-SUMIF(AB$21:AB$132,"=1",AC$21:AC$132))))</f>
        <v>2.5340262864117801E-3</v>
      </c>
      <c r="AE21" s="149">
        <f>IF($C21="","",IF(AD21&lt;$E21*$E$6,1,0))</f>
        <v>1</v>
      </c>
      <c r="AF21" s="149">
        <f>IF($C21="","",IF(AE21+$F21=2,1,0))</f>
        <v>0</v>
      </c>
      <c r="AG21" s="150">
        <f>IF($C21="","",IF(AF21=1,$E21*$E$6,AD21))</f>
        <v>2.5340262864117801E-3</v>
      </c>
      <c r="AH21" s="150">
        <f t="shared" ref="AH21:AH52" si="6">IF(AE21="","",IF(AF21=1,AG21,AG21/SUMIF(AF$21:AF$132,"&lt;&gt;1",AG$21:AG$132)*(1-SUMIF(AF$21:AF$132,"=1",AG$21:AG$132))))</f>
        <v>2.5340262864117801E-3</v>
      </c>
      <c r="AI21" s="149">
        <f>IF($C21="","",IF(AH21&lt;$E21*$E$6,1,0))</f>
        <v>1</v>
      </c>
      <c r="AJ21" s="149">
        <f>IF($C21="","",IF(AI21+$F21=2,1,0))</f>
        <v>0</v>
      </c>
      <c r="AK21" s="150">
        <f>IF($C21="","",IF(AJ21=1,$E21*$E$6,AH21))</f>
        <v>2.5340262864117801E-3</v>
      </c>
      <c r="AL21" s="150">
        <f t="shared" ref="AL21:AL52" si="7">IF(AI21="","",IF(AJ21=1,AK21,AK21/SUMIF(AJ$21:AJ$132,"&lt;&gt;1",AK$21:AK$132)*(1-SUMIF(AJ$21:AJ$132,"=1",AK$21:AK$132))))</f>
        <v>2.5340262864117801E-3</v>
      </c>
      <c r="AM21" s="149">
        <f>IF($C21="","",IF(AL21&lt;$E21*$E$6,1,0))</f>
        <v>1</v>
      </c>
      <c r="AN21" s="149">
        <f>IF($C21="","",IF(AM21+$F21=2,1,0))</f>
        <v>0</v>
      </c>
      <c r="AO21" s="150">
        <f>IF($C21="","",IF(AN21=1,$E21*$E$6,AL21))</f>
        <v>2.5340262864117801E-3</v>
      </c>
      <c r="AP21" s="150">
        <f t="shared" ref="AP21:AP52" si="8">IF(AM21="","",IF(AN21=1,AO21,AO21/SUMIF(AN$21:AN$132,"&lt;&gt;1",AO$21:AO$132)*(1-SUMIF(AN$21:AN$132,"=1",AO$21:AO$132))))</f>
        <v>2.5340262864117801E-3</v>
      </c>
      <c r="AQ21" s="149">
        <f>IF($C21="","",IF(OR(AP21&lt;$E21*$E$6,AN21=1,AJ21=1,AF21=1,AB21=1,X21=1,T21=1,P21=1,L21=1,H21=1),1,0))</f>
        <v>1</v>
      </c>
      <c r="AR21" s="149">
        <f>IF($C21="","",IF(AQ21+$F21=2,1,0))</f>
        <v>0</v>
      </c>
      <c r="AS21" s="150">
        <f>IF($C21="","",IF(AR21=1,$E21*$E$6,AP21))</f>
        <v>2.5340262864117801E-3</v>
      </c>
      <c r="AT21" s="150">
        <f t="shared" ref="AT21:AT52" si="9">IF(AQ21="","",IF(AR21=1,AS21,AS21/SUMIF(AR$21:AR$132,"&lt;&gt;1",AS$21:AS$132)*(1-SUMIF(AR$21:AR$132,"=1",AS$21:AS$132))))</f>
        <v>2.5340262864117801E-3</v>
      </c>
      <c r="AU21" s="129">
        <f t="shared" ref="AU21:AU52" si="10">IF(C21="","",IFERROR(AT21/SUM($AT$21:$AT$132),$BA$1))</f>
        <v>2.5340262864117806E-3</v>
      </c>
      <c r="AV21" s="130">
        <f>IF(C21="","",IFERROR(AU21*$C$2,$BA$1))</f>
        <v>20481.936442862829</v>
      </c>
      <c r="BA21" s="18">
        <f>IF($C21="","",BA$20)</f>
        <v>0</v>
      </c>
      <c r="BB21" s="18">
        <f>IF($C21="","",BB$20)</f>
        <v>1</v>
      </c>
      <c r="BD21" s="630">
        <f>IF(F21="",0,IF(ISERROR(MATCH(F21,$BA$20:$BB$20,0)),0,1))</f>
        <v>1</v>
      </c>
    </row>
    <row r="22" spans="2:56" s="630" customFormat="1" x14ac:dyDescent="0.25">
      <c r="B22" s="73">
        <f t="shared" ref="B22:B85" si="11">IF(C22="","",ROW()-20)</f>
        <v>2</v>
      </c>
      <c r="C22" s="424" t="str">
        <f>ייצוב!C22</f>
        <v>רנה שינפלד</v>
      </c>
      <c r="D22" s="139">
        <f>IF(ייצוב!K22="","",ייצוב!K22)</f>
        <v>1.3586547650548909E-2</v>
      </c>
      <c r="E22" s="139">
        <f>IF(ייצוב!G22="","",ייצוב!G22)</f>
        <v>1.5735448676638814E-2</v>
      </c>
      <c r="F22" s="634">
        <f>'סיכום לועדה- הזנת נתונים'!G22</f>
        <v>0</v>
      </c>
      <c r="G22" s="146">
        <f t="shared" ref="G22:G85" si="12">IF($C22="","",IF(OR(D22="",E22="",BD22&lt;&gt;1),$BA$1,IF($D22&lt;$E22*$E$6,1,0)))</f>
        <v>0</v>
      </c>
      <c r="H22" s="432">
        <f t="shared" ref="H22:H85" si="13">IF($C22="","",IF(G22+$F22=2,1,0))</f>
        <v>0</v>
      </c>
      <c r="I22" s="433">
        <f t="shared" ref="I22:I85" si="14">IF($C22="","",IF(H22=1,$E22*$E$6,$D22))</f>
        <v>1.3586547650548909E-2</v>
      </c>
      <c r="J22" s="433">
        <f t="shared" si="0"/>
        <v>1.3586313696796153E-2</v>
      </c>
      <c r="K22" s="434">
        <f t="shared" ref="K22:K85" si="15">IF($C22="","",IF(J22&lt;$E22*$E$6,1,0))</f>
        <v>0</v>
      </c>
      <c r="L22" s="434">
        <f t="shared" ref="L22:L85" si="16">IF($C22="","",IF(K22+$F22=2,1,0))</f>
        <v>0</v>
      </c>
      <c r="M22" s="435">
        <f t="shared" ref="M22:M85" si="17">IF($C22="","",IF(L22=1,$E22*$E$6,$I22))</f>
        <v>1.3586547650548909E-2</v>
      </c>
      <c r="N22" s="435">
        <f t="shared" si="1"/>
        <v>1.3586315211910147E-2</v>
      </c>
      <c r="O22" s="434">
        <f t="shared" ref="O22:O85" si="18">IF($C22="","",IF(N22&lt;$E22*$E$6,1,0))</f>
        <v>0</v>
      </c>
      <c r="P22" s="434">
        <f t="shared" ref="P22:P85" si="19">IF($C22="","",IF(O22+$F22=2,1,0))</f>
        <v>0</v>
      </c>
      <c r="Q22" s="435">
        <f t="shared" ref="Q22:Q85" si="20">IF($C22="","",IF(P22=1,$E22*$E$6,$M22))</f>
        <v>1.3586547650548909E-2</v>
      </c>
      <c r="R22" s="435">
        <f t="shared" si="2"/>
        <v>1.3586313696796153E-2</v>
      </c>
      <c r="S22" s="434">
        <f t="shared" ref="S22:S85" si="21">IF($C22="","",IF(R22&lt;$E22*$E$6,1,0))</f>
        <v>0</v>
      </c>
      <c r="T22" s="434">
        <f t="shared" ref="T22:T85" si="22">IF($C22="","",IF(S22+$F22=2,1,0))</f>
        <v>0</v>
      </c>
      <c r="U22" s="435">
        <f t="shared" ref="U22:U85" si="23">IF($C22="","",IF(T22=1,$E22*$E$6,R22))</f>
        <v>1.3586313696796153E-2</v>
      </c>
      <c r="V22" s="435">
        <f t="shared" si="3"/>
        <v>1.3586313696796149E-2</v>
      </c>
      <c r="W22" s="434">
        <f t="shared" ref="W22:W85" si="24">IF($C22="","",IF(V22&lt;$E22*$E$6,1,0))</f>
        <v>0</v>
      </c>
      <c r="X22" s="434">
        <f t="shared" ref="X22:X85" si="25">IF($C22="","",IF(W22+$F22=2,1,0))</f>
        <v>0</v>
      </c>
      <c r="Y22" s="435">
        <f t="shared" ref="Y22:Y85" si="26">IF($C22="","",IF(X22=1,$E22*$E$6,V22))</f>
        <v>1.3586313696796149E-2</v>
      </c>
      <c r="Z22" s="435">
        <f t="shared" si="4"/>
        <v>1.3586313696796149E-2</v>
      </c>
      <c r="AA22" s="434">
        <f t="shared" ref="AA22:AA85" si="27">IF($C22="","",IF(Z22&lt;$E22*$E$6,1,0))</f>
        <v>0</v>
      </c>
      <c r="AB22" s="434">
        <f t="shared" ref="AB22:AB85" si="28">IF($C22="","",IF(AA22+$F22=2,1,0))</f>
        <v>0</v>
      </c>
      <c r="AC22" s="435">
        <f t="shared" ref="AC22:AC85" si="29">IF($C22="","",IF(AB22=1,$E22*$E$6,Z22))</f>
        <v>1.3586313696796149E-2</v>
      </c>
      <c r="AD22" s="435">
        <f t="shared" si="5"/>
        <v>1.3586313696796149E-2</v>
      </c>
      <c r="AE22" s="434">
        <f t="shared" ref="AE22:AE85" si="30">IF($C22="","",IF(AD22&lt;$E22*$E$6,1,0))</f>
        <v>0</v>
      </c>
      <c r="AF22" s="434">
        <f t="shared" ref="AF22:AF85" si="31">IF($C22="","",IF(AE22+$F22=2,1,0))</f>
        <v>0</v>
      </c>
      <c r="AG22" s="435">
        <f t="shared" ref="AG22:AG85" si="32">IF($C22="","",IF(AF22=1,$E22*$E$6,AD22))</f>
        <v>1.3586313696796149E-2</v>
      </c>
      <c r="AH22" s="435">
        <f t="shared" si="6"/>
        <v>1.3586313696796149E-2</v>
      </c>
      <c r="AI22" s="434">
        <f t="shared" ref="AI22:AI85" si="33">IF($C22="","",IF(AH22&lt;$E22*$E$6,1,0))</f>
        <v>0</v>
      </c>
      <c r="AJ22" s="434">
        <f t="shared" ref="AJ22:AJ85" si="34">IF($C22="","",IF(AI22+$F22=2,1,0))</f>
        <v>0</v>
      </c>
      <c r="AK22" s="435">
        <f t="shared" ref="AK22:AK85" si="35">IF($C22="","",IF(AJ22=1,$E22*$E$6,AH22))</f>
        <v>1.3586313696796149E-2</v>
      </c>
      <c r="AL22" s="435">
        <f t="shared" si="7"/>
        <v>1.3586313696796149E-2</v>
      </c>
      <c r="AM22" s="434">
        <f t="shared" ref="AM22:AM85" si="36">IF($C22="","",IF(AL22&lt;$E22*$E$6,1,0))</f>
        <v>0</v>
      </c>
      <c r="AN22" s="434">
        <f t="shared" ref="AN22:AN85" si="37">IF($C22="","",IF(AM22+$F22=2,1,0))</f>
        <v>0</v>
      </c>
      <c r="AO22" s="435">
        <f t="shared" ref="AO22:AO85" si="38">IF($C22="","",IF(AN22=1,$E22*$E$6,AL22))</f>
        <v>1.3586313696796149E-2</v>
      </c>
      <c r="AP22" s="435">
        <f t="shared" si="8"/>
        <v>1.3586313696796149E-2</v>
      </c>
      <c r="AQ22" s="434">
        <f t="shared" ref="AQ22:AQ85" si="39">IF($C22="","",IF(OR(AP22&lt;$E22*$E$6,AN22=1,AJ22=1,AF22=1,AB22=1,X22=1,T22=1,P22=1,L22=1,H22=1),1,0))</f>
        <v>0</v>
      </c>
      <c r="AR22" s="434">
        <f t="shared" ref="AR22:AR85" si="40">IF($C22="","",IF(AQ22+$F22=2,1,0))</f>
        <v>0</v>
      </c>
      <c r="AS22" s="435">
        <f t="shared" ref="AS22:AS85" si="41">IF($C22="","",IF(AR22=1,$E22*$E$6,AP22))</f>
        <v>1.3586313696796149E-2</v>
      </c>
      <c r="AT22" s="435">
        <f t="shared" si="9"/>
        <v>1.3586313696796149E-2</v>
      </c>
      <c r="AU22" s="436">
        <f t="shared" si="10"/>
        <v>1.3586313696796153E-2</v>
      </c>
      <c r="AV22" s="151">
        <f t="shared" ref="AV22:AV85" si="42">IF(C22="","",IFERROR(AU22*$C$2,$BA$1))</f>
        <v>109814.96724117086</v>
      </c>
      <c r="BA22" s="18">
        <f t="shared" ref="BA22:BB53" si="43">IF($C22="","",BA$20)</f>
        <v>0</v>
      </c>
      <c r="BB22" s="18">
        <f t="shared" si="43"/>
        <v>1</v>
      </c>
      <c r="BD22" s="630">
        <f t="shared" ref="BD22:BD85" si="44">IF(F22="",0,IF(ISERROR(MATCH(F22,$BA$20:$BB$20,0)),0,1))</f>
        <v>1</v>
      </c>
    </row>
    <row r="23" spans="2:56" s="630" customFormat="1" x14ac:dyDescent="0.25">
      <c r="B23" s="73">
        <f t="shared" si="11"/>
        <v>3</v>
      </c>
      <c r="C23" s="424" t="str">
        <f>ייצוב!C23</f>
        <v>אבי קייזר וסרג'יו אנטוניניו</v>
      </c>
      <c r="D23" s="139">
        <f>IF(ייצוב!K23="","",ייצוב!K23)</f>
        <v>8.2414851659031001E-3</v>
      </c>
      <c r="E23" s="139">
        <f>IF(ייצוב!G23="","",ייצוב!G23)</f>
        <v>8.392960905978299E-3</v>
      </c>
      <c r="F23" s="634">
        <f>'סיכום לועדה- הזנת נתונים'!G23</f>
        <v>1</v>
      </c>
      <c r="G23" s="146">
        <f t="shared" si="12"/>
        <v>0</v>
      </c>
      <c r="H23" s="432">
        <f t="shared" si="13"/>
        <v>0</v>
      </c>
      <c r="I23" s="433">
        <f t="shared" si="14"/>
        <v>8.2414851659031001E-3</v>
      </c>
      <c r="J23" s="433">
        <f t="shared" si="0"/>
        <v>8.2413432515307059E-3</v>
      </c>
      <c r="K23" s="434">
        <f t="shared" si="15"/>
        <v>0</v>
      </c>
      <c r="L23" s="434">
        <f t="shared" si="16"/>
        <v>0</v>
      </c>
      <c r="M23" s="435">
        <f t="shared" si="17"/>
        <v>8.2414851659031001E-3</v>
      </c>
      <c r="N23" s="435">
        <f t="shared" si="1"/>
        <v>8.241344170586069E-3</v>
      </c>
      <c r="O23" s="434">
        <f t="shared" si="18"/>
        <v>0</v>
      </c>
      <c r="P23" s="434">
        <f t="shared" si="19"/>
        <v>0</v>
      </c>
      <c r="Q23" s="435">
        <f t="shared" si="20"/>
        <v>8.2414851659031001E-3</v>
      </c>
      <c r="R23" s="435">
        <f t="shared" si="2"/>
        <v>8.2413432515307059E-3</v>
      </c>
      <c r="S23" s="434">
        <f t="shared" si="21"/>
        <v>0</v>
      </c>
      <c r="T23" s="434">
        <f t="shared" si="22"/>
        <v>0</v>
      </c>
      <c r="U23" s="435">
        <f t="shared" si="23"/>
        <v>8.2413432515307059E-3</v>
      </c>
      <c r="V23" s="435">
        <f t="shared" si="3"/>
        <v>8.2413432515307042E-3</v>
      </c>
      <c r="W23" s="434">
        <f t="shared" si="24"/>
        <v>0</v>
      </c>
      <c r="X23" s="434">
        <f t="shared" si="25"/>
        <v>0</v>
      </c>
      <c r="Y23" s="435">
        <f t="shared" si="26"/>
        <v>8.2413432515307042E-3</v>
      </c>
      <c r="Z23" s="435">
        <f t="shared" si="4"/>
        <v>8.2413432515307042E-3</v>
      </c>
      <c r="AA23" s="434">
        <f t="shared" si="27"/>
        <v>0</v>
      </c>
      <c r="AB23" s="434">
        <f t="shared" si="28"/>
        <v>0</v>
      </c>
      <c r="AC23" s="435">
        <f t="shared" si="29"/>
        <v>8.2413432515307042E-3</v>
      </c>
      <c r="AD23" s="435">
        <f t="shared" si="5"/>
        <v>8.2413432515307042E-3</v>
      </c>
      <c r="AE23" s="434">
        <f t="shared" si="30"/>
        <v>0</v>
      </c>
      <c r="AF23" s="434">
        <f t="shared" si="31"/>
        <v>0</v>
      </c>
      <c r="AG23" s="435">
        <f t="shared" si="32"/>
        <v>8.2413432515307042E-3</v>
      </c>
      <c r="AH23" s="435">
        <f t="shared" si="6"/>
        <v>8.2413432515307042E-3</v>
      </c>
      <c r="AI23" s="434">
        <f t="shared" si="33"/>
        <v>0</v>
      </c>
      <c r="AJ23" s="434">
        <f t="shared" si="34"/>
        <v>0</v>
      </c>
      <c r="AK23" s="435">
        <f t="shared" si="35"/>
        <v>8.2413432515307042E-3</v>
      </c>
      <c r="AL23" s="435">
        <f t="shared" si="7"/>
        <v>8.2413432515307042E-3</v>
      </c>
      <c r="AM23" s="434">
        <f t="shared" si="36"/>
        <v>0</v>
      </c>
      <c r="AN23" s="434">
        <f t="shared" si="37"/>
        <v>0</v>
      </c>
      <c r="AO23" s="435">
        <f t="shared" si="38"/>
        <v>8.2413432515307042E-3</v>
      </c>
      <c r="AP23" s="435">
        <f t="shared" si="8"/>
        <v>8.2413432515307042E-3</v>
      </c>
      <c r="AQ23" s="434">
        <f t="shared" si="39"/>
        <v>0</v>
      </c>
      <c r="AR23" s="434">
        <f t="shared" si="40"/>
        <v>0</v>
      </c>
      <c r="AS23" s="435">
        <f t="shared" si="41"/>
        <v>8.2413432515307042E-3</v>
      </c>
      <c r="AT23" s="435">
        <f t="shared" si="9"/>
        <v>8.2413432515307042E-3</v>
      </c>
      <c r="AU23" s="436">
        <f t="shared" si="10"/>
        <v>8.2413432515307059E-3</v>
      </c>
      <c r="AV23" s="151">
        <f t="shared" si="42"/>
        <v>66612.832545115336</v>
      </c>
      <c r="BA23" s="18">
        <f t="shared" si="43"/>
        <v>0</v>
      </c>
      <c r="BB23" s="18">
        <f t="shared" si="43"/>
        <v>1</v>
      </c>
      <c r="BD23" s="630">
        <f t="shared" si="44"/>
        <v>1</v>
      </c>
    </row>
    <row r="24" spans="2:56" s="630" customFormat="1" x14ac:dyDescent="0.25">
      <c r="B24" s="73" t="str">
        <f t="shared" si="11"/>
        <v/>
      </c>
      <c r="C24" s="424" t="str">
        <f>ייצוב!C24</f>
        <v/>
      </c>
      <c r="D24" s="139" t="str">
        <f>IF(ייצוב!K24="","",ייצוב!K24)</f>
        <v/>
      </c>
      <c r="E24" s="139" t="str">
        <f>IF(ייצוב!G24="","",ייצוב!G24)</f>
        <v/>
      </c>
      <c r="F24" s="634" t="str">
        <f>'סיכום לועדה- הזנת נתונים'!G24</f>
        <v/>
      </c>
      <c r="G24" s="146" t="str">
        <f t="shared" si="12"/>
        <v/>
      </c>
      <c r="H24" s="432" t="str">
        <f t="shared" si="13"/>
        <v/>
      </c>
      <c r="I24" s="433" t="str">
        <f t="shared" si="14"/>
        <v/>
      </c>
      <c r="J24" s="433" t="str">
        <f t="shared" si="0"/>
        <v/>
      </c>
      <c r="K24" s="434" t="str">
        <f t="shared" si="15"/>
        <v/>
      </c>
      <c r="L24" s="434" t="str">
        <f t="shared" si="16"/>
        <v/>
      </c>
      <c r="M24" s="435" t="str">
        <f t="shared" si="17"/>
        <v/>
      </c>
      <c r="N24" s="435" t="str">
        <f t="shared" si="1"/>
        <v/>
      </c>
      <c r="O24" s="434" t="str">
        <f t="shared" si="18"/>
        <v/>
      </c>
      <c r="P24" s="434" t="str">
        <f t="shared" si="19"/>
        <v/>
      </c>
      <c r="Q24" s="435" t="str">
        <f t="shared" si="20"/>
        <v/>
      </c>
      <c r="R24" s="435" t="str">
        <f t="shared" si="2"/>
        <v/>
      </c>
      <c r="S24" s="434" t="str">
        <f t="shared" si="21"/>
        <v/>
      </c>
      <c r="T24" s="434" t="str">
        <f t="shared" si="22"/>
        <v/>
      </c>
      <c r="U24" s="435" t="str">
        <f t="shared" si="23"/>
        <v/>
      </c>
      <c r="V24" s="435" t="str">
        <f t="shared" si="3"/>
        <v/>
      </c>
      <c r="W24" s="434" t="str">
        <f t="shared" si="24"/>
        <v/>
      </c>
      <c r="X24" s="434" t="str">
        <f t="shared" si="25"/>
        <v/>
      </c>
      <c r="Y24" s="435" t="str">
        <f t="shared" si="26"/>
        <v/>
      </c>
      <c r="Z24" s="435" t="str">
        <f t="shared" si="4"/>
        <v/>
      </c>
      <c r="AA24" s="434" t="str">
        <f t="shared" si="27"/>
        <v/>
      </c>
      <c r="AB24" s="434" t="str">
        <f t="shared" si="28"/>
        <v/>
      </c>
      <c r="AC24" s="435" t="str">
        <f t="shared" si="29"/>
        <v/>
      </c>
      <c r="AD24" s="435" t="str">
        <f t="shared" si="5"/>
        <v/>
      </c>
      <c r="AE24" s="434" t="str">
        <f t="shared" si="30"/>
        <v/>
      </c>
      <c r="AF24" s="434" t="str">
        <f t="shared" si="31"/>
        <v/>
      </c>
      <c r="AG24" s="435" t="str">
        <f t="shared" si="32"/>
        <v/>
      </c>
      <c r="AH24" s="435" t="str">
        <f t="shared" si="6"/>
        <v/>
      </c>
      <c r="AI24" s="434" t="str">
        <f t="shared" si="33"/>
        <v/>
      </c>
      <c r="AJ24" s="434" t="str">
        <f t="shared" si="34"/>
        <v/>
      </c>
      <c r="AK24" s="435" t="str">
        <f t="shared" si="35"/>
        <v/>
      </c>
      <c r="AL24" s="435" t="str">
        <f t="shared" si="7"/>
        <v/>
      </c>
      <c r="AM24" s="434" t="str">
        <f t="shared" si="36"/>
        <v/>
      </c>
      <c r="AN24" s="434" t="str">
        <f t="shared" si="37"/>
        <v/>
      </c>
      <c r="AO24" s="435" t="str">
        <f t="shared" si="38"/>
        <v/>
      </c>
      <c r="AP24" s="435" t="str">
        <f t="shared" si="8"/>
        <v/>
      </c>
      <c r="AQ24" s="434" t="str">
        <f t="shared" si="39"/>
        <v/>
      </c>
      <c r="AR24" s="434" t="str">
        <f t="shared" si="40"/>
        <v/>
      </c>
      <c r="AS24" s="435" t="str">
        <f t="shared" si="41"/>
        <v/>
      </c>
      <c r="AT24" s="435" t="str">
        <f t="shared" si="9"/>
        <v/>
      </c>
      <c r="AU24" s="436" t="str">
        <f t="shared" si="10"/>
        <v/>
      </c>
      <c r="AV24" s="151" t="str">
        <f t="shared" si="42"/>
        <v/>
      </c>
      <c r="BA24" s="18" t="str">
        <f t="shared" si="43"/>
        <v/>
      </c>
      <c r="BB24" s="18" t="str">
        <f t="shared" si="43"/>
        <v/>
      </c>
      <c r="BD24" s="630">
        <f t="shared" si="44"/>
        <v>0</v>
      </c>
    </row>
    <row r="25" spans="2:56" s="630" customFormat="1" x14ac:dyDescent="0.25">
      <c r="B25" s="73">
        <f t="shared" si="11"/>
        <v>5</v>
      </c>
      <c r="C25" s="424" t="str">
        <f>ייצוב!C25</f>
        <v>אדוה ירמיהו</v>
      </c>
      <c r="D25" s="139">
        <f>IF(ייצוב!K25="","",ייצוב!K25)</f>
        <v>1.2053760996796233E-2</v>
      </c>
      <c r="E25" s="139">
        <f>IF(ייצוב!G25="","",ייצוב!G25)</f>
        <v>1.1825412896135161E-2</v>
      </c>
      <c r="F25" s="634">
        <f>'סיכום לועדה- הזנת נתונים'!G25</f>
        <v>1</v>
      </c>
      <c r="G25" s="146">
        <f t="shared" si="12"/>
        <v>0</v>
      </c>
      <c r="H25" s="432">
        <f t="shared" si="13"/>
        <v>0</v>
      </c>
      <c r="I25" s="433">
        <f t="shared" si="14"/>
        <v>1.2053760996796233E-2</v>
      </c>
      <c r="J25" s="433">
        <f t="shared" si="0"/>
        <v>1.2053553436885316E-2</v>
      </c>
      <c r="K25" s="434">
        <f t="shared" si="15"/>
        <v>0</v>
      </c>
      <c r="L25" s="434">
        <f t="shared" si="16"/>
        <v>0</v>
      </c>
      <c r="M25" s="435">
        <f t="shared" si="17"/>
        <v>1.2053760996796233E-2</v>
      </c>
      <c r="N25" s="435">
        <f t="shared" si="1"/>
        <v>1.2053554781069462E-2</v>
      </c>
      <c r="O25" s="434">
        <f t="shared" si="18"/>
        <v>0</v>
      </c>
      <c r="P25" s="434">
        <f t="shared" si="19"/>
        <v>0</v>
      </c>
      <c r="Q25" s="435">
        <f t="shared" si="20"/>
        <v>1.2053760996796233E-2</v>
      </c>
      <c r="R25" s="435">
        <f t="shared" si="2"/>
        <v>1.2053553436885316E-2</v>
      </c>
      <c r="S25" s="434">
        <f t="shared" si="21"/>
        <v>0</v>
      </c>
      <c r="T25" s="434">
        <f t="shared" si="22"/>
        <v>0</v>
      </c>
      <c r="U25" s="435">
        <f t="shared" si="23"/>
        <v>1.2053553436885316E-2</v>
      </c>
      <c r="V25" s="435">
        <f t="shared" si="3"/>
        <v>1.2053553436885312E-2</v>
      </c>
      <c r="W25" s="434">
        <f t="shared" si="24"/>
        <v>0</v>
      </c>
      <c r="X25" s="434">
        <f t="shared" si="25"/>
        <v>0</v>
      </c>
      <c r="Y25" s="435">
        <f t="shared" si="26"/>
        <v>1.2053553436885312E-2</v>
      </c>
      <c r="Z25" s="435">
        <f t="shared" si="4"/>
        <v>1.2053553436885312E-2</v>
      </c>
      <c r="AA25" s="434">
        <f t="shared" si="27"/>
        <v>0</v>
      </c>
      <c r="AB25" s="434">
        <f t="shared" si="28"/>
        <v>0</v>
      </c>
      <c r="AC25" s="435">
        <f t="shared" si="29"/>
        <v>1.2053553436885312E-2</v>
      </c>
      <c r="AD25" s="435">
        <f t="shared" si="5"/>
        <v>1.2053553436885312E-2</v>
      </c>
      <c r="AE25" s="434">
        <f t="shared" si="30"/>
        <v>0</v>
      </c>
      <c r="AF25" s="434">
        <f t="shared" si="31"/>
        <v>0</v>
      </c>
      <c r="AG25" s="435">
        <f t="shared" si="32"/>
        <v>1.2053553436885312E-2</v>
      </c>
      <c r="AH25" s="435">
        <f t="shared" si="6"/>
        <v>1.2053553436885312E-2</v>
      </c>
      <c r="AI25" s="434">
        <f t="shared" si="33"/>
        <v>0</v>
      </c>
      <c r="AJ25" s="434">
        <f t="shared" si="34"/>
        <v>0</v>
      </c>
      <c r="AK25" s="435">
        <f t="shared" si="35"/>
        <v>1.2053553436885312E-2</v>
      </c>
      <c r="AL25" s="435">
        <f t="shared" si="7"/>
        <v>1.2053553436885312E-2</v>
      </c>
      <c r="AM25" s="434">
        <f t="shared" si="36"/>
        <v>0</v>
      </c>
      <c r="AN25" s="434">
        <f t="shared" si="37"/>
        <v>0</v>
      </c>
      <c r="AO25" s="435">
        <f t="shared" si="38"/>
        <v>1.2053553436885312E-2</v>
      </c>
      <c r="AP25" s="435">
        <f t="shared" si="8"/>
        <v>1.2053553436885312E-2</v>
      </c>
      <c r="AQ25" s="434">
        <f t="shared" si="39"/>
        <v>0</v>
      </c>
      <c r="AR25" s="434">
        <f t="shared" si="40"/>
        <v>0</v>
      </c>
      <c r="AS25" s="435">
        <f t="shared" si="41"/>
        <v>1.2053553436885312E-2</v>
      </c>
      <c r="AT25" s="435">
        <f t="shared" si="9"/>
        <v>1.2053553436885311E-2</v>
      </c>
      <c r="AU25" s="436">
        <f t="shared" si="10"/>
        <v>1.2053553436885314E-2</v>
      </c>
      <c r="AV25" s="151">
        <f t="shared" si="42"/>
        <v>97426.027791732893</v>
      </c>
      <c r="BA25" s="18">
        <f t="shared" si="43"/>
        <v>0</v>
      </c>
      <c r="BB25" s="18">
        <f t="shared" si="43"/>
        <v>1</v>
      </c>
      <c r="BD25" s="630">
        <f t="shared" si="44"/>
        <v>1</v>
      </c>
    </row>
    <row r="26" spans="2:56" x14ac:dyDescent="0.25">
      <c r="B26" s="73">
        <f t="shared" si="11"/>
        <v>6</v>
      </c>
      <c r="C26" s="424" t="str">
        <f>ייצוב!C26</f>
        <v>אהרונה ישראל</v>
      </c>
      <c r="D26" s="139">
        <f>IF(ייצוב!K26="","",ייצוב!K26)</f>
        <v>6.4591285490444884E-3</v>
      </c>
      <c r="E26" s="139">
        <f>IF(ייצוב!G26="","",ייצוב!G26)</f>
        <v>8.0952960504691758E-3</v>
      </c>
      <c r="F26" s="634">
        <f>'סיכום לועדה- הזנת נתונים'!G26</f>
        <v>1</v>
      </c>
      <c r="G26" s="146">
        <f t="shared" si="12"/>
        <v>1</v>
      </c>
      <c r="H26" s="432">
        <f t="shared" si="13"/>
        <v>1</v>
      </c>
      <c r="I26" s="433">
        <f t="shared" si="14"/>
        <v>6.4762368403753412E-3</v>
      </c>
      <c r="J26" s="433">
        <f t="shared" si="0"/>
        <v>6.4762368403753412E-3</v>
      </c>
      <c r="K26" s="434">
        <f t="shared" si="15"/>
        <v>0</v>
      </c>
      <c r="L26" s="434">
        <f t="shared" si="16"/>
        <v>0</v>
      </c>
      <c r="M26" s="435">
        <f t="shared" si="17"/>
        <v>6.4762368403753412E-3</v>
      </c>
      <c r="N26" s="435">
        <f t="shared" si="1"/>
        <v>6.476126044924267E-3</v>
      </c>
      <c r="O26" s="434">
        <f t="shared" si="18"/>
        <v>1</v>
      </c>
      <c r="P26" s="434">
        <f t="shared" si="19"/>
        <v>1</v>
      </c>
      <c r="Q26" s="435">
        <f t="shared" si="20"/>
        <v>6.4762368403753412E-3</v>
      </c>
      <c r="R26" s="435">
        <f t="shared" si="2"/>
        <v>6.4762368403753412E-3</v>
      </c>
      <c r="S26" s="434">
        <f t="shared" si="21"/>
        <v>0</v>
      </c>
      <c r="T26" s="434">
        <f t="shared" si="22"/>
        <v>0</v>
      </c>
      <c r="U26" s="435">
        <f t="shared" si="23"/>
        <v>6.4762368403753412E-3</v>
      </c>
      <c r="V26" s="435">
        <f t="shared" si="3"/>
        <v>6.4762368403753394E-3</v>
      </c>
      <c r="W26" s="434">
        <f t="shared" si="24"/>
        <v>0</v>
      </c>
      <c r="X26" s="434">
        <f t="shared" si="25"/>
        <v>0</v>
      </c>
      <c r="Y26" s="435">
        <f t="shared" si="26"/>
        <v>6.4762368403753394E-3</v>
      </c>
      <c r="Z26" s="435">
        <f t="shared" si="4"/>
        <v>6.4762368403753394E-3</v>
      </c>
      <c r="AA26" s="434">
        <f t="shared" si="27"/>
        <v>0</v>
      </c>
      <c r="AB26" s="434">
        <f t="shared" si="28"/>
        <v>0</v>
      </c>
      <c r="AC26" s="435">
        <f t="shared" si="29"/>
        <v>6.4762368403753394E-3</v>
      </c>
      <c r="AD26" s="435">
        <f t="shared" si="5"/>
        <v>6.4762368403753394E-3</v>
      </c>
      <c r="AE26" s="434">
        <f t="shared" si="30"/>
        <v>0</v>
      </c>
      <c r="AF26" s="434">
        <f t="shared" si="31"/>
        <v>0</v>
      </c>
      <c r="AG26" s="435">
        <f t="shared" si="32"/>
        <v>6.4762368403753394E-3</v>
      </c>
      <c r="AH26" s="435">
        <f t="shared" si="6"/>
        <v>6.4762368403753394E-3</v>
      </c>
      <c r="AI26" s="434">
        <f t="shared" si="33"/>
        <v>0</v>
      </c>
      <c r="AJ26" s="434">
        <f t="shared" si="34"/>
        <v>0</v>
      </c>
      <c r="AK26" s="435">
        <f t="shared" si="35"/>
        <v>6.4762368403753394E-3</v>
      </c>
      <c r="AL26" s="435">
        <f t="shared" si="7"/>
        <v>6.4762368403753394E-3</v>
      </c>
      <c r="AM26" s="434">
        <f t="shared" si="36"/>
        <v>0</v>
      </c>
      <c r="AN26" s="434">
        <f t="shared" si="37"/>
        <v>0</v>
      </c>
      <c r="AO26" s="435">
        <f t="shared" si="38"/>
        <v>6.4762368403753394E-3</v>
      </c>
      <c r="AP26" s="435">
        <f t="shared" si="8"/>
        <v>6.4762368403753394E-3</v>
      </c>
      <c r="AQ26" s="434">
        <f t="shared" si="39"/>
        <v>1</v>
      </c>
      <c r="AR26" s="434">
        <f t="shared" si="40"/>
        <v>1</v>
      </c>
      <c r="AS26" s="435">
        <f t="shared" si="41"/>
        <v>6.4762368403753412E-3</v>
      </c>
      <c r="AT26" s="435">
        <f t="shared" si="9"/>
        <v>6.4762368403753412E-3</v>
      </c>
      <c r="AU26" s="436">
        <f t="shared" si="10"/>
        <v>6.4762368403753429E-3</v>
      </c>
      <c r="AV26" s="151">
        <f t="shared" si="42"/>
        <v>52345.893988859571</v>
      </c>
      <c r="BA26" s="18">
        <f t="shared" si="43"/>
        <v>0</v>
      </c>
      <c r="BB26" s="18">
        <f t="shared" si="43"/>
        <v>1</v>
      </c>
      <c r="BD26" s="630">
        <f t="shared" si="44"/>
        <v>1</v>
      </c>
    </row>
    <row r="27" spans="2:56" x14ac:dyDescent="0.25">
      <c r="B27" s="73">
        <f t="shared" si="11"/>
        <v>7</v>
      </c>
      <c r="C27" s="424" t="str">
        <f>ייצוב!C27</f>
        <v>אופיר יודילביץ</v>
      </c>
      <c r="D27" s="139">
        <f>IF(ייצוב!K27="","",ייצוב!K27)</f>
        <v>1.4211050814134717E-2</v>
      </c>
      <c r="E27" s="139">
        <f>IF(ייצוב!G27="","",ייצוב!G27)</f>
        <v>1.5404387276365252E-2</v>
      </c>
      <c r="F27" s="634">
        <f>'סיכום לועדה- הזנת נתונים'!G27</f>
        <v>1</v>
      </c>
      <c r="G27" s="146">
        <f t="shared" si="12"/>
        <v>0</v>
      </c>
      <c r="H27" s="432">
        <f t="shared" si="13"/>
        <v>0</v>
      </c>
      <c r="I27" s="433">
        <f t="shared" si="14"/>
        <v>1.4211050814134717E-2</v>
      </c>
      <c r="J27" s="433">
        <f t="shared" si="0"/>
        <v>1.4210806106740751E-2</v>
      </c>
      <c r="K27" s="434">
        <f t="shared" si="15"/>
        <v>0</v>
      </c>
      <c r="L27" s="434">
        <f t="shared" si="16"/>
        <v>0</v>
      </c>
      <c r="M27" s="435">
        <f t="shared" si="17"/>
        <v>1.4211050814134717E-2</v>
      </c>
      <c r="N27" s="435">
        <f t="shared" si="1"/>
        <v>1.421080769149668E-2</v>
      </c>
      <c r="O27" s="434">
        <f t="shared" si="18"/>
        <v>0</v>
      </c>
      <c r="P27" s="434">
        <f t="shared" si="19"/>
        <v>0</v>
      </c>
      <c r="Q27" s="435">
        <f t="shared" si="20"/>
        <v>1.4211050814134717E-2</v>
      </c>
      <c r="R27" s="435">
        <f t="shared" si="2"/>
        <v>1.4210806106740751E-2</v>
      </c>
      <c r="S27" s="434">
        <f t="shared" si="21"/>
        <v>0</v>
      </c>
      <c r="T27" s="434">
        <f t="shared" si="22"/>
        <v>0</v>
      </c>
      <c r="U27" s="435">
        <f t="shared" si="23"/>
        <v>1.4210806106740751E-2</v>
      </c>
      <c r="V27" s="435">
        <f t="shared" si="3"/>
        <v>1.4210806106740748E-2</v>
      </c>
      <c r="W27" s="434">
        <f t="shared" si="24"/>
        <v>0</v>
      </c>
      <c r="X27" s="434">
        <f t="shared" si="25"/>
        <v>0</v>
      </c>
      <c r="Y27" s="435">
        <f t="shared" si="26"/>
        <v>1.4210806106740748E-2</v>
      </c>
      <c r="Z27" s="435">
        <f t="shared" si="4"/>
        <v>1.4210806106740748E-2</v>
      </c>
      <c r="AA27" s="434">
        <f t="shared" si="27"/>
        <v>0</v>
      </c>
      <c r="AB27" s="434">
        <f t="shared" si="28"/>
        <v>0</v>
      </c>
      <c r="AC27" s="435">
        <f t="shared" si="29"/>
        <v>1.4210806106740748E-2</v>
      </c>
      <c r="AD27" s="435">
        <f t="shared" si="5"/>
        <v>1.4210806106740748E-2</v>
      </c>
      <c r="AE27" s="434">
        <f t="shared" si="30"/>
        <v>0</v>
      </c>
      <c r="AF27" s="434">
        <f t="shared" si="31"/>
        <v>0</v>
      </c>
      <c r="AG27" s="435">
        <f t="shared" si="32"/>
        <v>1.4210806106740748E-2</v>
      </c>
      <c r="AH27" s="435">
        <f t="shared" si="6"/>
        <v>1.4210806106740748E-2</v>
      </c>
      <c r="AI27" s="434">
        <f t="shared" si="33"/>
        <v>0</v>
      </c>
      <c r="AJ27" s="434">
        <f t="shared" si="34"/>
        <v>0</v>
      </c>
      <c r="AK27" s="435">
        <f t="shared" si="35"/>
        <v>1.4210806106740748E-2</v>
      </c>
      <c r="AL27" s="435">
        <f t="shared" si="7"/>
        <v>1.4210806106740748E-2</v>
      </c>
      <c r="AM27" s="434">
        <f t="shared" si="36"/>
        <v>0</v>
      </c>
      <c r="AN27" s="434">
        <f t="shared" si="37"/>
        <v>0</v>
      </c>
      <c r="AO27" s="435">
        <f t="shared" si="38"/>
        <v>1.4210806106740748E-2</v>
      </c>
      <c r="AP27" s="435">
        <f t="shared" si="8"/>
        <v>1.4210806106740748E-2</v>
      </c>
      <c r="AQ27" s="434">
        <f t="shared" si="39"/>
        <v>0</v>
      </c>
      <c r="AR27" s="434">
        <f t="shared" si="40"/>
        <v>0</v>
      </c>
      <c r="AS27" s="435">
        <f t="shared" si="41"/>
        <v>1.4210806106740748E-2</v>
      </c>
      <c r="AT27" s="435">
        <f t="shared" si="9"/>
        <v>1.4210806106740746E-2</v>
      </c>
      <c r="AU27" s="436">
        <f t="shared" si="10"/>
        <v>1.4210806106740749E-2</v>
      </c>
      <c r="AV27" s="151">
        <f t="shared" si="42"/>
        <v>114862.59201054429</v>
      </c>
      <c r="BA27" s="18">
        <f t="shared" si="43"/>
        <v>0</v>
      </c>
      <c r="BB27" s="18">
        <f t="shared" si="43"/>
        <v>1</v>
      </c>
      <c r="BD27" s="630">
        <f t="shared" si="44"/>
        <v>1</v>
      </c>
    </row>
    <row r="28" spans="2:56" x14ac:dyDescent="0.25">
      <c r="B28" s="73">
        <f t="shared" si="11"/>
        <v>8</v>
      </c>
      <c r="C28" s="424" t="str">
        <f>ייצוב!C28</f>
        <v>אור מרין ואורן נחום</v>
      </c>
      <c r="D28" s="139">
        <f>IF(ייצוב!K28="","",ייצוב!K28)</f>
        <v>1.1609027823043579E-2</v>
      </c>
      <c r="E28" s="139">
        <f>IF(ייצוב!G28="","",ייצוב!G28)</f>
        <v>1.316563075776892E-2</v>
      </c>
      <c r="F28" s="634">
        <f>'סיכום לועדה- הזנת נתונים'!G28</f>
        <v>1</v>
      </c>
      <c r="G28" s="146">
        <f t="shared" si="12"/>
        <v>0</v>
      </c>
      <c r="H28" s="432">
        <f t="shared" si="13"/>
        <v>0</v>
      </c>
      <c r="I28" s="433">
        <f t="shared" si="14"/>
        <v>1.1609027823043579E-2</v>
      </c>
      <c r="J28" s="433">
        <f t="shared" si="0"/>
        <v>1.1608827921221946E-2</v>
      </c>
      <c r="K28" s="434">
        <f t="shared" si="15"/>
        <v>0</v>
      </c>
      <c r="L28" s="434">
        <f t="shared" si="16"/>
        <v>0</v>
      </c>
      <c r="M28" s="435">
        <f t="shared" si="17"/>
        <v>1.1609027823043579E-2</v>
      </c>
      <c r="N28" s="435">
        <f t="shared" si="1"/>
        <v>1.160882921581134E-2</v>
      </c>
      <c r="O28" s="434">
        <f t="shared" si="18"/>
        <v>0</v>
      </c>
      <c r="P28" s="434">
        <f t="shared" si="19"/>
        <v>0</v>
      </c>
      <c r="Q28" s="435">
        <f t="shared" si="20"/>
        <v>1.1609027823043579E-2</v>
      </c>
      <c r="R28" s="435">
        <f t="shared" si="2"/>
        <v>1.1608827921221946E-2</v>
      </c>
      <c r="S28" s="434">
        <f t="shared" si="21"/>
        <v>0</v>
      </c>
      <c r="T28" s="434">
        <f t="shared" si="22"/>
        <v>0</v>
      </c>
      <c r="U28" s="435">
        <f t="shared" si="23"/>
        <v>1.1608827921221946E-2</v>
      </c>
      <c r="V28" s="435">
        <f t="shared" si="3"/>
        <v>1.1608827921221945E-2</v>
      </c>
      <c r="W28" s="434">
        <f t="shared" si="24"/>
        <v>0</v>
      </c>
      <c r="X28" s="434">
        <f t="shared" si="25"/>
        <v>0</v>
      </c>
      <c r="Y28" s="435">
        <f t="shared" si="26"/>
        <v>1.1608827921221945E-2</v>
      </c>
      <c r="Z28" s="435">
        <f t="shared" si="4"/>
        <v>1.1608827921221945E-2</v>
      </c>
      <c r="AA28" s="434">
        <f t="shared" si="27"/>
        <v>0</v>
      </c>
      <c r="AB28" s="434">
        <f t="shared" si="28"/>
        <v>0</v>
      </c>
      <c r="AC28" s="435">
        <f t="shared" si="29"/>
        <v>1.1608827921221945E-2</v>
      </c>
      <c r="AD28" s="435">
        <f t="shared" si="5"/>
        <v>1.1608827921221945E-2</v>
      </c>
      <c r="AE28" s="434">
        <f t="shared" si="30"/>
        <v>0</v>
      </c>
      <c r="AF28" s="434">
        <f t="shared" si="31"/>
        <v>0</v>
      </c>
      <c r="AG28" s="435">
        <f t="shared" si="32"/>
        <v>1.1608827921221945E-2</v>
      </c>
      <c r="AH28" s="435">
        <f t="shared" si="6"/>
        <v>1.1608827921221945E-2</v>
      </c>
      <c r="AI28" s="434">
        <f t="shared" si="33"/>
        <v>0</v>
      </c>
      <c r="AJ28" s="434">
        <f t="shared" si="34"/>
        <v>0</v>
      </c>
      <c r="AK28" s="435">
        <f t="shared" si="35"/>
        <v>1.1608827921221945E-2</v>
      </c>
      <c r="AL28" s="435">
        <f t="shared" si="7"/>
        <v>1.1608827921221945E-2</v>
      </c>
      <c r="AM28" s="434">
        <f t="shared" si="36"/>
        <v>0</v>
      </c>
      <c r="AN28" s="434">
        <f t="shared" si="37"/>
        <v>0</v>
      </c>
      <c r="AO28" s="435">
        <f t="shared" si="38"/>
        <v>1.1608827921221945E-2</v>
      </c>
      <c r="AP28" s="435">
        <f t="shared" si="8"/>
        <v>1.1608827921221945E-2</v>
      </c>
      <c r="AQ28" s="434">
        <f t="shared" si="39"/>
        <v>0</v>
      </c>
      <c r="AR28" s="434">
        <f t="shared" si="40"/>
        <v>0</v>
      </c>
      <c r="AS28" s="435">
        <f t="shared" si="41"/>
        <v>1.1608827921221945E-2</v>
      </c>
      <c r="AT28" s="435">
        <f t="shared" si="9"/>
        <v>1.1608827921221943E-2</v>
      </c>
      <c r="AU28" s="436">
        <f t="shared" si="10"/>
        <v>1.1608827921221945E-2</v>
      </c>
      <c r="AV28" s="151">
        <f t="shared" si="42"/>
        <v>93831.416403847572</v>
      </c>
      <c r="BA28" s="18">
        <f t="shared" si="43"/>
        <v>0</v>
      </c>
      <c r="BB28" s="18">
        <f t="shared" si="43"/>
        <v>1</v>
      </c>
      <c r="BD28" s="630">
        <f t="shared" si="44"/>
        <v>1</v>
      </c>
    </row>
    <row r="29" spans="2:56" x14ac:dyDescent="0.25">
      <c r="B29" s="73">
        <f t="shared" si="11"/>
        <v>9</v>
      </c>
      <c r="C29" s="424" t="str">
        <f>ייצוב!C29</f>
        <v>אורי שפיר</v>
      </c>
      <c r="D29" s="139">
        <f>IF(ייצוב!K29="","",ייצוב!K29)</f>
        <v>1.205599977808699E-2</v>
      </c>
      <c r="E29" s="139">
        <f>IF(ייצוב!G29="","",ייצוב!G29)</f>
        <v>1.0515819534048239E-2</v>
      </c>
      <c r="F29" s="634">
        <f>'סיכום לועדה- הזנת נתונים'!G29</f>
        <v>1</v>
      </c>
      <c r="G29" s="146">
        <f t="shared" si="12"/>
        <v>0</v>
      </c>
      <c r="H29" s="432">
        <f t="shared" si="13"/>
        <v>0</v>
      </c>
      <c r="I29" s="433">
        <f t="shared" si="14"/>
        <v>1.205599977808699E-2</v>
      </c>
      <c r="J29" s="433">
        <f t="shared" si="0"/>
        <v>1.2055792179625347E-2</v>
      </c>
      <c r="K29" s="434">
        <f t="shared" si="15"/>
        <v>0</v>
      </c>
      <c r="L29" s="434">
        <f t="shared" si="16"/>
        <v>0</v>
      </c>
      <c r="M29" s="435">
        <f t="shared" si="17"/>
        <v>1.205599977808699E-2</v>
      </c>
      <c r="N29" s="435">
        <f t="shared" si="1"/>
        <v>1.2055793524059152E-2</v>
      </c>
      <c r="O29" s="434">
        <f t="shared" si="18"/>
        <v>0</v>
      </c>
      <c r="P29" s="434">
        <f t="shared" si="19"/>
        <v>0</v>
      </c>
      <c r="Q29" s="435">
        <f t="shared" si="20"/>
        <v>1.205599977808699E-2</v>
      </c>
      <c r="R29" s="435">
        <f t="shared" si="2"/>
        <v>1.2055792179625347E-2</v>
      </c>
      <c r="S29" s="434">
        <f t="shared" si="21"/>
        <v>0</v>
      </c>
      <c r="T29" s="434">
        <f t="shared" si="22"/>
        <v>0</v>
      </c>
      <c r="U29" s="435">
        <f t="shared" si="23"/>
        <v>1.2055792179625347E-2</v>
      </c>
      <c r="V29" s="435">
        <f t="shared" si="3"/>
        <v>1.2055792179625343E-2</v>
      </c>
      <c r="W29" s="434">
        <f t="shared" si="24"/>
        <v>0</v>
      </c>
      <c r="X29" s="434">
        <f t="shared" si="25"/>
        <v>0</v>
      </c>
      <c r="Y29" s="435">
        <f t="shared" si="26"/>
        <v>1.2055792179625343E-2</v>
      </c>
      <c r="Z29" s="435">
        <f t="shared" si="4"/>
        <v>1.2055792179625343E-2</v>
      </c>
      <c r="AA29" s="434">
        <f t="shared" si="27"/>
        <v>0</v>
      </c>
      <c r="AB29" s="434">
        <f t="shared" si="28"/>
        <v>0</v>
      </c>
      <c r="AC29" s="435">
        <f t="shared" si="29"/>
        <v>1.2055792179625343E-2</v>
      </c>
      <c r="AD29" s="435">
        <f t="shared" si="5"/>
        <v>1.2055792179625343E-2</v>
      </c>
      <c r="AE29" s="434">
        <f t="shared" si="30"/>
        <v>0</v>
      </c>
      <c r="AF29" s="434">
        <f t="shared" si="31"/>
        <v>0</v>
      </c>
      <c r="AG29" s="435">
        <f t="shared" si="32"/>
        <v>1.2055792179625343E-2</v>
      </c>
      <c r="AH29" s="435">
        <f t="shared" si="6"/>
        <v>1.2055792179625343E-2</v>
      </c>
      <c r="AI29" s="434">
        <f t="shared" si="33"/>
        <v>0</v>
      </c>
      <c r="AJ29" s="434">
        <f t="shared" si="34"/>
        <v>0</v>
      </c>
      <c r="AK29" s="435">
        <f t="shared" si="35"/>
        <v>1.2055792179625343E-2</v>
      </c>
      <c r="AL29" s="435">
        <f t="shared" si="7"/>
        <v>1.2055792179625343E-2</v>
      </c>
      <c r="AM29" s="434">
        <f t="shared" si="36"/>
        <v>0</v>
      </c>
      <c r="AN29" s="434">
        <f t="shared" si="37"/>
        <v>0</v>
      </c>
      <c r="AO29" s="435">
        <f t="shared" si="38"/>
        <v>1.2055792179625343E-2</v>
      </c>
      <c r="AP29" s="435">
        <f t="shared" si="8"/>
        <v>1.2055792179625343E-2</v>
      </c>
      <c r="AQ29" s="434">
        <f t="shared" si="39"/>
        <v>0</v>
      </c>
      <c r="AR29" s="434">
        <f t="shared" si="40"/>
        <v>0</v>
      </c>
      <c r="AS29" s="435">
        <f t="shared" si="41"/>
        <v>1.2055792179625343E-2</v>
      </c>
      <c r="AT29" s="435">
        <f t="shared" si="9"/>
        <v>1.2055792179625343E-2</v>
      </c>
      <c r="AU29" s="436">
        <f t="shared" si="10"/>
        <v>1.2055792179625347E-2</v>
      </c>
      <c r="AV29" s="151">
        <f t="shared" si="42"/>
        <v>97444.123020957282</v>
      </c>
      <c r="BA29" s="18">
        <f t="shared" si="43"/>
        <v>0</v>
      </c>
      <c r="BB29" s="18">
        <f t="shared" si="43"/>
        <v>1</v>
      </c>
      <c r="BD29" s="630">
        <f t="shared" si="44"/>
        <v>1</v>
      </c>
    </row>
    <row r="30" spans="2:56" x14ac:dyDescent="0.25">
      <c r="B30" s="73">
        <f t="shared" si="11"/>
        <v>10</v>
      </c>
      <c r="C30" s="424" t="str">
        <f>ייצוב!C30</f>
        <v>אורלי פורטל</v>
      </c>
      <c r="D30" s="139">
        <f>IF(ייצוב!K30="","",ייצוב!K30)</f>
        <v>1.9968721706534614E-2</v>
      </c>
      <c r="E30" s="139">
        <f>IF(ייצוב!G30="","",ייצוב!G30)</f>
        <v>2.1973474431314925E-2</v>
      </c>
      <c r="F30" s="634">
        <f>'סיכום לועדה- הזנת נתונים'!G30</f>
        <v>1</v>
      </c>
      <c r="G30" s="146">
        <f t="shared" si="12"/>
        <v>0</v>
      </c>
      <c r="H30" s="432">
        <f t="shared" si="13"/>
        <v>0</v>
      </c>
      <c r="I30" s="433">
        <f t="shared" si="14"/>
        <v>1.9968721706534614E-2</v>
      </c>
      <c r="J30" s="433">
        <f t="shared" si="0"/>
        <v>1.9968377854843875E-2</v>
      </c>
      <c r="K30" s="434">
        <f t="shared" si="15"/>
        <v>0</v>
      </c>
      <c r="L30" s="434">
        <f t="shared" si="16"/>
        <v>0</v>
      </c>
      <c r="M30" s="435">
        <f t="shared" si="17"/>
        <v>1.9968721706534614E-2</v>
      </c>
      <c r="N30" s="435">
        <f t="shared" si="1"/>
        <v>1.9968380081670765E-2</v>
      </c>
      <c r="O30" s="434">
        <f t="shared" si="18"/>
        <v>0</v>
      </c>
      <c r="P30" s="434">
        <f t="shared" si="19"/>
        <v>0</v>
      </c>
      <c r="Q30" s="435">
        <f t="shared" si="20"/>
        <v>1.9968721706534614E-2</v>
      </c>
      <c r="R30" s="435">
        <f t="shared" si="2"/>
        <v>1.9968377854843875E-2</v>
      </c>
      <c r="S30" s="434">
        <f t="shared" si="21"/>
        <v>0</v>
      </c>
      <c r="T30" s="434">
        <f t="shared" si="22"/>
        <v>0</v>
      </c>
      <c r="U30" s="435">
        <f t="shared" si="23"/>
        <v>1.9968377854843875E-2</v>
      </c>
      <c r="V30" s="435">
        <f t="shared" si="3"/>
        <v>1.9968377854843872E-2</v>
      </c>
      <c r="W30" s="434">
        <f t="shared" si="24"/>
        <v>0</v>
      </c>
      <c r="X30" s="434">
        <f t="shared" si="25"/>
        <v>0</v>
      </c>
      <c r="Y30" s="435">
        <f t="shared" si="26"/>
        <v>1.9968377854843872E-2</v>
      </c>
      <c r="Z30" s="435">
        <f t="shared" si="4"/>
        <v>1.9968377854843872E-2</v>
      </c>
      <c r="AA30" s="434">
        <f t="shared" si="27"/>
        <v>0</v>
      </c>
      <c r="AB30" s="434">
        <f t="shared" si="28"/>
        <v>0</v>
      </c>
      <c r="AC30" s="435">
        <f t="shared" si="29"/>
        <v>1.9968377854843872E-2</v>
      </c>
      <c r="AD30" s="435">
        <f t="shared" si="5"/>
        <v>1.9968377854843872E-2</v>
      </c>
      <c r="AE30" s="434">
        <f t="shared" si="30"/>
        <v>0</v>
      </c>
      <c r="AF30" s="434">
        <f t="shared" si="31"/>
        <v>0</v>
      </c>
      <c r="AG30" s="435">
        <f t="shared" si="32"/>
        <v>1.9968377854843872E-2</v>
      </c>
      <c r="AH30" s="435">
        <f t="shared" si="6"/>
        <v>1.9968377854843872E-2</v>
      </c>
      <c r="AI30" s="434">
        <f t="shared" si="33"/>
        <v>0</v>
      </c>
      <c r="AJ30" s="434">
        <f t="shared" si="34"/>
        <v>0</v>
      </c>
      <c r="AK30" s="435">
        <f t="shared" si="35"/>
        <v>1.9968377854843872E-2</v>
      </c>
      <c r="AL30" s="435">
        <f t="shared" si="7"/>
        <v>1.9968377854843872E-2</v>
      </c>
      <c r="AM30" s="434">
        <f t="shared" si="36"/>
        <v>0</v>
      </c>
      <c r="AN30" s="434">
        <f t="shared" si="37"/>
        <v>0</v>
      </c>
      <c r="AO30" s="435">
        <f t="shared" si="38"/>
        <v>1.9968377854843872E-2</v>
      </c>
      <c r="AP30" s="435">
        <f t="shared" si="8"/>
        <v>1.9968377854843872E-2</v>
      </c>
      <c r="AQ30" s="434">
        <f t="shared" si="39"/>
        <v>0</v>
      </c>
      <c r="AR30" s="434">
        <f t="shared" si="40"/>
        <v>0</v>
      </c>
      <c r="AS30" s="435">
        <f t="shared" si="41"/>
        <v>1.9968377854843872E-2</v>
      </c>
      <c r="AT30" s="435">
        <f t="shared" si="9"/>
        <v>1.9968377854843872E-2</v>
      </c>
      <c r="AU30" s="436">
        <f t="shared" si="10"/>
        <v>1.9968377854843875E-2</v>
      </c>
      <c r="AV30" s="151">
        <f t="shared" si="42"/>
        <v>161399.68566352929</v>
      </c>
      <c r="BA30" s="18">
        <f t="shared" si="43"/>
        <v>0</v>
      </c>
      <c r="BB30" s="18">
        <f t="shared" si="43"/>
        <v>1</v>
      </c>
      <c r="BD30" s="630">
        <f t="shared" si="44"/>
        <v>1</v>
      </c>
    </row>
    <row r="31" spans="2:56" x14ac:dyDescent="0.25">
      <c r="B31" s="73" t="str">
        <f t="shared" si="11"/>
        <v/>
      </c>
      <c r="C31" s="424" t="str">
        <f>ייצוב!C31</f>
        <v/>
      </c>
      <c r="D31" s="139" t="str">
        <f>IF(ייצוב!K31="","",ייצוב!K31)</f>
        <v/>
      </c>
      <c r="E31" s="139" t="str">
        <f>IF(ייצוב!G31="","",ייצוב!G31)</f>
        <v/>
      </c>
      <c r="F31" s="634" t="str">
        <f>'סיכום לועדה- הזנת נתונים'!G31</f>
        <v/>
      </c>
      <c r="G31" s="146" t="str">
        <f t="shared" si="12"/>
        <v/>
      </c>
      <c r="H31" s="432" t="str">
        <f t="shared" si="13"/>
        <v/>
      </c>
      <c r="I31" s="433" t="str">
        <f t="shared" si="14"/>
        <v/>
      </c>
      <c r="J31" s="433" t="str">
        <f t="shared" si="0"/>
        <v/>
      </c>
      <c r="K31" s="434" t="str">
        <f t="shared" si="15"/>
        <v/>
      </c>
      <c r="L31" s="434" t="str">
        <f t="shared" si="16"/>
        <v/>
      </c>
      <c r="M31" s="435" t="str">
        <f t="shared" si="17"/>
        <v/>
      </c>
      <c r="N31" s="435" t="str">
        <f t="shared" si="1"/>
        <v/>
      </c>
      <c r="O31" s="434" t="str">
        <f t="shared" si="18"/>
        <v/>
      </c>
      <c r="P31" s="434" t="str">
        <f t="shared" si="19"/>
        <v/>
      </c>
      <c r="Q31" s="435" t="str">
        <f t="shared" si="20"/>
        <v/>
      </c>
      <c r="R31" s="435" t="str">
        <f t="shared" si="2"/>
        <v/>
      </c>
      <c r="S31" s="434" t="str">
        <f t="shared" si="21"/>
        <v/>
      </c>
      <c r="T31" s="434" t="str">
        <f t="shared" si="22"/>
        <v/>
      </c>
      <c r="U31" s="435" t="str">
        <f t="shared" si="23"/>
        <v/>
      </c>
      <c r="V31" s="435" t="str">
        <f t="shared" si="3"/>
        <v/>
      </c>
      <c r="W31" s="434" t="str">
        <f t="shared" si="24"/>
        <v/>
      </c>
      <c r="X31" s="434" t="str">
        <f t="shared" si="25"/>
        <v/>
      </c>
      <c r="Y31" s="435" t="str">
        <f t="shared" si="26"/>
        <v/>
      </c>
      <c r="Z31" s="435" t="str">
        <f t="shared" si="4"/>
        <v/>
      </c>
      <c r="AA31" s="434" t="str">
        <f t="shared" si="27"/>
        <v/>
      </c>
      <c r="AB31" s="434" t="str">
        <f t="shared" si="28"/>
        <v/>
      </c>
      <c r="AC31" s="435" t="str">
        <f t="shared" si="29"/>
        <v/>
      </c>
      <c r="AD31" s="435" t="str">
        <f t="shared" si="5"/>
        <v/>
      </c>
      <c r="AE31" s="434" t="str">
        <f t="shared" si="30"/>
        <v/>
      </c>
      <c r="AF31" s="434" t="str">
        <f t="shared" si="31"/>
        <v/>
      </c>
      <c r="AG31" s="435" t="str">
        <f t="shared" si="32"/>
        <v/>
      </c>
      <c r="AH31" s="435" t="str">
        <f t="shared" si="6"/>
        <v/>
      </c>
      <c r="AI31" s="434" t="str">
        <f t="shared" si="33"/>
        <v/>
      </c>
      <c r="AJ31" s="434" t="str">
        <f t="shared" si="34"/>
        <v/>
      </c>
      <c r="AK31" s="435" t="str">
        <f t="shared" si="35"/>
        <v/>
      </c>
      <c r="AL31" s="435" t="str">
        <f t="shared" si="7"/>
        <v/>
      </c>
      <c r="AM31" s="434" t="str">
        <f t="shared" si="36"/>
        <v/>
      </c>
      <c r="AN31" s="434" t="str">
        <f t="shared" si="37"/>
        <v/>
      </c>
      <c r="AO31" s="435" t="str">
        <f t="shared" si="38"/>
        <v/>
      </c>
      <c r="AP31" s="435" t="str">
        <f t="shared" si="8"/>
        <v/>
      </c>
      <c r="AQ31" s="434" t="str">
        <f t="shared" si="39"/>
        <v/>
      </c>
      <c r="AR31" s="434" t="str">
        <f t="shared" si="40"/>
        <v/>
      </c>
      <c r="AS31" s="435" t="str">
        <f t="shared" si="41"/>
        <v/>
      </c>
      <c r="AT31" s="435" t="str">
        <f t="shared" si="9"/>
        <v/>
      </c>
      <c r="AU31" s="436" t="str">
        <f t="shared" si="10"/>
        <v/>
      </c>
      <c r="AV31" s="151" t="str">
        <f t="shared" si="42"/>
        <v/>
      </c>
      <c r="BA31" s="18" t="str">
        <f t="shared" si="43"/>
        <v/>
      </c>
      <c r="BB31" s="18" t="str">
        <f t="shared" si="43"/>
        <v/>
      </c>
      <c r="BD31" s="630">
        <f t="shared" si="44"/>
        <v>0</v>
      </c>
    </row>
    <row r="32" spans="2:56" x14ac:dyDescent="0.25">
      <c r="B32" s="73">
        <f t="shared" si="11"/>
        <v>12</v>
      </c>
      <c r="C32" s="424" t="str">
        <f>ייצוב!C32</f>
        <v>אורין יוחנן</v>
      </c>
      <c r="D32" s="139">
        <f>IF(ייצוב!K32="","",ייצוב!K32)</f>
        <v>7.4614157827665121E-3</v>
      </c>
      <c r="E32" s="139">
        <f>IF(ייצוב!G32="","",ייצוב!G32)</f>
        <v>7.7427182992208972E-3</v>
      </c>
      <c r="F32" s="634">
        <f>'סיכום לועדה- הזנת נתונים'!G32</f>
        <v>1</v>
      </c>
      <c r="G32" s="146">
        <f t="shared" si="12"/>
        <v>0</v>
      </c>
      <c r="H32" s="432">
        <f t="shared" si="13"/>
        <v>0</v>
      </c>
      <c r="I32" s="433">
        <f t="shared" si="14"/>
        <v>7.4614157827665121E-3</v>
      </c>
      <c r="J32" s="433">
        <f t="shared" si="0"/>
        <v>7.4612873008100839E-3</v>
      </c>
      <c r="K32" s="434">
        <f t="shared" si="15"/>
        <v>0</v>
      </c>
      <c r="L32" s="434">
        <f t="shared" si="16"/>
        <v>0</v>
      </c>
      <c r="M32" s="435">
        <f t="shared" si="17"/>
        <v>7.4614157827665121E-3</v>
      </c>
      <c r="N32" s="435">
        <f t="shared" si="1"/>
        <v>7.4612881328754294E-3</v>
      </c>
      <c r="O32" s="434">
        <f t="shared" si="18"/>
        <v>0</v>
      </c>
      <c r="P32" s="434">
        <f t="shared" si="19"/>
        <v>0</v>
      </c>
      <c r="Q32" s="435">
        <f t="shared" si="20"/>
        <v>7.4614157827665121E-3</v>
      </c>
      <c r="R32" s="435">
        <f t="shared" si="2"/>
        <v>7.4612873008100839E-3</v>
      </c>
      <c r="S32" s="434">
        <f t="shared" si="21"/>
        <v>0</v>
      </c>
      <c r="T32" s="434">
        <f t="shared" si="22"/>
        <v>0</v>
      </c>
      <c r="U32" s="435">
        <f t="shared" si="23"/>
        <v>7.4612873008100839E-3</v>
      </c>
      <c r="V32" s="435">
        <f t="shared" si="3"/>
        <v>7.4612873008100822E-3</v>
      </c>
      <c r="W32" s="434">
        <f t="shared" si="24"/>
        <v>0</v>
      </c>
      <c r="X32" s="434">
        <f t="shared" si="25"/>
        <v>0</v>
      </c>
      <c r="Y32" s="435">
        <f t="shared" si="26"/>
        <v>7.4612873008100822E-3</v>
      </c>
      <c r="Z32" s="435">
        <f t="shared" si="4"/>
        <v>7.4612873008100822E-3</v>
      </c>
      <c r="AA32" s="434">
        <f t="shared" si="27"/>
        <v>0</v>
      </c>
      <c r="AB32" s="434">
        <f t="shared" si="28"/>
        <v>0</v>
      </c>
      <c r="AC32" s="435">
        <f t="shared" si="29"/>
        <v>7.4612873008100822E-3</v>
      </c>
      <c r="AD32" s="435">
        <f t="shared" si="5"/>
        <v>7.4612873008100822E-3</v>
      </c>
      <c r="AE32" s="434">
        <f t="shared" si="30"/>
        <v>0</v>
      </c>
      <c r="AF32" s="434">
        <f t="shared" si="31"/>
        <v>0</v>
      </c>
      <c r="AG32" s="435">
        <f t="shared" si="32"/>
        <v>7.4612873008100822E-3</v>
      </c>
      <c r="AH32" s="435">
        <f t="shared" si="6"/>
        <v>7.4612873008100822E-3</v>
      </c>
      <c r="AI32" s="434">
        <f t="shared" si="33"/>
        <v>0</v>
      </c>
      <c r="AJ32" s="434">
        <f t="shared" si="34"/>
        <v>0</v>
      </c>
      <c r="AK32" s="435">
        <f t="shared" si="35"/>
        <v>7.4612873008100822E-3</v>
      </c>
      <c r="AL32" s="435">
        <f t="shared" si="7"/>
        <v>7.4612873008100822E-3</v>
      </c>
      <c r="AM32" s="434">
        <f t="shared" si="36"/>
        <v>0</v>
      </c>
      <c r="AN32" s="434">
        <f t="shared" si="37"/>
        <v>0</v>
      </c>
      <c r="AO32" s="435">
        <f t="shared" si="38"/>
        <v>7.4612873008100822E-3</v>
      </c>
      <c r="AP32" s="435">
        <f t="shared" si="8"/>
        <v>7.4612873008100822E-3</v>
      </c>
      <c r="AQ32" s="434">
        <f t="shared" si="39"/>
        <v>0</v>
      </c>
      <c r="AR32" s="434">
        <f t="shared" si="40"/>
        <v>0</v>
      </c>
      <c r="AS32" s="435">
        <f t="shared" si="41"/>
        <v>7.4612873008100822E-3</v>
      </c>
      <c r="AT32" s="435">
        <f t="shared" si="9"/>
        <v>7.4612873008100813E-3</v>
      </c>
      <c r="AU32" s="436">
        <f t="shared" si="10"/>
        <v>7.461287300810083E-3</v>
      </c>
      <c r="AV32" s="151">
        <f t="shared" si="42"/>
        <v>60307.824388644913</v>
      </c>
      <c r="BA32" s="18">
        <f t="shared" si="43"/>
        <v>0</v>
      </c>
      <c r="BB32" s="18">
        <f t="shared" si="43"/>
        <v>1</v>
      </c>
      <c r="BD32" s="630">
        <f t="shared" si="44"/>
        <v>1</v>
      </c>
    </row>
    <row r="33" spans="2:56" x14ac:dyDescent="0.25">
      <c r="B33" s="73">
        <f t="shared" si="11"/>
        <v>13</v>
      </c>
      <c r="C33" s="424" t="str">
        <f>ייצוב!C33</f>
        <v>איריס ארז</v>
      </c>
      <c r="D33" s="139">
        <f>IF(ייצוב!K33="","",ייצוב!K33)</f>
        <v>2.2098798147881689E-2</v>
      </c>
      <c r="E33" s="139">
        <f>IF(ייצוב!G33="","",ייצוב!G33)</f>
        <v>1.8617055681412274E-2</v>
      </c>
      <c r="F33" s="634">
        <f>'סיכום לועדה- הזנת נתונים'!G33</f>
        <v>1</v>
      </c>
      <c r="G33" s="146">
        <f t="shared" si="12"/>
        <v>0</v>
      </c>
      <c r="H33" s="432">
        <f t="shared" si="13"/>
        <v>0</v>
      </c>
      <c r="I33" s="433">
        <f t="shared" si="14"/>
        <v>2.2098798147881689E-2</v>
      </c>
      <c r="J33" s="433">
        <f t="shared" si="0"/>
        <v>2.2098417617309019E-2</v>
      </c>
      <c r="K33" s="434">
        <f t="shared" si="15"/>
        <v>0</v>
      </c>
      <c r="L33" s="434">
        <f t="shared" si="16"/>
        <v>0</v>
      </c>
      <c r="M33" s="435">
        <f t="shared" si="17"/>
        <v>2.2098798147881689E-2</v>
      </c>
      <c r="N33" s="435">
        <f t="shared" si="1"/>
        <v>2.2098420081672975E-2</v>
      </c>
      <c r="O33" s="434">
        <f t="shared" si="18"/>
        <v>0</v>
      </c>
      <c r="P33" s="434">
        <f t="shared" si="19"/>
        <v>0</v>
      </c>
      <c r="Q33" s="435">
        <f t="shared" si="20"/>
        <v>2.2098798147881689E-2</v>
      </c>
      <c r="R33" s="435">
        <f t="shared" si="2"/>
        <v>2.2098417617309019E-2</v>
      </c>
      <c r="S33" s="434">
        <f t="shared" si="21"/>
        <v>0</v>
      </c>
      <c r="T33" s="434">
        <f t="shared" si="22"/>
        <v>0</v>
      </c>
      <c r="U33" s="435">
        <f t="shared" si="23"/>
        <v>2.2098417617309019E-2</v>
      </c>
      <c r="V33" s="435">
        <f t="shared" si="3"/>
        <v>2.2098417617309015E-2</v>
      </c>
      <c r="W33" s="434">
        <f t="shared" si="24"/>
        <v>0</v>
      </c>
      <c r="X33" s="434">
        <f t="shared" si="25"/>
        <v>0</v>
      </c>
      <c r="Y33" s="435">
        <f t="shared" si="26"/>
        <v>2.2098417617309015E-2</v>
      </c>
      <c r="Z33" s="435">
        <f t="shared" si="4"/>
        <v>2.2098417617309015E-2</v>
      </c>
      <c r="AA33" s="434">
        <f t="shared" si="27"/>
        <v>0</v>
      </c>
      <c r="AB33" s="434">
        <f t="shared" si="28"/>
        <v>0</v>
      </c>
      <c r="AC33" s="435">
        <f t="shared" si="29"/>
        <v>2.2098417617309015E-2</v>
      </c>
      <c r="AD33" s="435">
        <f t="shared" si="5"/>
        <v>2.2098417617309015E-2</v>
      </c>
      <c r="AE33" s="434">
        <f t="shared" si="30"/>
        <v>0</v>
      </c>
      <c r="AF33" s="434">
        <f t="shared" si="31"/>
        <v>0</v>
      </c>
      <c r="AG33" s="435">
        <f t="shared" si="32"/>
        <v>2.2098417617309015E-2</v>
      </c>
      <c r="AH33" s="435">
        <f t="shared" si="6"/>
        <v>2.2098417617309015E-2</v>
      </c>
      <c r="AI33" s="434">
        <f t="shared" si="33"/>
        <v>0</v>
      </c>
      <c r="AJ33" s="434">
        <f t="shared" si="34"/>
        <v>0</v>
      </c>
      <c r="AK33" s="435">
        <f t="shared" si="35"/>
        <v>2.2098417617309015E-2</v>
      </c>
      <c r="AL33" s="435">
        <f t="shared" si="7"/>
        <v>2.2098417617309015E-2</v>
      </c>
      <c r="AM33" s="434">
        <f t="shared" si="36"/>
        <v>0</v>
      </c>
      <c r="AN33" s="434">
        <f t="shared" si="37"/>
        <v>0</v>
      </c>
      <c r="AO33" s="435">
        <f t="shared" si="38"/>
        <v>2.2098417617309015E-2</v>
      </c>
      <c r="AP33" s="435">
        <f t="shared" si="8"/>
        <v>2.2098417617309015E-2</v>
      </c>
      <c r="AQ33" s="434">
        <f t="shared" si="39"/>
        <v>0</v>
      </c>
      <c r="AR33" s="434">
        <f t="shared" si="40"/>
        <v>0</v>
      </c>
      <c r="AS33" s="435">
        <f t="shared" si="41"/>
        <v>2.2098417617309015E-2</v>
      </c>
      <c r="AT33" s="435">
        <f t="shared" si="9"/>
        <v>2.2098417617309012E-2</v>
      </c>
      <c r="AU33" s="436">
        <f t="shared" si="10"/>
        <v>2.2098417617309015E-2</v>
      </c>
      <c r="AV33" s="151">
        <f t="shared" si="42"/>
        <v>178616.2943741511</v>
      </c>
      <c r="BA33" s="18">
        <f t="shared" si="43"/>
        <v>0</v>
      </c>
      <c r="BB33" s="18">
        <f t="shared" si="43"/>
        <v>1</v>
      </c>
      <c r="BD33" s="630">
        <f t="shared" si="44"/>
        <v>1</v>
      </c>
    </row>
    <row r="34" spans="2:56" x14ac:dyDescent="0.25">
      <c r="B34" s="73" t="str">
        <f t="shared" si="11"/>
        <v/>
      </c>
      <c r="C34" s="424" t="str">
        <f>ייצוב!C34</f>
        <v/>
      </c>
      <c r="D34" s="139" t="str">
        <f>IF(ייצוב!K34="","",ייצוב!K34)</f>
        <v/>
      </c>
      <c r="E34" s="139" t="str">
        <f>IF(ייצוב!G34="","",ייצוב!G34)</f>
        <v/>
      </c>
      <c r="F34" s="634" t="str">
        <f>'סיכום לועדה- הזנת נתונים'!G34</f>
        <v/>
      </c>
      <c r="G34" s="146" t="str">
        <f t="shared" si="12"/>
        <v/>
      </c>
      <c r="H34" s="432" t="str">
        <f t="shared" si="13"/>
        <v/>
      </c>
      <c r="I34" s="433" t="str">
        <f t="shared" si="14"/>
        <v/>
      </c>
      <c r="J34" s="433" t="str">
        <f t="shared" si="0"/>
        <v/>
      </c>
      <c r="K34" s="434" t="str">
        <f t="shared" si="15"/>
        <v/>
      </c>
      <c r="L34" s="434" t="str">
        <f t="shared" si="16"/>
        <v/>
      </c>
      <c r="M34" s="435" t="str">
        <f t="shared" si="17"/>
        <v/>
      </c>
      <c r="N34" s="435" t="str">
        <f t="shared" si="1"/>
        <v/>
      </c>
      <c r="O34" s="434" t="str">
        <f t="shared" si="18"/>
        <v/>
      </c>
      <c r="P34" s="434" t="str">
        <f t="shared" si="19"/>
        <v/>
      </c>
      <c r="Q34" s="435" t="str">
        <f t="shared" si="20"/>
        <v/>
      </c>
      <c r="R34" s="435" t="str">
        <f t="shared" si="2"/>
        <v/>
      </c>
      <c r="S34" s="434" t="str">
        <f t="shared" si="21"/>
        <v/>
      </c>
      <c r="T34" s="434" t="str">
        <f t="shared" si="22"/>
        <v/>
      </c>
      <c r="U34" s="435" t="str">
        <f t="shared" si="23"/>
        <v/>
      </c>
      <c r="V34" s="435" t="str">
        <f t="shared" si="3"/>
        <v/>
      </c>
      <c r="W34" s="434" t="str">
        <f t="shared" si="24"/>
        <v/>
      </c>
      <c r="X34" s="434" t="str">
        <f t="shared" si="25"/>
        <v/>
      </c>
      <c r="Y34" s="435" t="str">
        <f t="shared" si="26"/>
        <v/>
      </c>
      <c r="Z34" s="435" t="str">
        <f t="shared" si="4"/>
        <v/>
      </c>
      <c r="AA34" s="434" t="str">
        <f t="shared" si="27"/>
        <v/>
      </c>
      <c r="AB34" s="434" t="str">
        <f t="shared" si="28"/>
        <v/>
      </c>
      <c r="AC34" s="435" t="str">
        <f t="shared" si="29"/>
        <v/>
      </c>
      <c r="AD34" s="435" t="str">
        <f t="shared" si="5"/>
        <v/>
      </c>
      <c r="AE34" s="434" t="str">
        <f t="shared" si="30"/>
        <v/>
      </c>
      <c r="AF34" s="434" t="str">
        <f t="shared" si="31"/>
        <v/>
      </c>
      <c r="AG34" s="435" t="str">
        <f t="shared" si="32"/>
        <v/>
      </c>
      <c r="AH34" s="435" t="str">
        <f t="shared" si="6"/>
        <v/>
      </c>
      <c r="AI34" s="434" t="str">
        <f t="shared" si="33"/>
        <v/>
      </c>
      <c r="AJ34" s="434" t="str">
        <f t="shared" si="34"/>
        <v/>
      </c>
      <c r="AK34" s="435" t="str">
        <f t="shared" si="35"/>
        <v/>
      </c>
      <c r="AL34" s="435" t="str">
        <f t="shared" si="7"/>
        <v/>
      </c>
      <c r="AM34" s="434" t="str">
        <f t="shared" si="36"/>
        <v/>
      </c>
      <c r="AN34" s="434" t="str">
        <f t="shared" si="37"/>
        <v/>
      </c>
      <c r="AO34" s="435" t="str">
        <f t="shared" si="38"/>
        <v/>
      </c>
      <c r="AP34" s="435" t="str">
        <f t="shared" si="8"/>
        <v/>
      </c>
      <c r="AQ34" s="434" t="str">
        <f t="shared" si="39"/>
        <v/>
      </c>
      <c r="AR34" s="434" t="str">
        <f t="shared" si="40"/>
        <v/>
      </c>
      <c r="AS34" s="435" t="str">
        <f t="shared" si="41"/>
        <v/>
      </c>
      <c r="AT34" s="435" t="str">
        <f t="shared" si="9"/>
        <v/>
      </c>
      <c r="AU34" s="436" t="str">
        <f t="shared" si="10"/>
        <v/>
      </c>
      <c r="AV34" s="151" t="str">
        <f t="shared" si="42"/>
        <v/>
      </c>
      <c r="BA34" s="18" t="str">
        <f t="shared" si="43"/>
        <v/>
      </c>
      <c r="BB34" s="18" t="str">
        <f t="shared" si="43"/>
        <v/>
      </c>
      <c r="BD34" s="630">
        <f t="shared" si="44"/>
        <v>0</v>
      </c>
    </row>
    <row r="35" spans="2:56" x14ac:dyDescent="0.25">
      <c r="B35" s="73">
        <f t="shared" si="11"/>
        <v>15</v>
      </c>
      <c r="C35" s="424" t="str">
        <f>ייצוב!C35</f>
        <v>ענבל אושמן</v>
      </c>
      <c r="D35" s="139">
        <f>IF(ייצוב!K35="","",ייצוב!K35)</f>
        <v>8.9930615760268322E-3</v>
      </c>
      <c r="E35" s="139">
        <f>IF(ייצוב!G35="","",ייצוב!G35)</f>
        <v>7.0016582110487384E-3</v>
      </c>
      <c r="F35" s="634">
        <f>'סיכום לועדה- הזנת נתונים'!G35</f>
        <v>1</v>
      </c>
      <c r="G35" s="146">
        <f t="shared" si="12"/>
        <v>0</v>
      </c>
      <c r="H35" s="432">
        <f t="shared" si="13"/>
        <v>0</v>
      </c>
      <c r="I35" s="433">
        <f t="shared" si="14"/>
        <v>8.9930615760268322E-3</v>
      </c>
      <c r="J35" s="433">
        <f t="shared" si="0"/>
        <v>8.9929067198736296E-3</v>
      </c>
      <c r="K35" s="434">
        <f t="shared" si="15"/>
        <v>0</v>
      </c>
      <c r="L35" s="434">
        <f t="shared" si="16"/>
        <v>0</v>
      </c>
      <c r="M35" s="435">
        <f t="shared" si="17"/>
        <v>8.9930615760268322E-3</v>
      </c>
      <c r="N35" s="435">
        <f t="shared" si="1"/>
        <v>8.9929077227415971E-3</v>
      </c>
      <c r="O35" s="434">
        <f t="shared" si="18"/>
        <v>0</v>
      </c>
      <c r="P35" s="434">
        <f t="shared" si="19"/>
        <v>0</v>
      </c>
      <c r="Q35" s="435">
        <f t="shared" si="20"/>
        <v>8.9930615760268322E-3</v>
      </c>
      <c r="R35" s="435">
        <f t="shared" si="2"/>
        <v>8.9929067198736296E-3</v>
      </c>
      <c r="S35" s="434">
        <f t="shared" si="21"/>
        <v>0</v>
      </c>
      <c r="T35" s="434">
        <f t="shared" si="22"/>
        <v>0</v>
      </c>
      <c r="U35" s="435">
        <f t="shared" si="23"/>
        <v>8.9929067198736296E-3</v>
      </c>
      <c r="V35" s="435">
        <f t="shared" si="3"/>
        <v>8.9929067198736279E-3</v>
      </c>
      <c r="W35" s="434">
        <f t="shared" si="24"/>
        <v>0</v>
      </c>
      <c r="X35" s="434">
        <f t="shared" si="25"/>
        <v>0</v>
      </c>
      <c r="Y35" s="435">
        <f t="shared" si="26"/>
        <v>8.9929067198736279E-3</v>
      </c>
      <c r="Z35" s="435">
        <f t="shared" si="4"/>
        <v>8.9929067198736279E-3</v>
      </c>
      <c r="AA35" s="434">
        <f t="shared" si="27"/>
        <v>0</v>
      </c>
      <c r="AB35" s="434">
        <f t="shared" si="28"/>
        <v>0</v>
      </c>
      <c r="AC35" s="435">
        <f t="shared" si="29"/>
        <v>8.9929067198736279E-3</v>
      </c>
      <c r="AD35" s="435">
        <f t="shared" si="5"/>
        <v>8.9929067198736279E-3</v>
      </c>
      <c r="AE35" s="434">
        <f t="shared" si="30"/>
        <v>0</v>
      </c>
      <c r="AF35" s="434">
        <f t="shared" si="31"/>
        <v>0</v>
      </c>
      <c r="AG35" s="435">
        <f t="shared" si="32"/>
        <v>8.9929067198736279E-3</v>
      </c>
      <c r="AH35" s="435">
        <f t="shared" si="6"/>
        <v>8.9929067198736279E-3</v>
      </c>
      <c r="AI35" s="434">
        <f t="shared" si="33"/>
        <v>0</v>
      </c>
      <c r="AJ35" s="434">
        <f t="shared" si="34"/>
        <v>0</v>
      </c>
      <c r="AK35" s="435">
        <f t="shared" si="35"/>
        <v>8.9929067198736279E-3</v>
      </c>
      <c r="AL35" s="435">
        <f t="shared" si="7"/>
        <v>8.9929067198736279E-3</v>
      </c>
      <c r="AM35" s="434">
        <f t="shared" si="36"/>
        <v>0</v>
      </c>
      <c r="AN35" s="434">
        <f t="shared" si="37"/>
        <v>0</v>
      </c>
      <c r="AO35" s="435">
        <f t="shared" si="38"/>
        <v>8.9929067198736279E-3</v>
      </c>
      <c r="AP35" s="435">
        <f t="shared" si="8"/>
        <v>8.9929067198736279E-3</v>
      </c>
      <c r="AQ35" s="434">
        <f t="shared" si="39"/>
        <v>0</v>
      </c>
      <c r="AR35" s="434">
        <f t="shared" si="40"/>
        <v>0</v>
      </c>
      <c r="AS35" s="435">
        <f t="shared" si="41"/>
        <v>8.9929067198736279E-3</v>
      </c>
      <c r="AT35" s="435">
        <f t="shared" si="9"/>
        <v>8.9929067198736262E-3</v>
      </c>
      <c r="AU35" s="436">
        <f t="shared" si="10"/>
        <v>8.9929067198736279E-3</v>
      </c>
      <c r="AV35" s="151">
        <f t="shared" si="42"/>
        <v>72687.542690752642</v>
      </c>
      <c r="BA35" s="18">
        <f t="shared" si="43"/>
        <v>0</v>
      </c>
      <c r="BB35" s="18">
        <f t="shared" si="43"/>
        <v>1</v>
      </c>
      <c r="BD35" s="630">
        <f t="shared" si="44"/>
        <v>1</v>
      </c>
    </row>
    <row r="36" spans="2:56" x14ac:dyDescent="0.25">
      <c r="B36" s="73">
        <f t="shared" si="11"/>
        <v>16</v>
      </c>
      <c r="C36" s="424" t="str">
        <f>ייצוב!C36</f>
        <v>אנדריאה מרטיני</v>
      </c>
      <c r="D36" s="139">
        <f>IF(ייצוב!K36="","",ייצוב!K36)</f>
        <v>1.0948578569080509E-2</v>
      </c>
      <c r="E36" s="139">
        <f>IF(ייצוב!G36="","",ייצוב!G36)</f>
        <v>1.2397114221727184E-2</v>
      </c>
      <c r="F36" s="634">
        <f>'סיכום לועדה- הזנת נתונים'!G36</f>
        <v>1</v>
      </c>
      <c r="G36" s="146">
        <f t="shared" si="12"/>
        <v>0</v>
      </c>
      <c r="H36" s="432">
        <f t="shared" si="13"/>
        <v>0</v>
      </c>
      <c r="I36" s="433">
        <f t="shared" si="14"/>
        <v>1.0948578569080509E-2</v>
      </c>
      <c r="J36" s="433">
        <f t="shared" si="0"/>
        <v>1.0948390039874308E-2</v>
      </c>
      <c r="K36" s="434">
        <f t="shared" si="15"/>
        <v>0</v>
      </c>
      <c r="L36" s="434">
        <f t="shared" si="16"/>
        <v>0</v>
      </c>
      <c r="M36" s="435">
        <f t="shared" si="17"/>
        <v>1.0948578569080509E-2</v>
      </c>
      <c r="N36" s="435">
        <f t="shared" si="1"/>
        <v>1.0948391260813211E-2</v>
      </c>
      <c r="O36" s="434">
        <f t="shared" si="18"/>
        <v>0</v>
      </c>
      <c r="P36" s="434">
        <f t="shared" si="19"/>
        <v>0</v>
      </c>
      <c r="Q36" s="435">
        <f t="shared" si="20"/>
        <v>1.0948578569080509E-2</v>
      </c>
      <c r="R36" s="435">
        <f t="shared" si="2"/>
        <v>1.0948390039874308E-2</v>
      </c>
      <c r="S36" s="434">
        <f t="shared" si="21"/>
        <v>0</v>
      </c>
      <c r="T36" s="434">
        <f t="shared" si="22"/>
        <v>0</v>
      </c>
      <c r="U36" s="435">
        <f t="shared" si="23"/>
        <v>1.0948390039874308E-2</v>
      </c>
      <c r="V36" s="435">
        <f t="shared" si="3"/>
        <v>1.0948390039874306E-2</v>
      </c>
      <c r="W36" s="434">
        <f t="shared" si="24"/>
        <v>0</v>
      </c>
      <c r="X36" s="434">
        <f t="shared" si="25"/>
        <v>0</v>
      </c>
      <c r="Y36" s="435">
        <f t="shared" si="26"/>
        <v>1.0948390039874306E-2</v>
      </c>
      <c r="Z36" s="435">
        <f t="shared" si="4"/>
        <v>1.0948390039874306E-2</v>
      </c>
      <c r="AA36" s="434">
        <f t="shared" si="27"/>
        <v>0</v>
      </c>
      <c r="AB36" s="434">
        <f t="shared" si="28"/>
        <v>0</v>
      </c>
      <c r="AC36" s="435">
        <f t="shared" si="29"/>
        <v>1.0948390039874306E-2</v>
      </c>
      <c r="AD36" s="435">
        <f t="shared" si="5"/>
        <v>1.0948390039874306E-2</v>
      </c>
      <c r="AE36" s="434">
        <f t="shared" si="30"/>
        <v>0</v>
      </c>
      <c r="AF36" s="434">
        <f t="shared" si="31"/>
        <v>0</v>
      </c>
      <c r="AG36" s="435">
        <f t="shared" si="32"/>
        <v>1.0948390039874306E-2</v>
      </c>
      <c r="AH36" s="435">
        <f t="shared" si="6"/>
        <v>1.0948390039874306E-2</v>
      </c>
      <c r="AI36" s="434">
        <f t="shared" si="33"/>
        <v>0</v>
      </c>
      <c r="AJ36" s="434">
        <f t="shared" si="34"/>
        <v>0</v>
      </c>
      <c r="AK36" s="435">
        <f t="shared" si="35"/>
        <v>1.0948390039874306E-2</v>
      </c>
      <c r="AL36" s="435">
        <f t="shared" si="7"/>
        <v>1.0948390039874306E-2</v>
      </c>
      <c r="AM36" s="434">
        <f t="shared" si="36"/>
        <v>0</v>
      </c>
      <c r="AN36" s="434">
        <f t="shared" si="37"/>
        <v>0</v>
      </c>
      <c r="AO36" s="435">
        <f t="shared" si="38"/>
        <v>1.0948390039874306E-2</v>
      </c>
      <c r="AP36" s="435">
        <f t="shared" si="8"/>
        <v>1.0948390039874306E-2</v>
      </c>
      <c r="AQ36" s="434">
        <f t="shared" si="39"/>
        <v>0</v>
      </c>
      <c r="AR36" s="434">
        <f t="shared" si="40"/>
        <v>0</v>
      </c>
      <c r="AS36" s="435">
        <f t="shared" si="41"/>
        <v>1.0948390039874306E-2</v>
      </c>
      <c r="AT36" s="435">
        <f t="shared" si="9"/>
        <v>1.0948390039874306E-2</v>
      </c>
      <c r="AU36" s="436">
        <f t="shared" si="10"/>
        <v>1.0948390039874308E-2</v>
      </c>
      <c r="AV36" s="151">
        <f t="shared" si="42"/>
        <v>88493.252872254612</v>
      </c>
      <c r="BA36" s="18">
        <f t="shared" si="43"/>
        <v>0</v>
      </c>
      <c r="BB36" s="18">
        <f t="shared" si="43"/>
        <v>1</v>
      </c>
      <c r="BD36" s="630">
        <f t="shared" si="44"/>
        <v>1</v>
      </c>
    </row>
    <row r="37" spans="2:56" x14ac:dyDescent="0.25">
      <c r="B37" s="73">
        <f t="shared" si="11"/>
        <v>17</v>
      </c>
      <c r="C37" s="424" t="str">
        <f>ייצוב!C37</f>
        <v>אפרת רובין</v>
      </c>
      <c r="D37" s="139">
        <f>IF(ייצוב!K37="","",ייצוב!K37)</f>
        <v>6.6625011944955346E-3</v>
      </c>
      <c r="E37" s="139">
        <f>IF(ייצוב!G37="","",ייצוב!G37)</f>
        <v>5.7695501129014417E-3</v>
      </c>
      <c r="F37" s="634">
        <f>'סיכום לועדה- הזנת נתונים'!G37</f>
        <v>1</v>
      </c>
      <c r="G37" s="146">
        <f t="shared" si="12"/>
        <v>0</v>
      </c>
      <c r="H37" s="432">
        <f t="shared" si="13"/>
        <v>0</v>
      </c>
      <c r="I37" s="433">
        <f t="shared" si="14"/>
        <v>6.6625011944955346E-3</v>
      </c>
      <c r="J37" s="433">
        <f t="shared" si="0"/>
        <v>6.6623864694603544E-3</v>
      </c>
      <c r="K37" s="434">
        <f t="shared" si="15"/>
        <v>0</v>
      </c>
      <c r="L37" s="434">
        <f t="shared" si="16"/>
        <v>0</v>
      </c>
      <c r="M37" s="435">
        <f t="shared" si="17"/>
        <v>6.6625011944955346E-3</v>
      </c>
      <c r="N37" s="435">
        <f t="shared" si="1"/>
        <v>6.6623872124341428E-3</v>
      </c>
      <c r="O37" s="434">
        <f t="shared" si="18"/>
        <v>0</v>
      </c>
      <c r="P37" s="434">
        <f t="shared" si="19"/>
        <v>0</v>
      </c>
      <c r="Q37" s="435">
        <f t="shared" si="20"/>
        <v>6.6625011944955346E-3</v>
      </c>
      <c r="R37" s="435">
        <f t="shared" si="2"/>
        <v>6.6623864694603544E-3</v>
      </c>
      <c r="S37" s="434">
        <f t="shared" si="21"/>
        <v>0</v>
      </c>
      <c r="T37" s="434">
        <f t="shared" si="22"/>
        <v>0</v>
      </c>
      <c r="U37" s="435">
        <f t="shared" si="23"/>
        <v>6.6623864694603544E-3</v>
      </c>
      <c r="V37" s="435">
        <f t="shared" si="3"/>
        <v>6.6623864694603527E-3</v>
      </c>
      <c r="W37" s="434">
        <f t="shared" si="24"/>
        <v>0</v>
      </c>
      <c r="X37" s="434">
        <f t="shared" si="25"/>
        <v>0</v>
      </c>
      <c r="Y37" s="435">
        <f t="shared" si="26"/>
        <v>6.6623864694603527E-3</v>
      </c>
      <c r="Z37" s="435">
        <f t="shared" si="4"/>
        <v>6.6623864694603527E-3</v>
      </c>
      <c r="AA37" s="434">
        <f t="shared" si="27"/>
        <v>0</v>
      </c>
      <c r="AB37" s="434">
        <f t="shared" si="28"/>
        <v>0</v>
      </c>
      <c r="AC37" s="435">
        <f t="shared" si="29"/>
        <v>6.6623864694603527E-3</v>
      </c>
      <c r="AD37" s="435">
        <f t="shared" si="5"/>
        <v>6.6623864694603527E-3</v>
      </c>
      <c r="AE37" s="434">
        <f t="shared" si="30"/>
        <v>0</v>
      </c>
      <c r="AF37" s="434">
        <f t="shared" si="31"/>
        <v>0</v>
      </c>
      <c r="AG37" s="435">
        <f t="shared" si="32"/>
        <v>6.6623864694603527E-3</v>
      </c>
      <c r="AH37" s="435">
        <f t="shared" si="6"/>
        <v>6.6623864694603527E-3</v>
      </c>
      <c r="AI37" s="434">
        <f t="shared" si="33"/>
        <v>0</v>
      </c>
      <c r="AJ37" s="434">
        <f t="shared" si="34"/>
        <v>0</v>
      </c>
      <c r="AK37" s="435">
        <f t="shared" si="35"/>
        <v>6.6623864694603527E-3</v>
      </c>
      <c r="AL37" s="435">
        <f t="shared" si="7"/>
        <v>6.6623864694603527E-3</v>
      </c>
      <c r="AM37" s="434">
        <f t="shared" si="36"/>
        <v>0</v>
      </c>
      <c r="AN37" s="434">
        <f t="shared" si="37"/>
        <v>0</v>
      </c>
      <c r="AO37" s="435">
        <f t="shared" si="38"/>
        <v>6.6623864694603527E-3</v>
      </c>
      <c r="AP37" s="435">
        <f t="shared" si="8"/>
        <v>6.6623864694603527E-3</v>
      </c>
      <c r="AQ37" s="434">
        <f t="shared" si="39"/>
        <v>0</v>
      </c>
      <c r="AR37" s="434">
        <f t="shared" si="40"/>
        <v>0</v>
      </c>
      <c r="AS37" s="435">
        <f t="shared" si="41"/>
        <v>6.6623864694603527E-3</v>
      </c>
      <c r="AT37" s="435">
        <f t="shared" si="9"/>
        <v>6.6623864694603518E-3</v>
      </c>
      <c r="AU37" s="436">
        <f t="shared" si="10"/>
        <v>6.6623864694603536E-3</v>
      </c>
      <c r="AV37" s="151">
        <f t="shared" si="42"/>
        <v>53850.497509441244</v>
      </c>
      <c r="BA37" s="18">
        <f t="shared" si="43"/>
        <v>0</v>
      </c>
      <c r="BB37" s="18">
        <f t="shared" si="43"/>
        <v>1</v>
      </c>
      <c r="BD37" s="630">
        <f t="shared" si="44"/>
        <v>1</v>
      </c>
    </row>
    <row r="38" spans="2:56" x14ac:dyDescent="0.25">
      <c r="B38" s="73">
        <f t="shared" si="11"/>
        <v>18</v>
      </c>
      <c r="C38" s="424" t="str">
        <f>ייצוב!C38</f>
        <v>שרון צוקרמן</v>
      </c>
      <c r="D38" s="139">
        <f>IF(ייצוב!K38="","",ייצוב!K38)</f>
        <v>7.0558751140506271E-3</v>
      </c>
      <c r="E38" s="139">
        <f>IF(ייצוב!G38="","",ייצוב!G38)</f>
        <v>5.9300647312158956E-3</v>
      </c>
      <c r="F38" s="634">
        <f>'סיכום לועדה- הזנת נתונים'!G38</f>
        <v>1</v>
      </c>
      <c r="G38" s="146">
        <f t="shared" si="12"/>
        <v>0</v>
      </c>
      <c r="H38" s="432">
        <f t="shared" si="13"/>
        <v>0</v>
      </c>
      <c r="I38" s="433">
        <f t="shared" si="14"/>
        <v>7.0558751140506271E-3</v>
      </c>
      <c r="J38" s="433">
        <f t="shared" si="0"/>
        <v>7.0557536153075789E-3</v>
      </c>
      <c r="K38" s="434">
        <f t="shared" si="15"/>
        <v>0</v>
      </c>
      <c r="L38" s="434">
        <f t="shared" si="16"/>
        <v>0</v>
      </c>
      <c r="M38" s="435">
        <f t="shared" si="17"/>
        <v>7.0558751140506271E-3</v>
      </c>
      <c r="N38" s="435">
        <f t="shared" si="1"/>
        <v>7.0557544021487536E-3</v>
      </c>
      <c r="O38" s="434">
        <f t="shared" si="18"/>
        <v>0</v>
      </c>
      <c r="P38" s="434">
        <f t="shared" si="19"/>
        <v>0</v>
      </c>
      <c r="Q38" s="435">
        <f t="shared" si="20"/>
        <v>7.0558751140506271E-3</v>
      </c>
      <c r="R38" s="435">
        <f t="shared" si="2"/>
        <v>7.0557536153075789E-3</v>
      </c>
      <c r="S38" s="434">
        <f t="shared" si="21"/>
        <v>0</v>
      </c>
      <c r="T38" s="434">
        <f t="shared" si="22"/>
        <v>0</v>
      </c>
      <c r="U38" s="435">
        <f t="shared" si="23"/>
        <v>7.0557536153075789E-3</v>
      </c>
      <c r="V38" s="435">
        <f t="shared" si="3"/>
        <v>7.0557536153075771E-3</v>
      </c>
      <c r="W38" s="434">
        <f t="shared" si="24"/>
        <v>0</v>
      </c>
      <c r="X38" s="434">
        <f t="shared" si="25"/>
        <v>0</v>
      </c>
      <c r="Y38" s="435">
        <f t="shared" si="26"/>
        <v>7.0557536153075771E-3</v>
      </c>
      <c r="Z38" s="435">
        <f t="shared" si="4"/>
        <v>7.0557536153075771E-3</v>
      </c>
      <c r="AA38" s="434">
        <f t="shared" si="27"/>
        <v>0</v>
      </c>
      <c r="AB38" s="434">
        <f t="shared" si="28"/>
        <v>0</v>
      </c>
      <c r="AC38" s="435">
        <f t="shared" si="29"/>
        <v>7.0557536153075771E-3</v>
      </c>
      <c r="AD38" s="435">
        <f t="shared" si="5"/>
        <v>7.0557536153075771E-3</v>
      </c>
      <c r="AE38" s="434">
        <f t="shared" si="30"/>
        <v>0</v>
      </c>
      <c r="AF38" s="434">
        <f t="shared" si="31"/>
        <v>0</v>
      </c>
      <c r="AG38" s="435">
        <f t="shared" si="32"/>
        <v>7.0557536153075771E-3</v>
      </c>
      <c r="AH38" s="435">
        <f t="shared" si="6"/>
        <v>7.0557536153075771E-3</v>
      </c>
      <c r="AI38" s="434">
        <f t="shared" si="33"/>
        <v>0</v>
      </c>
      <c r="AJ38" s="434">
        <f t="shared" si="34"/>
        <v>0</v>
      </c>
      <c r="AK38" s="435">
        <f t="shared" si="35"/>
        <v>7.0557536153075771E-3</v>
      </c>
      <c r="AL38" s="435">
        <f t="shared" si="7"/>
        <v>7.0557536153075771E-3</v>
      </c>
      <c r="AM38" s="434">
        <f t="shared" si="36"/>
        <v>0</v>
      </c>
      <c r="AN38" s="434">
        <f t="shared" si="37"/>
        <v>0</v>
      </c>
      <c r="AO38" s="435">
        <f t="shared" si="38"/>
        <v>7.0557536153075771E-3</v>
      </c>
      <c r="AP38" s="435">
        <f t="shared" si="8"/>
        <v>7.0557536153075771E-3</v>
      </c>
      <c r="AQ38" s="434">
        <f t="shared" si="39"/>
        <v>0</v>
      </c>
      <c r="AR38" s="434">
        <f t="shared" si="40"/>
        <v>0</v>
      </c>
      <c r="AS38" s="435">
        <f t="shared" si="41"/>
        <v>7.0557536153075771E-3</v>
      </c>
      <c r="AT38" s="435">
        <f t="shared" si="9"/>
        <v>7.0557536153075763E-3</v>
      </c>
      <c r="AU38" s="436">
        <f t="shared" si="10"/>
        <v>7.055753615307578E-3</v>
      </c>
      <c r="AV38" s="151">
        <f t="shared" si="42"/>
        <v>57029.991314677944</v>
      </c>
      <c r="BA38" s="18">
        <f t="shared" si="43"/>
        <v>0</v>
      </c>
      <c r="BB38" s="18">
        <f t="shared" si="43"/>
        <v>1</v>
      </c>
      <c r="BD38" s="630">
        <f t="shared" si="44"/>
        <v>1</v>
      </c>
    </row>
    <row r="39" spans="2:56" x14ac:dyDescent="0.25">
      <c r="B39" s="73">
        <f t="shared" si="11"/>
        <v>19</v>
      </c>
      <c r="C39" s="424" t="str">
        <f>ייצוב!C39</f>
        <v>בשמת נוסן</v>
      </c>
      <c r="D39" s="139">
        <f>IF(ייצוב!K39="","",ייצוב!K39)</f>
        <v>1.0640616720532188E-2</v>
      </c>
      <c r="E39" s="139">
        <f>IF(ייצוב!G39="","",ייצוב!G39)</f>
        <v>1.286308182259069E-2</v>
      </c>
      <c r="F39" s="634">
        <f>'סיכום לועדה- הזנת נתונים'!G39</f>
        <v>1</v>
      </c>
      <c r="G39" s="146">
        <f t="shared" si="12"/>
        <v>0</v>
      </c>
      <c r="H39" s="432">
        <f t="shared" si="13"/>
        <v>0</v>
      </c>
      <c r="I39" s="433">
        <f t="shared" si="14"/>
        <v>1.0640616720532188E-2</v>
      </c>
      <c r="J39" s="433">
        <f t="shared" si="0"/>
        <v>1.0640433494279468E-2</v>
      </c>
      <c r="K39" s="434">
        <f t="shared" si="15"/>
        <v>0</v>
      </c>
      <c r="L39" s="434">
        <f t="shared" si="16"/>
        <v>0</v>
      </c>
      <c r="M39" s="435">
        <f t="shared" si="17"/>
        <v>1.0640616720532188E-2</v>
      </c>
      <c r="N39" s="435">
        <f t="shared" si="1"/>
        <v>1.0640434680875777E-2</v>
      </c>
      <c r="O39" s="434">
        <f t="shared" si="18"/>
        <v>0</v>
      </c>
      <c r="P39" s="434">
        <f t="shared" si="19"/>
        <v>0</v>
      </c>
      <c r="Q39" s="435">
        <f t="shared" si="20"/>
        <v>1.0640616720532188E-2</v>
      </c>
      <c r="R39" s="435">
        <f t="shared" si="2"/>
        <v>1.0640433494279468E-2</v>
      </c>
      <c r="S39" s="434">
        <f t="shared" si="21"/>
        <v>0</v>
      </c>
      <c r="T39" s="434">
        <f t="shared" si="22"/>
        <v>0</v>
      </c>
      <c r="U39" s="435">
        <f t="shared" si="23"/>
        <v>1.0640433494279468E-2</v>
      </c>
      <c r="V39" s="435">
        <f t="shared" si="3"/>
        <v>1.0640433494279466E-2</v>
      </c>
      <c r="W39" s="434">
        <f t="shared" si="24"/>
        <v>0</v>
      </c>
      <c r="X39" s="434">
        <f t="shared" si="25"/>
        <v>0</v>
      </c>
      <c r="Y39" s="435">
        <f t="shared" si="26"/>
        <v>1.0640433494279466E-2</v>
      </c>
      <c r="Z39" s="435">
        <f t="shared" si="4"/>
        <v>1.0640433494279466E-2</v>
      </c>
      <c r="AA39" s="434">
        <f t="shared" si="27"/>
        <v>0</v>
      </c>
      <c r="AB39" s="434">
        <f t="shared" si="28"/>
        <v>0</v>
      </c>
      <c r="AC39" s="435">
        <f t="shared" si="29"/>
        <v>1.0640433494279466E-2</v>
      </c>
      <c r="AD39" s="435">
        <f t="shared" si="5"/>
        <v>1.0640433494279466E-2</v>
      </c>
      <c r="AE39" s="434">
        <f t="shared" si="30"/>
        <v>0</v>
      </c>
      <c r="AF39" s="434">
        <f t="shared" si="31"/>
        <v>0</v>
      </c>
      <c r="AG39" s="435">
        <f t="shared" si="32"/>
        <v>1.0640433494279466E-2</v>
      </c>
      <c r="AH39" s="435">
        <f t="shared" si="6"/>
        <v>1.0640433494279466E-2</v>
      </c>
      <c r="AI39" s="434">
        <f t="shared" si="33"/>
        <v>0</v>
      </c>
      <c r="AJ39" s="434">
        <f t="shared" si="34"/>
        <v>0</v>
      </c>
      <c r="AK39" s="435">
        <f t="shared" si="35"/>
        <v>1.0640433494279466E-2</v>
      </c>
      <c r="AL39" s="435">
        <f t="shared" si="7"/>
        <v>1.0640433494279466E-2</v>
      </c>
      <c r="AM39" s="434">
        <f t="shared" si="36"/>
        <v>0</v>
      </c>
      <c r="AN39" s="434">
        <f t="shared" si="37"/>
        <v>0</v>
      </c>
      <c r="AO39" s="435">
        <f t="shared" si="38"/>
        <v>1.0640433494279466E-2</v>
      </c>
      <c r="AP39" s="435">
        <f t="shared" si="8"/>
        <v>1.0640433494279466E-2</v>
      </c>
      <c r="AQ39" s="434">
        <f t="shared" si="39"/>
        <v>0</v>
      </c>
      <c r="AR39" s="434">
        <f t="shared" si="40"/>
        <v>0</v>
      </c>
      <c r="AS39" s="435">
        <f t="shared" si="41"/>
        <v>1.0640433494279466E-2</v>
      </c>
      <c r="AT39" s="435">
        <f t="shared" si="9"/>
        <v>1.0640433494279464E-2</v>
      </c>
      <c r="AU39" s="436">
        <f t="shared" si="10"/>
        <v>1.0640433494279466E-2</v>
      </c>
      <c r="AV39" s="151">
        <f t="shared" si="42"/>
        <v>86004.112791956271</v>
      </c>
      <c r="BA39" s="18">
        <f t="shared" si="43"/>
        <v>0</v>
      </c>
      <c r="BB39" s="18">
        <f t="shared" si="43"/>
        <v>1</v>
      </c>
      <c r="BD39" s="630">
        <f t="shared" si="44"/>
        <v>1</v>
      </c>
    </row>
    <row r="40" spans="2:56" x14ac:dyDescent="0.25">
      <c r="B40" s="73">
        <f t="shared" si="11"/>
        <v>20</v>
      </c>
      <c r="C40" s="424" t="str">
        <f>ייצוב!C40</f>
        <v>גיל קרר</v>
      </c>
      <c r="D40" s="139">
        <f>IF(ייצוב!K40="","",ייצוב!K40)</f>
        <v>1.404702292266965E-2</v>
      </c>
      <c r="E40" s="139">
        <f>IF(ייצוב!G40="","",ייצוב!G40)</f>
        <v>1.3296708895915511E-2</v>
      </c>
      <c r="F40" s="634">
        <f>'סיכום לועדה- הזנת נתונים'!G40</f>
        <v>1</v>
      </c>
      <c r="G40" s="146">
        <f t="shared" si="12"/>
        <v>0</v>
      </c>
      <c r="H40" s="432">
        <f t="shared" si="13"/>
        <v>0</v>
      </c>
      <c r="I40" s="433">
        <f t="shared" si="14"/>
        <v>1.404702292266965E-2</v>
      </c>
      <c r="J40" s="433">
        <f t="shared" si="0"/>
        <v>1.4046781039756321E-2</v>
      </c>
      <c r="K40" s="434">
        <f t="shared" si="15"/>
        <v>0</v>
      </c>
      <c r="L40" s="434">
        <f t="shared" si="16"/>
        <v>0</v>
      </c>
      <c r="M40" s="435">
        <f t="shared" si="17"/>
        <v>1.404702292266965E-2</v>
      </c>
      <c r="N40" s="435">
        <f t="shared" si="1"/>
        <v>1.4046782606220557E-2</v>
      </c>
      <c r="O40" s="434">
        <f t="shared" si="18"/>
        <v>0</v>
      </c>
      <c r="P40" s="434">
        <f t="shared" si="19"/>
        <v>0</v>
      </c>
      <c r="Q40" s="435">
        <f t="shared" si="20"/>
        <v>1.404702292266965E-2</v>
      </c>
      <c r="R40" s="435">
        <f t="shared" si="2"/>
        <v>1.4046781039756321E-2</v>
      </c>
      <c r="S40" s="434">
        <f t="shared" si="21"/>
        <v>0</v>
      </c>
      <c r="T40" s="434">
        <f t="shared" si="22"/>
        <v>0</v>
      </c>
      <c r="U40" s="435">
        <f t="shared" si="23"/>
        <v>1.4046781039756321E-2</v>
      </c>
      <c r="V40" s="435">
        <f t="shared" si="3"/>
        <v>1.4046781039756318E-2</v>
      </c>
      <c r="W40" s="434">
        <f t="shared" si="24"/>
        <v>0</v>
      </c>
      <c r="X40" s="434">
        <f t="shared" si="25"/>
        <v>0</v>
      </c>
      <c r="Y40" s="435">
        <f t="shared" si="26"/>
        <v>1.4046781039756318E-2</v>
      </c>
      <c r="Z40" s="435">
        <f t="shared" si="4"/>
        <v>1.4046781039756318E-2</v>
      </c>
      <c r="AA40" s="434">
        <f t="shared" si="27"/>
        <v>0</v>
      </c>
      <c r="AB40" s="434">
        <f t="shared" si="28"/>
        <v>0</v>
      </c>
      <c r="AC40" s="435">
        <f t="shared" si="29"/>
        <v>1.4046781039756318E-2</v>
      </c>
      <c r="AD40" s="435">
        <f t="shared" si="5"/>
        <v>1.4046781039756318E-2</v>
      </c>
      <c r="AE40" s="434">
        <f t="shared" si="30"/>
        <v>0</v>
      </c>
      <c r="AF40" s="434">
        <f t="shared" si="31"/>
        <v>0</v>
      </c>
      <c r="AG40" s="435">
        <f t="shared" si="32"/>
        <v>1.4046781039756318E-2</v>
      </c>
      <c r="AH40" s="435">
        <f t="shared" si="6"/>
        <v>1.4046781039756318E-2</v>
      </c>
      <c r="AI40" s="434">
        <f t="shared" si="33"/>
        <v>0</v>
      </c>
      <c r="AJ40" s="434">
        <f t="shared" si="34"/>
        <v>0</v>
      </c>
      <c r="AK40" s="435">
        <f t="shared" si="35"/>
        <v>1.4046781039756318E-2</v>
      </c>
      <c r="AL40" s="435">
        <f t="shared" si="7"/>
        <v>1.4046781039756318E-2</v>
      </c>
      <c r="AM40" s="434">
        <f t="shared" si="36"/>
        <v>0</v>
      </c>
      <c r="AN40" s="434">
        <f t="shared" si="37"/>
        <v>0</v>
      </c>
      <c r="AO40" s="435">
        <f t="shared" si="38"/>
        <v>1.4046781039756318E-2</v>
      </c>
      <c r="AP40" s="435">
        <f t="shared" si="8"/>
        <v>1.4046781039756318E-2</v>
      </c>
      <c r="AQ40" s="434">
        <f t="shared" si="39"/>
        <v>0</v>
      </c>
      <c r="AR40" s="434">
        <f t="shared" si="40"/>
        <v>0</v>
      </c>
      <c r="AS40" s="435">
        <f t="shared" si="41"/>
        <v>1.4046781039756318E-2</v>
      </c>
      <c r="AT40" s="435">
        <f t="shared" si="9"/>
        <v>1.4046781039756316E-2</v>
      </c>
      <c r="AU40" s="436">
        <f t="shared" si="10"/>
        <v>1.4046781039756319E-2</v>
      </c>
      <c r="AV40" s="151">
        <f t="shared" si="42"/>
        <v>113536.81610402494</v>
      </c>
      <c r="BA40" s="18">
        <f t="shared" si="43"/>
        <v>0</v>
      </c>
      <c r="BB40" s="18">
        <f t="shared" si="43"/>
        <v>1</v>
      </c>
      <c r="BD40" s="630">
        <f t="shared" si="44"/>
        <v>1</v>
      </c>
    </row>
    <row r="41" spans="2:56" x14ac:dyDescent="0.25">
      <c r="B41" s="73">
        <f t="shared" si="11"/>
        <v>21</v>
      </c>
      <c r="C41" s="424" t="str">
        <f>ייצוב!C41</f>
        <v>דינה תלם</v>
      </c>
      <c r="D41" s="139">
        <f>IF(ייצוב!K41="","",ייצוב!K41)</f>
        <v>1.2493392163162862E-2</v>
      </c>
      <c r="E41" s="139">
        <f>IF(ייצוב!G41="","",ייצוב!G41)</f>
        <v>1.0423550028948072E-2</v>
      </c>
      <c r="F41" s="634">
        <f>'סיכום לועדה- הזנת נתונים'!G41</f>
        <v>1</v>
      </c>
      <c r="G41" s="146">
        <f t="shared" si="12"/>
        <v>0</v>
      </c>
      <c r="H41" s="432">
        <f t="shared" si="13"/>
        <v>0</v>
      </c>
      <c r="I41" s="433">
        <f t="shared" si="14"/>
        <v>1.2493392163162862E-2</v>
      </c>
      <c r="J41" s="433">
        <f t="shared" si="0"/>
        <v>1.249317703301675E-2</v>
      </c>
      <c r="K41" s="434">
        <f t="shared" si="15"/>
        <v>0</v>
      </c>
      <c r="L41" s="434">
        <f t="shared" si="16"/>
        <v>0</v>
      </c>
      <c r="M41" s="435">
        <f t="shared" si="17"/>
        <v>1.2493392163162862E-2</v>
      </c>
      <c r="N41" s="435">
        <f t="shared" si="1"/>
        <v>1.2493178426226693E-2</v>
      </c>
      <c r="O41" s="434">
        <f t="shared" si="18"/>
        <v>0</v>
      </c>
      <c r="P41" s="434">
        <f t="shared" si="19"/>
        <v>0</v>
      </c>
      <c r="Q41" s="435">
        <f t="shared" si="20"/>
        <v>1.2493392163162862E-2</v>
      </c>
      <c r="R41" s="435">
        <f t="shared" si="2"/>
        <v>1.249317703301675E-2</v>
      </c>
      <c r="S41" s="434">
        <f t="shared" si="21"/>
        <v>0</v>
      </c>
      <c r="T41" s="434">
        <f t="shared" si="22"/>
        <v>0</v>
      </c>
      <c r="U41" s="435">
        <f t="shared" si="23"/>
        <v>1.249317703301675E-2</v>
      </c>
      <c r="V41" s="435">
        <f t="shared" si="3"/>
        <v>1.2493177033016747E-2</v>
      </c>
      <c r="W41" s="434">
        <f t="shared" si="24"/>
        <v>0</v>
      </c>
      <c r="X41" s="434">
        <f t="shared" si="25"/>
        <v>0</v>
      </c>
      <c r="Y41" s="435">
        <f t="shared" si="26"/>
        <v>1.2493177033016747E-2</v>
      </c>
      <c r="Z41" s="435">
        <f t="shared" si="4"/>
        <v>1.2493177033016747E-2</v>
      </c>
      <c r="AA41" s="434">
        <f t="shared" si="27"/>
        <v>0</v>
      </c>
      <c r="AB41" s="434">
        <f t="shared" si="28"/>
        <v>0</v>
      </c>
      <c r="AC41" s="435">
        <f t="shared" si="29"/>
        <v>1.2493177033016747E-2</v>
      </c>
      <c r="AD41" s="435">
        <f t="shared" si="5"/>
        <v>1.2493177033016747E-2</v>
      </c>
      <c r="AE41" s="434">
        <f t="shared" si="30"/>
        <v>0</v>
      </c>
      <c r="AF41" s="434">
        <f t="shared" si="31"/>
        <v>0</v>
      </c>
      <c r="AG41" s="435">
        <f t="shared" si="32"/>
        <v>1.2493177033016747E-2</v>
      </c>
      <c r="AH41" s="435">
        <f t="shared" si="6"/>
        <v>1.2493177033016747E-2</v>
      </c>
      <c r="AI41" s="434">
        <f t="shared" si="33"/>
        <v>0</v>
      </c>
      <c r="AJ41" s="434">
        <f t="shared" si="34"/>
        <v>0</v>
      </c>
      <c r="AK41" s="435">
        <f t="shared" si="35"/>
        <v>1.2493177033016747E-2</v>
      </c>
      <c r="AL41" s="435">
        <f t="shared" si="7"/>
        <v>1.2493177033016747E-2</v>
      </c>
      <c r="AM41" s="434">
        <f t="shared" si="36"/>
        <v>0</v>
      </c>
      <c r="AN41" s="434">
        <f t="shared" si="37"/>
        <v>0</v>
      </c>
      <c r="AO41" s="435">
        <f t="shared" si="38"/>
        <v>1.2493177033016747E-2</v>
      </c>
      <c r="AP41" s="435">
        <f t="shared" si="8"/>
        <v>1.2493177033016747E-2</v>
      </c>
      <c r="AQ41" s="434">
        <f t="shared" si="39"/>
        <v>0</v>
      </c>
      <c r="AR41" s="434">
        <f t="shared" si="40"/>
        <v>0</v>
      </c>
      <c r="AS41" s="435">
        <f t="shared" si="41"/>
        <v>1.2493177033016747E-2</v>
      </c>
      <c r="AT41" s="435">
        <f t="shared" si="9"/>
        <v>1.2493177033016745E-2</v>
      </c>
      <c r="AU41" s="436">
        <f t="shared" si="10"/>
        <v>1.2493177033016748E-2</v>
      </c>
      <c r="AV41" s="151">
        <f t="shared" si="42"/>
        <v>100979.40156809459</v>
      </c>
      <c r="BA41" s="18">
        <f t="shared" si="43"/>
        <v>0</v>
      </c>
      <c r="BB41" s="18">
        <f t="shared" si="43"/>
        <v>1</v>
      </c>
      <c r="BD41" s="630">
        <f t="shared" si="44"/>
        <v>1</v>
      </c>
    </row>
    <row r="42" spans="2:56" x14ac:dyDescent="0.25">
      <c r="B42" s="73">
        <f t="shared" si="11"/>
        <v>22</v>
      </c>
      <c r="C42" s="424" t="str">
        <f>ייצוב!C42</f>
        <v>דנה יהלומי</v>
      </c>
      <c r="D42" s="139">
        <f>IF(ייצוב!K42="","",ייצוב!K42)</f>
        <v>1.3724900020627909E-2</v>
      </c>
      <c r="E42" s="139">
        <f>IF(ייצוב!G42="","",ייצוב!G42)</f>
        <v>1.6931784191263729E-2</v>
      </c>
      <c r="F42" s="634">
        <f>'סיכום לועדה- הזנת נתונים'!G42</f>
        <v>1</v>
      </c>
      <c r="G42" s="146">
        <f t="shared" si="12"/>
        <v>0</v>
      </c>
      <c r="H42" s="432">
        <f t="shared" si="13"/>
        <v>0</v>
      </c>
      <c r="I42" s="433">
        <f t="shared" si="14"/>
        <v>1.3724900020627909E-2</v>
      </c>
      <c r="J42" s="433">
        <f t="shared" si="0"/>
        <v>1.3724663684514526E-2</v>
      </c>
      <c r="K42" s="434">
        <f t="shared" si="15"/>
        <v>0</v>
      </c>
      <c r="L42" s="434">
        <f t="shared" si="16"/>
        <v>0</v>
      </c>
      <c r="M42" s="435">
        <f t="shared" si="17"/>
        <v>1.3724900020627909E-2</v>
      </c>
      <c r="N42" s="435">
        <f t="shared" si="1"/>
        <v>1.3724665215056987E-2</v>
      </c>
      <c r="O42" s="434">
        <f t="shared" si="18"/>
        <v>0</v>
      </c>
      <c r="P42" s="434">
        <f t="shared" si="19"/>
        <v>0</v>
      </c>
      <c r="Q42" s="435">
        <f t="shared" si="20"/>
        <v>1.3724900020627909E-2</v>
      </c>
      <c r="R42" s="435">
        <f t="shared" si="2"/>
        <v>1.3724663684514526E-2</v>
      </c>
      <c r="S42" s="434">
        <f t="shared" si="21"/>
        <v>0</v>
      </c>
      <c r="T42" s="434">
        <f t="shared" si="22"/>
        <v>0</v>
      </c>
      <c r="U42" s="435">
        <f t="shared" si="23"/>
        <v>1.3724663684514526E-2</v>
      </c>
      <c r="V42" s="435">
        <f t="shared" si="3"/>
        <v>1.3724663684514523E-2</v>
      </c>
      <c r="W42" s="434">
        <f t="shared" si="24"/>
        <v>0</v>
      </c>
      <c r="X42" s="434">
        <f t="shared" si="25"/>
        <v>0</v>
      </c>
      <c r="Y42" s="435">
        <f t="shared" si="26"/>
        <v>1.3724663684514523E-2</v>
      </c>
      <c r="Z42" s="435">
        <f t="shared" si="4"/>
        <v>1.3724663684514523E-2</v>
      </c>
      <c r="AA42" s="434">
        <f t="shared" si="27"/>
        <v>0</v>
      </c>
      <c r="AB42" s="434">
        <f t="shared" si="28"/>
        <v>0</v>
      </c>
      <c r="AC42" s="435">
        <f t="shared" si="29"/>
        <v>1.3724663684514523E-2</v>
      </c>
      <c r="AD42" s="435">
        <f t="shared" si="5"/>
        <v>1.3724663684514523E-2</v>
      </c>
      <c r="AE42" s="434">
        <f t="shared" si="30"/>
        <v>0</v>
      </c>
      <c r="AF42" s="434">
        <f t="shared" si="31"/>
        <v>0</v>
      </c>
      <c r="AG42" s="435">
        <f t="shared" si="32"/>
        <v>1.3724663684514523E-2</v>
      </c>
      <c r="AH42" s="435">
        <f t="shared" si="6"/>
        <v>1.3724663684514523E-2</v>
      </c>
      <c r="AI42" s="434">
        <f t="shared" si="33"/>
        <v>0</v>
      </c>
      <c r="AJ42" s="434">
        <f t="shared" si="34"/>
        <v>0</v>
      </c>
      <c r="AK42" s="435">
        <f t="shared" si="35"/>
        <v>1.3724663684514523E-2</v>
      </c>
      <c r="AL42" s="435">
        <f t="shared" si="7"/>
        <v>1.3724663684514523E-2</v>
      </c>
      <c r="AM42" s="434">
        <f t="shared" si="36"/>
        <v>0</v>
      </c>
      <c r="AN42" s="434">
        <f t="shared" si="37"/>
        <v>0</v>
      </c>
      <c r="AO42" s="435">
        <f t="shared" si="38"/>
        <v>1.3724663684514523E-2</v>
      </c>
      <c r="AP42" s="435">
        <f t="shared" si="8"/>
        <v>1.3724663684514523E-2</v>
      </c>
      <c r="AQ42" s="434">
        <f t="shared" si="39"/>
        <v>0</v>
      </c>
      <c r="AR42" s="434">
        <f t="shared" si="40"/>
        <v>0</v>
      </c>
      <c r="AS42" s="435">
        <f t="shared" si="41"/>
        <v>1.3724663684514523E-2</v>
      </c>
      <c r="AT42" s="435">
        <f t="shared" si="9"/>
        <v>1.3724663684514521E-2</v>
      </c>
      <c r="AU42" s="436">
        <f t="shared" si="10"/>
        <v>1.3724663684514525E-2</v>
      </c>
      <c r="AV42" s="151">
        <f t="shared" si="42"/>
        <v>110933.21754130136</v>
      </c>
      <c r="BA42" s="18">
        <f t="shared" si="43"/>
        <v>0</v>
      </c>
      <c r="BB42" s="18">
        <f t="shared" si="43"/>
        <v>1</v>
      </c>
      <c r="BD42" s="630">
        <f t="shared" si="44"/>
        <v>1</v>
      </c>
    </row>
    <row r="43" spans="2:56" x14ac:dyDescent="0.25">
      <c r="B43" s="73">
        <f t="shared" si="11"/>
        <v>23</v>
      </c>
      <c r="C43" s="424" t="str">
        <f>ייצוב!C43</f>
        <v>דנה רוטנברג</v>
      </c>
      <c r="D43" s="139">
        <f>IF(ייצוב!K43="","",ייצוב!K43)</f>
        <v>1.3575983211646839E-2</v>
      </c>
      <c r="E43" s="139">
        <f>IF(ייצוב!G43="","",ייצוב!G43)</f>
        <v>9.9830588436558582E-3</v>
      </c>
      <c r="F43" s="634">
        <f>'סיכום לועדה- הזנת נתונים'!G43</f>
        <v>0</v>
      </c>
      <c r="G43" s="146">
        <f t="shared" si="12"/>
        <v>0</v>
      </c>
      <c r="H43" s="432">
        <f t="shared" si="13"/>
        <v>0</v>
      </c>
      <c r="I43" s="433">
        <f t="shared" si="14"/>
        <v>1.3575983211646839E-2</v>
      </c>
      <c r="J43" s="433">
        <f t="shared" si="0"/>
        <v>1.357574943980859E-2</v>
      </c>
      <c r="K43" s="434">
        <f t="shared" si="15"/>
        <v>0</v>
      </c>
      <c r="L43" s="434">
        <f t="shared" si="16"/>
        <v>0</v>
      </c>
      <c r="M43" s="435">
        <f t="shared" si="17"/>
        <v>1.3575983211646839E-2</v>
      </c>
      <c r="N43" s="435">
        <f t="shared" si="1"/>
        <v>1.3575750953744482E-2</v>
      </c>
      <c r="O43" s="434">
        <f t="shared" si="18"/>
        <v>0</v>
      </c>
      <c r="P43" s="434">
        <f t="shared" si="19"/>
        <v>0</v>
      </c>
      <c r="Q43" s="435">
        <f t="shared" si="20"/>
        <v>1.3575983211646839E-2</v>
      </c>
      <c r="R43" s="435">
        <f t="shared" si="2"/>
        <v>1.357574943980859E-2</v>
      </c>
      <c r="S43" s="434">
        <f t="shared" si="21"/>
        <v>0</v>
      </c>
      <c r="T43" s="434">
        <f t="shared" si="22"/>
        <v>0</v>
      </c>
      <c r="U43" s="435">
        <f t="shared" si="23"/>
        <v>1.357574943980859E-2</v>
      </c>
      <c r="V43" s="435">
        <f t="shared" si="3"/>
        <v>1.3575749439808587E-2</v>
      </c>
      <c r="W43" s="434">
        <f t="shared" si="24"/>
        <v>0</v>
      </c>
      <c r="X43" s="434">
        <f t="shared" si="25"/>
        <v>0</v>
      </c>
      <c r="Y43" s="435">
        <f t="shared" si="26"/>
        <v>1.3575749439808587E-2</v>
      </c>
      <c r="Z43" s="435">
        <f t="shared" si="4"/>
        <v>1.3575749439808587E-2</v>
      </c>
      <c r="AA43" s="434">
        <f t="shared" si="27"/>
        <v>0</v>
      </c>
      <c r="AB43" s="434">
        <f t="shared" si="28"/>
        <v>0</v>
      </c>
      <c r="AC43" s="435">
        <f t="shared" si="29"/>
        <v>1.3575749439808587E-2</v>
      </c>
      <c r="AD43" s="435">
        <f t="shared" si="5"/>
        <v>1.3575749439808587E-2</v>
      </c>
      <c r="AE43" s="434">
        <f t="shared" si="30"/>
        <v>0</v>
      </c>
      <c r="AF43" s="434">
        <f t="shared" si="31"/>
        <v>0</v>
      </c>
      <c r="AG43" s="435">
        <f t="shared" si="32"/>
        <v>1.3575749439808587E-2</v>
      </c>
      <c r="AH43" s="435">
        <f t="shared" si="6"/>
        <v>1.3575749439808587E-2</v>
      </c>
      <c r="AI43" s="434">
        <f t="shared" si="33"/>
        <v>0</v>
      </c>
      <c r="AJ43" s="434">
        <f t="shared" si="34"/>
        <v>0</v>
      </c>
      <c r="AK43" s="435">
        <f t="shared" si="35"/>
        <v>1.3575749439808587E-2</v>
      </c>
      <c r="AL43" s="435">
        <f t="shared" si="7"/>
        <v>1.3575749439808587E-2</v>
      </c>
      <c r="AM43" s="434">
        <f t="shared" si="36"/>
        <v>0</v>
      </c>
      <c r="AN43" s="434">
        <f t="shared" si="37"/>
        <v>0</v>
      </c>
      <c r="AO43" s="435">
        <f t="shared" si="38"/>
        <v>1.3575749439808587E-2</v>
      </c>
      <c r="AP43" s="435">
        <f t="shared" si="8"/>
        <v>1.3575749439808587E-2</v>
      </c>
      <c r="AQ43" s="434">
        <f t="shared" si="39"/>
        <v>0</v>
      </c>
      <c r="AR43" s="434">
        <f t="shared" si="40"/>
        <v>0</v>
      </c>
      <c r="AS43" s="435">
        <f t="shared" si="41"/>
        <v>1.3575749439808587E-2</v>
      </c>
      <c r="AT43" s="435">
        <f t="shared" si="9"/>
        <v>1.3575749439808585E-2</v>
      </c>
      <c r="AU43" s="436">
        <f t="shared" si="10"/>
        <v>1.3575749439808589E-2</v>
      </c>
      <c r="AV43" s="151">
        <f t="shared" si="42"/>
        <v>109729.57884510503</v>
      </c>
      <c r="BA43" s="18">
        <f t="shared" si="43"/>
        <v>0</v>
      </c>
      <c r="BB43" s="18">
        <f t="shared" si="43"/>
        <v>1</v>
      </c>
      <c r="BD43" s="630">
        <f t="shared" si="44"/>
        <v>1</v>
      </c>
    </row>
    <row r="44" spans="2:56" x14ac:dyDescent="0.25">
      <c r="B44" s="73">
        <f t="shared" si="11"/>
        <v>24</v>
      </c>
      <c r="C44" s="424" t="str">
        <f>ייצוב!C44</f>
        <v>דפי אלטבב</v>
      </c>
      <c r="D44" s="139">
        <f>IF(ייצוב!K44="","",ייצוב!K44)</f>
        <v>1.3488867342020785E-2</v>
      </c>
      <c r="E44" s="139">
        <f>IF(ייצוב!G44="","",ייצוב!G44)</f>
        <v>1.32621243317721E-2</v>
      </c>
      <c r="F44" s="634">
        <f>'סיכום לועדה- הזנת נתונים'!G44</f>
        <v>1</v>
      </c>
      <c r="G44" s="146">
        <f t="shared" si="12"/>
        <v>0</v>
      </c>
      <c r="H44" s="432">
        <f t="shared" si="13"/>
        <v>0</v>
      </c>
      <c r="I44" s="433">
        <f t="shared" si="14"/>
        <v>1.3488867342020785E-2</v>
      </c>
      <c r="J44" s="433">
        <f t="shared" si="0"/>
        <v>1.3488635070275506E-2</v>
      </c>
      <c r="K44" s="434">
        <f t="shared" si="15"/>
        <v>0</v>
      </c>
      <c r="L44" s="434">
        <f t="shared" si="16"/>
        <v>0</v>
      </c>
      <c r="M44" s="435">
        <f t="shared" si="17"/>
        <v>1.3488867342020785E-2</v>
      </c>
      <c r="N44" s="435">
        <f t="shared" si="1"/>
        <v>1.3488636574496608E-2</v>
      </c>
      <c r="O44" s="434">
        <f t="shared" si="18"/>
        <v>0</v>
      </c>
      <c r="P44" s="434">
        <f t="shared" si="19"/>
        <v>0</v>
      </c>
      <c r="Q44" s="435">
        <f t="shared" si="20"/>
        <v>1.3488867342020785E-2</v>
      </c>
      <c r="R44" s="435">
        <f t="shared" si="2"/>
        <v>1.3488635070275506E-2</v>
      </c>
      <c r="S44" s="434">
        <f t="shared" si="21"/>
        <v>0</v>
      </c>
      <c r="T44" s="434">
        <f t="shared" si="22"/>
        <v>0</v>
      </c>
      <c r="U44" s="435">
        <f t="shared" si="23"/>
        <v>1.3488635070275506E-2</v>
      </c>
      <c r="V44" s="435">
        <f t="shared" si="3"/>
        <v>1.3488635070275503E-2</v>
      </c>
      <c r="W44" s="434">
        <f t="shared" si="24"/>
        <v>0</v>
      </c>
      <c r="X44" s="434">
        <f t="shared" si="25"/>
        <v>0</v>
      </c>
      <c r="Y44" s="435">
        <f t="shared" si="26"/>
        <v>1.3488635070275503E-2</v>
      </c>
      <c r="Z44" s="435">
        <f t="shared" si="4"/>
        <v>1.3488635070275503E-2</v>
      </c>
      <c r="AA44" s="434">
        <f t="shared" si="27"/>
        <v>0</v>
      </c>
      <c r="AB44" s="434">
        <f t="shared" si="28"/>
        <v>0</v>
      </c>
      <c r="AC44" s="435">
        <f t="shared" si="29"/>
        <v>1.3488635070275503E-2</v>
      </c>
      <c r="AD44" s="435">
        <f t="shared" si="5"/>
        <v>1.3488635070275503E-2</v>
      </c>
      <c r="AE44" s="434">
        <f t="shared" si="30"/>
        <v>0</v>
      </c>
      <c r="AF44" s="434">
        <f t="shared" si="31"/>
        <v>0</v>
      </c>
      <c r="AG44" s="435">
        <f t="shared" si="32"/>
        <v>1.3488635070275503E-2</v>
      </c>
      <c r="AH44" s="435">
        <f t="shared" si="6"/>
        <v>1.3488635070275503E-2</v>
      </c>
      <c r="AI44" s="434">
        <f t="shared" si="33"/>
        <v>0</v>
      </c>
      <c r="AJ44" s="434">
        <f t="shared" si="34"/>
        <v>0</v>
      </c>
      <c r="AK44" s="435">
        <f t="shared" si="35"/>
        <v>1.3488635070275503E-2</v>
      </c>
      <c r="AL44" s="435">
        <f t="shared" si="7"/>
        <v>1.3488635070275503E-2</v>
      </c>
      <c r="AM44" s="434">
        <f t="shared" si="36"/>
        <v>0</v>
      </c>
      <c r="AN44" s="434">
        <f t="shared" si="37"/>
        <v>0</v>
      </c>
      <c r="AO44" s="435">
        <f t="shared" si="38"/>
        <v>1.3488635070275503E-2</v>
      </c>
      <c r="AP44" s="435">
        <f t="shared" si="8"/>
        <v>1.3488635070275503E-2</v>
      </c>
      <c r="AQ44" s="434">
        <f t="shared" si="39"/>
        <v>0</v>
      </c>
      <c r="AR44" s="434">
        <f t="shared" si="40"/>
        <v>0</v>
      </c>
      <c r="AS44" s="435">
        <f t="shared" si="41"/>
        <v>1.3488635070275503E-2</v>
      </c>
      <c r="AT44" s="435">
        <f t="shared" si="9"/>
        <v>1.3488635070275501E-2</v>
      </c>
      <c r="AU44" s="436">
        <f t="shared" si="10"/>
        <v>1.3488635070275505E-2</v>
      </c>
      <c r="AV44" s="151">
        <f t="shared" si="42"/>
        <v>109025.45395516032</v>
      </c>
      <c r="BA44" s="18">
        <f t="shared" si="43"/>
        <v>0</v>
      </c>
      <c r="BB44" s="18">
        <f t="shared" si="43"/>
        <v>1</v>
      </c>
      <c r="BD44" s="630">
        <f t="shared" si="44"/>
        <v>1</v>
      </c>
    </row>
    <row r="45" spans="2:56" x14ac:dyDescent="0.25">
      <c r="B45" s="73">
        <f t="shared" si="11"/>
        <v>25</v>
      </c>
      <c r="C45" s="424" t="str">
        <f>ייצוב!C45</f>
        <v>הלל קוגן</v>
      </c>
      <c r="D45" s="139">
        <f>IF(ייצוב!K45="","",ייצוב!K45)</f>
        <v>1.3943781208184168E-2</v>
      </c>
      <c r="E45" s="139">
        <f>IF(ייצוב!G45="","",ייצוב!G45)</f>
        <v>1.1144677791984144E-2</v>
      </c>
      <c r="F45" s="634">
        <f>'סיכום לועדה- הזנת נתונים'!G45</f>
        <v>0</v>
      </c>
      <c r="G45" s="146">
        <f t="shared" si="12"/>
        <v>0</v>
      </c>
      <c r="H45" s="432">
        <f t="shared" si="13"/>
        <v>0</v>
      </c>
      <c r="I45" s="433">
        <f t="shared" si="14"/>
        <v>1.3943781208184168E-2</v>
      </c>
      <c r="J45" s="433">
        <f t="shared" si="0"/>
        <v>1.3943541103043028E-2</v>
      </c>
      <c r="K45" s="434">
        <f t="shared" si="15"/>
        <v>0</v>
      </c>
      <c r="L45" s="434">
        <f t="shared" si="16"/>
        <v>0</v>
      </c>
      <c r="M45" s="435">
        <f t="shared" si="17"/>
        <v>1.3943781208184168E-2</v>
      </c>
      <c r="N45" s="435">
        <f t="shared" si="1"/>
        <v>1.3943542657994187E-2</v>
      </c>
      <c r="O45" s="434">
        <f t="shared" si="18"/>
        <v>0</v>
      </c>
      <c r="P45" s="434">
        <f t="shared" si="19"/>
        <v>0</v>
      </c>
      <c r="Q45" s="435">
        <f t="shared" si="20"/>
        <v>1.3943781208184168E-2</v>
      </c>
      <c r="R45" s="435">
        <f t="shared" si="2"/>
        <v>1.3943541103043028E-2</v>
      </c>
      <c r="S45" s="434">
        <f t="shared" si="21"/>
        <v>0</v>
      </c>
      <c r="T45" s="434">
        <f t="shared" si="22"/>
        <v>0</v>
      </c>
      <c r="U45" s="435">
        <f t="shared" si="23"/>
        <v>1.3943541103043028E-2</v>
      </c>
      <c r="V45" s="435">
        <f t="shared" si="3"/>
        <v>1.3943541103043024E-2</v>
      </c>
      <c r="W45" s="434">
        <f t="shared" si="24"/>
        <v>0</v>
      </c>
      <c r="X45" s="434">
        <f t="shared" si="25"/>
        <v>0</v>
      </c>
      <c r="Y45" s="435">
        <f t="shared" si="26"/>
        <v>1.3943541103043024E-2</v>
      </c>
      <c r="Z45" s="435">
        <f t="shared" si="4"/>
        <v>1.3943541103043024E-2</v>
      </c>
      <c r="AA45" s="434">
        <f t="shared" si="27"/>
        <v>0</v>
      </c>
      <c r="AB45" s="434">
        <f t="shared" si="28"/>
        <v>0</v>
      </c>
      <c r="AC45" s="435">
        <f t="shared" si="29"/>
        <v>1.3943541103043024E-2</v>
      </c>
      <c r="AD45" s="435">
        <f t="shared" si="5"/>
        <v>1.3943541103043024E-2</v>
      </c>
      <c r="AE45" s="434">
        <f t="shared" si="30"/>
        <v>0</v>
      </c>
      <c r="AF45" s="434">
        <f t="shared" si="31"/>
        <v>0</v>
      </c>
      <c r="AG45" s="435">
        <f t="shared" si="32"/>
        <v>1.3943541103043024E-2</v>
      </c>
      <c r="AH45" s="435">
        <f t="shared" si="6"/>
        <v>1.3943541103043024E-2</v>
      </c>
      <c r="AI45" s="434">
        <f t="shared" si="33"/>
        <v>0</v>
      </c>
      <c r="AJ45" s="434">
        <f t="shared" si="34"/>
        <v>0</v>
      </c>
      <c r="AK45" s="435">
        <f t="shared" si="35"/>
        <v>1.3943541103043024E-2</v>
      </c>
      <c r="AL45" s="435">
        <f t="shared" si="7"/>
        <v>1.3943541103043024E-2</v>
      </c>
      <c r="AM45" s="434">
        <f t="shared" si="36"/>
        <v>0</v>
      </c>
      <c r="AN45" s="434">
        <f t="shared" si="37"/>
        <v>0</v>
      </c>
      <c r="AO45" s="435">
        <f t="shared" si="38"/>
        <v>1.3943541103043024E-2</v>
      </c>
      <c r="AP45" s="435">
        <f t="shared" si="8"/>
        <v>1.3943541103043024E-2</v>
      </c>
      <c r="AQ45" s="434">
        <f t="shared" si="39"/>
        <v>0</v>
      </c>
      <c r="AR45" s="434">
        <f t="shared" si="40"/>
        <v>0</v>
      </c>
      <c r="AS45" s="435">
        <f t="shared" si="41"/>
        <v>1.3943541103043024E-2</v>
      </c>
      <c r="AT45" s="435">
        <f t="shared" si="9"/>
        <v>1.3943541103043022E-2</v>
      </c>
      <c r="AU45" s="436">
        <f t="shared" si="10"/>
        <v>1.3943541103043026E-2</v>
      </c>
      <c r="AV45" s="151">
        <f t="shared" si="42"/>
        <v>112702.35206019646</v>
      </c>
      <c r="BA45" s="18">
        <f t="shared" si="43"/>
        <v>0</v>
      </c>
      <c r="BB45" s="18">
        <f t="shared" si="43"/>
        <v>1</v>
      </c>
      <c r="BD45" s="630">
        <f t="shared" si="44"/>
        <v>1</v>
      </c>
    </row>
    <row r="46" spans="2:56" x14ac:dyDescent="0.25">
      <c r="B46" s="73">
        <f t="shared" si="11"/>
        <v>26</v>
      </c>
      <c r="C46" s="424" t="str">
        <f>ייצוב!C46</f>
        <v>אנאבל דביר</v>
      </c>
      <c r="D46" s="139">
        <f>IF(ייצוב!K46="","",ייצוב!K46)</f>
        <v>1.4473134545396883E-2</v>
      </c>
      <c r="E46" s="139">
        <f>IF(ייצוב!G46="","",ייצוב!G46)</f>
        <v>1.2963667463343662E-2</v>
      </c>
      <c r="F46" s="634">
        <f>'סיכום לועדה- הזנת נתונים'!G46</f>
        <v>1</v>
      </c>
      <c r="G46" s="146">
        <f t="shared" si="12"/>
        <v>0</v>
      </c>
      <c r="H46" s="432">
        <f t="shared" si="13"/>
        <v>0</v>
      </c>
      <c r="I46" s="433">
        <f t="shared" si="14"/>
        <v>1.4473134545396883E-2</v>
      </c>
      <c r="J46" s="433">
        <f t="shared" si="0"/>
        <v>1.4472885325048335E-2</v>
      </c>
      <c r="K46" s="434">
        <f t="shared" si="15"/>
        <v>0</v>
      </c>
      <c r="L46" s="434">
        <f t="shared" si="16"/>
        <v>0</v>
      </c>
      <c r="M46" s="435">
        <f t="shared" si="17"/>
        <v>1.4473134545396883E-2</v>
      </c>
      <c r="N46" s="435">
        <f t="shared" si="1"/>
        <v>1.4472886939030727E-2</v>
      </c>
      <c r="O46" s="434">
        <f t="shared" si="18"/>
        <v>0</v>
      </c>
      <c r="P46" s="434">
        <f t="shared" si="19"/>
        <v>0</v>
      </c>
      <c r="Q46" s="435">
        <f t="shared" si="20"/>
        <v>1.4473134545396883E-2</v>
      </c>
      <c r="R46" s="435">
        <f t="shared" si="2"/>
        <v>1.4472885325048335E-2</v>
      </c>
      <c r="S46" s="434">
        <f t="shared" si="21"/>
        <v>0</v>
      </c>
      <c r="T46" s="434">
        <f t="shared" si="22"/>
        <v>0</v>
      </c>
      <c r="U46" s="435">
        <f t="shared" si="23"/>
        <v>1.4472885325048335E-2</v>
      </c>
      <c r="V46" s="435">
        <f t="shared" si="3"/>
        <v>1.4472885325048332E-2</v>
      </c>
      <c r="W46" s="434">
        <f t="shared" si="24"/>
        <v>0</v>
      </c>
      <c r="X46" s="434">
        <f t="shared" si="25"/>
        <v>0</v>
      </c>
      <c r="Y46" s="435">
        <f t="shared" si="26"/>
        <v>1.4472885325048332E-2</v>
      </c>
      <c r="Z46" s="435">
        <f t="shared" si="4"/>
        <v>1.4472885325048332E-2</v>
      </c>
      <c r="AA46" s="434">
        <f t="shared" si="27"/>
        <v>0</v>
      </c>
      <c r="AB46" s="434">
        <f t="shared" si="28"/>
        <v>0</v>
      </c>
      <c r="AC46" s="435">
        <f t="shared" si="29"/>
        <v>1.4472885325048332E-2</v>
      </c>
      <c r="AD46" s="435">
        <f t="shared" si="5"/>
        <v>1.4472885325048332E-2</v>
      </c>
      <c r="AE46" s="434">
        <f t="shared" si="30"/>
        <v>0</v>
      </c>
      <c r="AF46" s="434">
        <f t="shared" si="31"/>
        <v>0</v>
      </c>
      <c r="AG46" s="435">
        <f t="shared" si="32"/>
        <v>1.4472885325048332E-2</v>
      </c>
      <c r="AH46" s="435">
        <f t="shared" si="6"/>
        <v>1.4472885325048332E-2</v>
      </c>
      <c r="AI46" s="434">
        <f t="shared" si="33"/>
        <v>0</v>
      </c>
      <c r="AJ46" s="434">
        <f t="shared" si="34"/>
        <v>0</v>
      </c>
      <c r="AK46" s="435">
        <f t="shared" si="35"/>
        <v>1.4472885325048332E-2</v>
      </c>
      <c r="AL46" s="435">
        <f t="shared" si="7"/>
        <v>1.4472885325048332E-2</v>
      </c>
      <c r="AM46" s="434">
        <f t="shared" si="36"/>
        <v>0</v>
      </c>
      <c r="AN46" s="434">
        <f t="shared" si="37"/>
        <v>0</v>
      </c>
      <c r="AO46" s="435">
        <f t="shared" si="38"/>
        <v>1.4472885325048332E-2</v>
      </c>
      <c r="AP46" s="435">
        <f t="shared" si="8"/>
        <v>1.4472885325048332E-2</v>
      </c>
      <c r="AQ46" s="434">
        <f t="shared" si="39"/>
        <v>0</v>
      </c>
      <c r="AR46" s="434">
        <f t="shared" si="40"/>
        <v>0</v>
      </c>
      <c r="AS46" s="435">
        <f t="shared" si="41"/>
        <v>1.4472885325048332E-2</v>
      </c>
      <c r="AT46" s="435">
        <f t="shared" si="9"/>
        <v>1.447288532504833E-2</v>
      </c>
      <c r="AU46" s="436">
        <f t="shared" si="10"/>
        <v>1.4472885325048333E-2</v>
      </c>
      <c r="AV46" s="151">
        <f t="shared" si="42"/>
        <v>116980.91648142897</v>
      </c>
      <c r="BA46" s="18">
        <f t="shared" si="43"/>
        <v>0</v>
      </c>
      <c r="BB46" s="18">
        <f t="shared" si="43"/>
        <v>1</v>
      </c>
      <c r="BD46" s="630">
        <f t="shared" si="44"/>
        <v>1</v>
      </c>
    </row>
    <row r="47" spans="2:56" x14ac:dyDescent="0.25">
      <c r="B47" s="73">
        <f t="shared" si="11"/>
        <v>27</v>
      </c>
      <c r="C47" s="424" t="str">
        <f>ייצוב!C47</f>
        <v>יוסי ברג ועודד גרף</v>
      </c>
      <c r="D47" s="139">
        <f>IF(ייצוב!K47="","",ייצוב!K47)</f>
        <v>2.1412299943342202E-2</v>
      </c>
      <c r="E47" s="139">
        <f>IF(ייצוב!G47="","",ייצוב!G47)</f>
        <v>2.3761047590208292E-2</v>
      </c>
      <c r="F47" s="634">
        <f>'סיכום לועדה- הזנת נתונים'!G47</f>
        <v>1</v>
      </c>
      <c r="G47" s="146">
        <f t="shared" si="12"/>
        <v>0</v>
      </c>
      <c r="H47" s="432">
        <f t="shared" si="13"/>
        <v>0</v>
      </c>
      <c r="I47" s="433">
        <f t="shared" si="14"/>
        <v>2.1412299943342202E-2</v>
      </c>
      <c r="J47" s="433">
        <f t="shared" si="0"/>
        <v>2.1411931233935245E-2</v>
      </c>
      <c r="K47" s="434">
        <f t="shared" si="15"/>
        <v>0</v>
      </c>
      <c r="L47" s="434">
        <f t="shared" si="16"/>
        <v>0</v>
      </c>
      <c r="M47" s="435">
        <f t="shared" si="17"/>
        <v>2.1412299943342202E-2</v>
      </c>
      <c r="N47" s="435">
        <f t="shared" si="1"/>
        <v>2.1411933621743838E-2</v>
      </c>
      <c r="O47" s="434">
        <f t="shared" si="18"/>
        <v>0</v>
      </c>
      <c r="P47" s="434">
        <f t="shared" si="19"/>
        <v>0</v>
      </c>
      <c r="Q47" s="435">
        <f t="shared" si="20"/>
        <v>2.1412299943342202E-2</v>
      </c>
      <c r="R47" s="435">
        <f t="shared" si="2"/>
        <v>2.1411931233935245E-2</v>
      </c>
      <c r="S47" s="434">
        <f t="shared" si="21"/>
        <v>0</v>
      </c>
      <c r="T47" s="434">
        <f t="shared" si="22"/>
        <v>0</v>
      </c>
      <c r="U47" s="435">
        <f t="shared" si="23"/>
        <v>2.1411931233935245E-2</v>
      </c>
      <c r="V47" s="435">
        <f t="shared" si="3"/>
        <v>2.1411931233935241E-2</v>
      </c>
      <c r="W47" s="434">
        <f t="shared" si="24"/>
        <v>0</v>
      </c>
      <c r="X47" s="434">
        <f t="shared" si="25"/>
        <v>0</v>
      </c>
      <c r="Y47" s="435">
        <f t="shared" si="26"/>
        <v>2.1411931233935241E-2</v>
      </c>
      <c r="Z47" s="435">
        <f t="shared" si="4"/>
        <v>2.1411931233935241E-2</v>
      </c>
      <c r="AA47" s="434">
        <f t="shared" si="27"/>
        <v>0</v>
      </c>
      <c r="AB47" s="434">
        <f t="shared" si="28"/>
        <v>0</v>
      </c>
      <c r="AC47" s="435">
        <f t="shared" si="29"/>
        <v>2.1411931233935241E-2</v>
      </c>
      <c r="AD47" s="435">
        <f t="shared" si="5"/>
        <v>2.1411931233935241E-2</v>
      </c>
      <c r="AE47" s="434">
        <f t="shared" si="30"/>
        <v>0</v>
      </c>
      <c r="AF47" s="434">
        <f t="shared" si="31"/>
        <v>0</v>
      </c>
      <c r="AG47" s="435">
        <f t="shared" si="32"/>
        <v>2.1411931233935241E-2</v>
      </c>
      <c r="AH47" s="435">
        <f t="shared" si="6"/>
        <v>2.1411931233935241E-2</v>
      </c>
      <c r="AI47" s="434">
        <f t="shared" si="33"/>
        <v>0</v>
      </c>
      <c r="AJ47" s="434">
        <f t="shared" si="34"/>
        <v>0</v>
      </c>
      <c r="AK47" s="435">
        <f t="shared" si="35"/>
        <v>2.1411931233935241E-2</v>
      </c>
      <c r="AL47" s="435">
        <f t="shared" si="7"/>
        <v>2.1411931233935241E-2</v>
      </c>
      <c r="AM47" s="434">
        <f t="shared" si="36"/>
        <v>0</v>
      </c>
      <c r="AN47" s="434">
        <f t="shared" si="37"/>
        <v>0</v>
      </c>
      <c r="AO47" s="435">
        <f t="shared" si="38"/>
        <v>2.1411931233935241E-2</v>
      </c>
      <c r="AP47" s="435">
        <f t="shared" si="8"/>
        <v>2.1411931233935241E-2</v>
      </c>
      <c r="AQ47" s="434">
        <f t="shared" si="39"/>
        <v>0</v>
      </c>
      <c r="AR47" s="434">
        <f t="shared" si="40"/>
        <v>0</v>
      </c>
      <c r="AS47" s="435">
        <f t="shared" si="41"/>
        <v>2.1411931233935241E-2</v>
      </c>
      <c r="AT47" s="435">
        <f t="shared" si="9"/>
        <v>2.1411931233935241E-2</v>
      </c>
      <c r="AU47" s="436">
        <f t="shared" si="10"/>
        <v>2.1411931233935245E-2</v>
      </c>
      <c r="AV47" s="151">
        <f t="shared" si="42"/>
        <v>173067.58694812737</v>
      </c>
      <c r="BA47" s="18">
        <f t="shared" si="43"/>
        <v>0</v>
      </c>
      <c r="BB47" s="18">
        <f t="shared" si="43"/>
        <v>1</v>
      </c>
      <c r="BD47" s="630">
        <f t="shared" si="44"/>
        <v>1</v>
      </c>
    </row>
    <row r="48" spans="2:56" x14ac:dyDescent="0.25">
      <c r="B48" s="73">
        <f t="shared" si="11"/>
        <v>28</v>
      </c>
      <c r="C48" s="424" t="str">
        <f>ייצוב!C48</f>
        <v>נדין בומר</v>
      </c>
      <c r="D48" s="139">
        <f>IF(ייצוב!K48="","",ייצוב!K48)</f>
        <v>1.2865964209396419E-2</v>
      </c>
      <c r="E48" s="139">
        <f>IF(ייצוב!G48="","",ייצוב!G48)</f>
        <v>1.3588169650223334E-2</v>
      </c>
      <c r="F48" s="634">
        <f>'סיכום לועדה- הזנת נתונים'!G48</f>
        <v>1</v>
      </c>
      <c r="G48" s="146">
        <f t="shared" si="12"/>
        <v>0</v>
      </c>
      <c r="H48" s="432">
        <f t="shared" si="13"/>
        <v>0</v>
      </c>
      <c r="I48" s="433">
        <f t="shared" si="14"/>
        <v>1.2865964209396419E-2</v>
      </c>
      <c r="J48" s="433">
        <f t="shared" si="0"/>
        <v>1.2865742663740597E-2</v>
      </c>
      <c r="K48" s="434">
        <f t="shared" si="15"/>
        <v>0</v>
      </c>
      <c r="L48" s="434">
        <f t="shared" si="16"/>
        <v>0</v>
      </c>
      <c r="M48" s="435">
        <f t="shared" si="17"/>
        <v>1.2865964209396419E-2</v>
      </c>
      <c r="N48" s="435">
        <f t="shared" si="1"/>
        <v>1.2865744098498191E-2</v>
      </c>
      <c r="O48" s="434">
        <f t="shared" si="18"/>
        <v>0</v>
      </c>
      <c r="P48" s="434">
        <f t="shared" si="19"/>
        <v>0</v>
      </c>
      <c r="Q48" s="435">
        <f t="shared" si="20"/>
        <v>1.2865964209396419E-2</v>
      </c>
      <c r="R48" s="435">
        <f t="shared" si="2"/>
        <v>1.2865742663740597E-2</v>
      </c>
      <c r="S48" s="434">
        <f t="shared" si="21"/>
        <v>0</v>
      </c>
      <c r="T48" s="434">
        <f t="shared" si="22"/>
        <v>0</v>
      </c>
      <c r="U48" s="435">
        <f t="shared" si="23"/>
        <v>1.2865742663740597E-2</v>
      </c>
      <c r="V48" s="435">
        <f t="shared" si="3"/>
        <v>1.2865742663740593E-2</v>
      </c>
      <c r="W48" s="434">
        <f t="shared" si="24"/>
        <v>0</v>
      </c>
      <c r="X48" s="434">
        <f t="shared" si="25"/>
        <v>0</v>
      </c>
      <c r="Y48" s="435">
        <f t="shared" si="26"/>
        <v>1.2865742663740593E-2</v>
      </c>
      <c r="Z48" s="435">
        <f t="shared" si="4"/>
        <v>1.2865742663740593E-2</v>
      </c>
      <c r="AA48" s="434">
        <f t="shared" si="27"/>
        <v>0</v>
      </c>
      <c r="AB48" s="434">
        <f t="shared" si="28"/>
        <v>0</v>
      </c>
      <c r="AC48" s="435">
        <f t="shared" si="29"/>
        <v>1.2865742663740593E-2</v>
      </c>
      <c r="AD48" s="435">
        <f t="shared" si="5"/>
        <v>1.2865742663740593E-2</v>
      </c>
      <c r="AE48" s="434">
        <f t="shared" si="30"/>
        <v>0</v>
      </c>
      <c r="AF48" s="434">
        <f t="shared" si="31"/>
        <v>0</v>
      </c>
      <c r="AG48" s="435">
        <f t="shared" si="32"/>
        <v>1.2865742663740593E-2</v>
      </c>
      <c r="AH48" s="435">
        <f t="shared" si="6"/>
        <v>1.2865742663740593E-2</v>
      </c>
      <c r="AI48" s="434">
        <f t="shared" si="33"/>
        <v>0</v>
      </c>
      <c r="AJ48" s="434">
        <f t="shared" si="34"/>
        <v>0</v>
      </c>
      <c r="AK48" s="435">
        <f t="shared" si="35"/>
        <v>1.2865742663740593E-2</v>
      </c>
      <c r="AL48" s="435">
        <f t="shared" si="7"/>
        <v>1.2865742663740593E-2</v>
      </c>
      <c r="AM48" s="434">
        <f t="shared" si="36"/>
        <v>0</v>
      </c>
      <c r="AN48" s="434">
        <f t="shared" si="37"/>
        <v>0</v>
      </c>
      <c r="AO48" s="435">
        <f t="shared" si="38"/>
        <v>1.2865742663740593E-2</v>
      </c>
      <c r="AP48" s="435">
        <f t="shared" si="8"/>
        <v>1.2865742663740593E-2</v>
      </c>
      <c r="AQ48" s="434">
        <f t="shared" si="39"/>
        <v>0</v>
      </c>
      <c r="AR48" s="434">
        <f t="shared" si="40"/>
        <v>0</v>
      </c>
      <c r="AS48" s="435">
        <f t="shared" si="41"/>
        <v>1.2865742663740593E-2</v>
      </c>
      <c r="AT48" s="435">
        <f t="shared" si="9"/>
        <v>1.2865742663740591E-2</v>
      </c>
      <c r="AU48" s="436">
        <f t="shared" si="10"/>
        <v>1.2865742663740595E-2</v>
      </c>
      <c r="AV48" s="151">
        <f t="shared" si="42"/>
        <v>103990.76163574659</v>
      </c>
      <c r="BA48" s="18">
        <f t="shared" si="43"/>
        <v>0</v>
      </c>
      <c r="BB48" s="18">
        <f t="shared" si="43"/>
        <v>1</v>
      </c>
      <c r="BD48" s="630">
        <f t="shared" si="44"/>
        <v>1</v>
      </c>
    </row>
    <row r="49" spans="2:56" x14ac:dyDescent="0.25">
      <c r="B49" s="73">
        <f t="shared" si="11"/>
        <v>29</v>
      </c>
      <c r="C49" s="424" t="str">
        <f>ייצוב!C49</f>
        <v xml:space="preserve">להקת בלט פאנוב </v>
      </c>
      <c r="D49" s="139">
        <f>IF(ייצוב!K49="","",ייצוב!K49)</f>
        <v>3.6894237457793445E-2</v>
      </c>
      <c r="E49" s="139">
        <f>IF(ייצוב!G49="","",ייצוב!G49)</f>
        <v>4.1375678920074543E-2</v>
      </c>
      <c r="F49" s="634">
        <f>'סיכום לועדה- הזנת נתונים'!G49</f>
        <v>0</v>
      </c>
      <c r="G49" s="146">
        <f t="shared" si="12"/>
        <v>0</v>
      </c>
      <c r="H49" s="432">
        <f t="shared" si="13"/>
        <v>0</v>
      </c>
      <c r="I49" s="433">
        <f t="shared" si="14"/>
        <v>3.6894237457793445E-2</v>
      </c>
      <c r="J49" s="433">
        <f t="shared" si="0"/>
        <v>3.6893602156940701E-2</v>
      </c>
      <c r="K49" s="434">
        <f t="shared" si="15"/>
        <v>0</v>
      </c>
      <c r="L49" s="434">
        <f t="shared" si="16"/>
        <v>0</v>
      </c>
      <c r="M49" s="435">
        <f t="shared" si="17"/>
        <v>3.6894237457793445E-2</v>
      </c>
      <c r="N49" s="435">
        <f t="shared" si="1"/>
        <v>3.6893606271229097E-2</v>
      </c>
      <c r="O49" s="434">
        <f t="shared" si="18"/>
        <v>0</v>
      </c>
      <c r="P49" s="434">
        <f t="shared" si="19"/>
        <v>0</v>
      </c>
      <c r="Q49" s="435">
        <f t="shared" si="20"/>
        <v>3.6894237457793445E-2</v>
      </c>
      <c r="R49" s="435">
        <f t="shared" si="2"/>
        <v>3.6893602156940701E-2</v>
      </c>
      <c r="S49" s="434">
        <f t="shared" si="21"/>
        <v>0</v>
      </c>
      <c r="T49" s="434">
        <f t="shared" si="22"/>
        <v>0</v>
      </c>
      <c r="U49" s="435">
        <f t="shared" si="23"/>
        <v>3.6893602156940701E-2</v>
      </c>
      <c r="V49" s="435">
        <f t="shared" si="3"/>
        <v>3.6893602156940694E-2</v>
      </c>
      <c r="W49" s="434">
        <f t="shared" si="24"/>
        <v>0</v>
      </c>
      <c r="X49" s="434">
        <f t="shared" si="25"/>
        <v>0</v>
      </c>
      <c r="Y49" s="435">
        <f t="shared" si="26"/>
        <v>3.6893602156940694E-2</v>
      </c>
      <c r="Z49" s="435">
        <f t="shared" si="4"/>
        <v>3.6893602156940694E-2</v>
      </c>
      <c r="AA49" s="434">
        <f t="shared" si="27"/>
        <v>0</v>
      </c>
      <c r="AB49" s="434">
        <f t="shared" si="28"/>
        <v>0</v>
      </c>
      <c r="AC49" s="435">
        <f t="shared" si="29"/>
        <v>3.6893602156940694E-2</v>
      </c>
      <c r="AD49" s="435">
        <f t="shared" si="5"/>
        <v>3.6893602156940694E-2</v>
      </c>
      <c r="AE49" s="434">
        <f t="shared" si="30"/>
        <v>0</v>
      </c>
      <c r="AF49" s="434">
        <f t="shared" si="31"/>
        <v>0</v>
      </c>
      <c r="AG49" s="435">
        <f t="shared" si="32"/>
        <v>3.6893602156940694E-2</v>
      </c>
      <c r="AH49" s="435">
        <f t="shared" si="6"/>
        <v>3.6893602156940694E-2</v>
      </c>
      <c r="AI49" s="434">
        <f t="shared" si="33"/>
        <v>0</v>
      </c>
      <c r="AJ49" s="434">
        <f t="shared" si="34"/>
        <v>0</v>
      </c>
      <c r="AK49" s="435">
        <f t="shared" si="35"/>
        <v>3.6893602156940694E-2</v>
      </c>
      <c r="AL49" s="435">
        <f t="shared" si="7"/>
        <v>3.6893602156940694E-2</v>
      </c>
      <c r="AM49" s="434">
        <f t="shared" si="36"/>
        <v>0</v>
      </c>
      <c r="AN49" s="434">
        <f t="shared" si="37"/>
        <v>0</v>
      </c>
      <c r="AO49" s="435">
        <f t="shared" si="38"/>
        <v>3.6893602156940694E-2</v>
      </c>
      <c r="AP49" s="435">
        <f t="shared" si="8"/>
        <v>3.6893602156940694E-2</v>
      </c>
      <c r="AQ49" s="434">
        <f t="shared" si="39"/>
        <v>0</v>
      </c>
      <c r="AR49" s="434">
        <f t="shared" si="40"/>
        <v>0</v>
      </c>
      <c r="AS49" s="435">
        <f t="shared" si="41"/>
        <v>3.6893602156940694E-2</v>
      </c>
      <c r="AT49" s="435">
        <f t="shared" si="9"/>
        <v>3.6893602156940694E-2</v>
      </c>
      <c r="AU49" s="436">
        <f t="shared" si="10"/>
        <v>3.6893602156940701E-2</v>
      </c>
      <c r="AV49" s="151">
        <f t="shared" si="42"/>
        <v>298202.27934444265</v>
      </c>
      <c r="BA49" s="18">
        <f t="shared" si="43"/>
        <v>0</v>
      </c>
      <c r="BB49" s="18">
        <f t="shared" si="43"/>
        <v>1</v>
      </c>
      <c r="BD49" s="630">
        <f t="shared" si="44"/>
        <v>1</v>
      </c>
    </row>
    <row r="50" spans="2:56" x14ac:dyDescent="0.25">
      <c r="B50" s="73" t="str">
        <f t="shared" si="11"/>
        <v/>
      </c>
      <c r="C50" s="424" t="str">
        <f>ייצוב!C50</f>
        <v/>
      </c>
      <c r="D50" s="139" t="str">
        <f>IF(ייצוב!K50="","",ייצוב!K50)</f>
        <v/>
      </c>
      <c r="E50" s="139" t="str">
        <f>IF(ייצוב!G50="","",ייצוב!G50)</f>
        <v/>
      </c>
      <c r="F50" s="634" t="str">
        <f>'סיכום לועדה- הזנת נתונים'!G50</f>
        <v/>
      </c>
      <c r="G50" s="146" t="str">
        <f t="shared" si="12"/>
        <v/>
      </c>
      <c r="H50" s="432" t="str">
        <f t="shared" si="13"/>
        <v/>
      </c>
      <c r="I50" s="433" t="str">
        <f t="shared" si="14"/>
        <v/>
      </c>
      <c r="J50" s="433" t="str">
        <f t="shared" si="0"/>
        <v/>
      </c>
      <c r="K50" s="434" t="str">
        <f t="shared" si="15"/>
        <v/>
      </c>
      <c r="L50" s="434" t="str">
        <f t="shared" si="16"/>
        <v/>
      </c>
      <c r="M50" s="435" t="str">
        <f t="shared" si="17"/>
        <v/>
      </c>
      <c r="N50" s="435" t="str">
        <f t="shared" si="1"/>
        <v/>
      </c>
      <c r="O50" s="434" t="str">
        <f t="shared" si="18"/>
        <v/>
      </c>
      <c r="P50" s="434" t="str">
        <f t="shared" si="19"/>
        <v/>
      </c>
      <c r="Q50" s="435" t="str">
        <f t="shared" si="20"/>
        <v/>
      </c>
      <c r="R50" s="435" t="str">
        <f t="shared" si="2"/>
        <v/>
      </c>
      <c r="S50" s="434" t="str">
        <f t="shared" si="21"/>
        <v/>
      </c>
      <c r="T50" s="434" t="str">
        <f t="shared" si="22"/>
        <v/>
      </c>
      <c r="U50" s="435" t="str">
        <f t="shared" si="23"/>
        <v/>
      </c>
      <c r="V50" s="435" t="str">
        <f t="shared" si="3"/>
        <v/>
      </c>
      <c r="W50" s="434" t="str">
        <f t="shared" si="24"/>
        <v/>
      </c>
      <c r="X50" s="434" t="str">
        <f t="shared" si="25"/>
        <v/>
      </c>
      <c r="Y50" s="435" t="str">
        <f t="shared" si="26"/>
        <v/>
      </c>
      <c r="Z50" s="435" t="str">
        <f t="shared" si="4"/>
        <v/>
      </c>
      <c r="AA50" s="434" t="str">
        <f t="shared" si="27"/>
        <v/>
      </c>
      <c r="AB50" s="434" t="str">
        <f t="shared" si="28"/>
        <v/>
      </c>
      <c r="AC50" s="435" t="str">
        <f t="shared" si="29"/>
        <v/>
      </c>
      <c r="AD50" s="435" t="str">
        <f t="shared" si="5"/>
        <v/>
      </c>
      <c r="AE50" s="434" t="str">
        <f t="shared" si="30"/>
        <v/>
      </c>
      <c r="AF50" s="434" t="str">
        <f t="shared" si="31"/>
        <v/>
      </c>
      <c r="AG50" s="435" t="str">
        <f t="shared" si="32"/>
        <v/>
      </c>
      <c r="AH50" s="435" t="str">
        <f t="shared" si="6"/>
        <v/>
      </c>
      <c r="AI50" s="434" t="str">
        <f t="shared" si="33"/>
        <v/>
      </c>
      <c r="AJ50" s="434" t="str">
        <f t="shared" si="34"/>
        <v/>
      </c>
      <c r="AK50" s="435" t="str">
        <f t="shared" si="35"/>
        <v/>
      </c>
      <c r="AL50" s="435" t="str">
        <f t="shared" si="7"/>
        <v/>
      </c>
      <c r="AM50" s="434" t="str">
        <f t="shared" si="36"/>
        <v/>
      </c>
      <c r="AN50" s="434" t="str">
        <f t="shared" si="37"/>
        <v/>
      </c>
      <c r="AO50" s="435" t="str">
        <f t="shared" si="38"/>
        <v/>
      </c>
      <c r="AP50" s="435" t="str">
        <f t="shared" si="8"/>
        <v/>
      </c>
      <c r="AQ50" s="434" t="str">
        <f t="shared" si="39"/>
        <v/>
      </c>
      <c r="AR50" s="434" t="str">
        <f t="shared" si="40"/>
        <v/>
      </c>
      <c r="AS50" s="435" t="str">
        <f t="shared" si="41"/>
        <v/>
      </c>
      <c r="AT50" s="435" t="str">
        <f t="shared" si="9"/>
        <v/>
      </c>
      <c r="AU50" s="436" t="str">
        <f t="shared" si="10"/>
        <v/>
      </c>
      <c r="AV50" s="151" t="str">
        <f t="shared" si="42"/>
        <v/>
      </c>
      <c r="BA50" s="18" t="str">
        <f t="shared" si="43"/>
        <v/>
      </c>
      <c r="BB50" s="18" t="str">
        <f t="shared" si="43"/>
        <v/>
      </c>
      <c r="BD50" s="630">
        <f t="shared" si="44"/>
        <v>0</v>
      </c>
    </row>
    <row r="51" spans="2:56" x14ac:dyDescent="0.25">
      <c r="B51" s="73" t="str">
        <f t="shared" si="11"/>
        <v/>
      </c>
      <c r="C51" s="424" t="str">
        <f>ייצוב!C51</f>
        <v/>
      </c>
      <c r="D51" s="139" t="str">
        <f>IF(ייצוב!K51="","",ייצוב!K51)</f>
        <v/>
      </c>
      <c r="E51" s="139" t="str">
        <f>IF(ייצוב!G51="","",ייצוב!G51)</f>
        <v/>
      </c>
      <c r="F51" s="634" t="str">
        <f>'סיכום לועדה- הזנת נתונים'!G51</f>
        <v/>
      </c>
      <c r="G51" s="146" t="str">
        <f t="shared" si="12"/>
        <v/>
      </c>
      <c r="H51" s="432" t="str">
        <f t="shared" si="13"/>
        <v/>
      </c>
      <c r="I51" s="433" t="str">
        <f t="shared" si="14"/>
        <v/>
      </c>
      <c r="J51" s="433" t="str">
        <f t="shared" si="0"/>
        <v/>
      </c>
      <c r="K51" s="434" t="str">
        <f t="shared" si="15"/>
        <v/>
      </c>
      <c r="L51" s="434" t="str">
        <f t="shared" si="16"/>
        <v/>
      </c>
      <c r="M51" s="435" t="str">
        <f t="shared" si="17"/>
        <v/>
      </c>
      <c r="N51" s="435" t="str">
        <f t="shared" si="1"/>
        <v/>
      </c>
      <c r="O51" s="434" t="str">
        <f t="shared" si="18"/>
        <v/>
      </c>
      <c r="P51" s="434" t="str">
        <f t="shared" si="19"/>
        <v/>
      </c>
      <c r="Q51" s="435" t="str">
        <f t="shared" si="20"/>
        <v/>
      </c>
      <c r="R51" s="435" t="str">
        <f t="shared" si="2"/>
        <v/>
      </c>
      <c r="S51" s="434" t="str">
        <f t="shared" si="21"/>
        <v/>
      </c>
      <c r="T51" s="434" t="str">
        <f t="shared" si="22"/>
        <v/>
      </c>
      <c r="U51" s="435" t="str">
        <f t="shared" si="23"/>
        <v/>
      </c>
      <c r="V51" s="435" t="str">
        <f t="shared" si="3"/>
        <v/>
      </c>
      <c r="W51" s="434" t="str">
        <f t="shared" si="24"/>
        <v/>
      </c>
      <c r="X51" s="434" t="str">
        <f t="shared" si="25"/>
        <v/>
      </c>
      <c r="Y51" s="435" t="str">
        <f t="shared" si="26"/>
        <v/>
      </c>
      <c r="Z51" s="435" t="str">
        <f t="shared" si="4"/>
        <v/>
      </c>
      <c r="AA51" s="434" t="str">
        <f t="shared" si="27"/>
        <v/>
      </c>
      <c r="AB51" s="434" t="str">
        <f t="shared" si="28"/>
        <v/>
      </c>
      <c r="AC51" s="435" t="str">
        <f t="shared" si="29"/>
        <v/>
      </c>
      <c r="AD51" s="435" t="str">
        <f t="shared" si="5"/>
        <v/>
      </c>
      <c r="AE51" s="434" t="str">
        <f t="shared" si="30"/>
        <v/>
      </c>
      <c r="AF51" s="434" t="str">
        <f t="shared" si="31"/>
        <v/>
      </c>
      <c r="AG51" s="435" t="str">
        <f t="shared" si="32"/>
        <v/>
      </c>
      <c r="AH51" s="435" t="str">
        <f t="shared" si="6"/>
        <v/>
      </c>
      <c r="AI51" s="434" t="str">
        <f t="shared" si="33"/>
        <v/>
      </c>
      <c r="AJ51" s="434" t="str">
        <f t="shared" si="34"/>
        <v/>
      </c>
      <c r="AK51" s="435" t="str">
        <f t="shared" si="35"/>
        <v/>
      </c>
      <c r="AL51" s="435" t="str">
        <f t="shared" si="7"/>
        <v/>
      </c>
      <c r="AM51" s="434" t="str">
        <f t="shared" si="36"/>
        <v/>
      </c>
      <c r="AN51" s="434" t="str">
        <f t="shared" si="37"/>
        <v/>
      </c>
      <c r="AO51" s="435" t="str">
        <f t="shared" si="38"/>
        <v/>
      </c>
      <c r="AP51" s="435" t="str">
        <f t="shared" si="8"/>
        <v/>
      </c>
      <c r="AQ51" s="434" t="str">
        <f t="shared" si="39"/>
        <v/>
      </c>
      <c r="AR51" s="434" t="str">
        <f t="shared" si="40"/>
        <v/>
      </c>
      <c r="AS51" s="435" t="str">
        <f t="shared" si="41"/>
        <v/>
      </c>
      <c r="AT51" s="435" t="str">
        <f t="shared" si="9"/>
        <v/>
      </c>
      <c r="AU51" s="436" t="str">
        <f t="shared" si="10"/>
        <v/>
      </c>
      <c r="AV51" s="151" t="str">
        <f t="shared" si="42"/>
        <v/>
      </c>
      <c r="BA51" s="18" t="str">
        <f t="shared" si="43"/>
        <v/>
      </c>
      <c r="BB51" s="18" t="str">
        <f t="shared" si="43"/>
        <v/>
      </c>
      <c r="BD51" s="630">
        <f t="shared" si="44"/>
        <v>0</v>
      </c>
    </row>
    <row r="52" spans="2:56" x14ac:dyDescent="0.25">
      <c r="B52" s="73">
        <f t="shared" si="11"/>
        <v>32</v>
      </c>
      <c r="C52" s="424" t="str">
        <f>ייצוב!C52</f>
        <v>מיכל סממה</v>
      </c>
      <c r="D52" s="139">
        <f>IF(ייצוב!K52="","",ייצוב!K52)</f>
        <v>7.0846346837837061E-3</v>
      </c>
      <c r="E52" s="139">
        <f>IF(ייצוב!G52="","",ייצוב!G52)</f>
        <v>7.4656457796139566E-3</v>
      </c>
      <c r="F52" s="634">
        <f>'סיכום לועדה- הזנת נתונים'!G52</f>
        <v>1</v>
      </c>
      <c r="G52" s="146">
        <f t="shared" si="12"/>
        <v>0</v>
      </c>
      <c r="H52" s="432">
        <f t="shared" si="13"/>
        <v>0</v>
      </c>
      <c r="I52" s="433">
        <f t="shared" si="14"/>
        <v>7.0846346837837061E-3</v>
      </c>
      <c r="J52" s="433">
        <f t="shared" si="0"/>
        <v>7.0845126898148331E-3</v>
      </c>
      <c r="K52" s="434">
        <f t="shared" si="15"/>
        <v>0</v>
      </c>
      <c r="L52" s="434">
        <f t="shared" si="16"/>
        <v>0</v>
      </c>
      <c r="M52" s="435">
        <f t="shared" si="17"/>
        <v>7.0846346837837061E-3</v>
      </c>
      <c r="N52" s="435">
        <f t="shared" si="1"/>
        <v>7.0845134798631533E-3</v>
      </c>
      <c r="O52" s="434">
        <f t="shared" si="18"/>
        <v>0</v>
      </c>
      <c r="P52" s="434">
        <f t="shared" si="19"/>
        <v>0</v>
      </c>
      <c r="Q52" s="435">
        <f t="shared" si="20"/>
        <v>7.0846346837837061E-3</v>
      </c>
      <c r="R52" s="435">
        <f t="shared" si="2"/>
        <v>7.0845126898148331E-3</v>
      </c>
      <c r="S52" s="434">
        <f t="shared" si="21"/>
        <v>0</v>
      </c>
      <c r="T52" s="434">
        <f t="shared" si="22"/>
        <v>0</v>
      </c>
      <c r="U52" s="435">
        <f t="shared" si="23"/>
        <v>7.0845126898148331E-3</v>
      </c>
      <c r="V52" s="435">
        <f t="shared" si="3"/>
        <v>7.0845126898148314E-3</v>
      </c>
      <c r="W52" s="434">
        <f t="shared" si="24"/>
        <v>0</v>
      </c>
      <c r="X52" s="434">
        <f t="shared" si="25"/>
        <v>0</v>
      </c>
      <c r="Y52" s="435">
        <f t="shared" si="26"/>
        <v>7.0845126898148314E-3</v>
      </c>
      <c r="Z52" s="435">
        <f t="shared" si="4"/>
        <v>7.0845126898148314E-3</v>
      </c>
      <c r="AA52" s="434">
        <f t="shared" si="27"/>
        <v>0</v>
      </c>
      <c r="AB52" s="434">
        <f t="shared" si="28"/>
        <v>0</v>
      </c>
      <c r="AC52" s="435">
        <f t="shared" si="29"/>
        <v>7.0845126898148314E-3</v>
      </c>
      <c r="AD52" s="435">
        <f t="shared" si="5"/>
        <v>7.0845126898148314E-3</v>
      </c>
      <c r="AE52" s="434">
        <f t="shared" si="30"/>
        <v>0</v>
      </c>
      <c r="AF52" s="434">
        <f t="shared" si="31"/>
        <v>0</v>
      </c>
      <c r="AG52" s="435">
        <f t="shared" si="32"/>
        <v>7.0845126898148314E-3</v>
      </c>
      <c r="AH52" s="435">
        <f t="shared" si="6"/>
        <v>7.0845126898148314E-3</v>
      </c>
      <c r="AI52" s="434">
        <f t="shared" si="33"/>
        <v>0</v>
      </c>
      <c r="AJ52" s="434">
        <f t="shared" si="34"/>
        <v>0</v>
      </c>
      <c r="AK52" s="435">
        <f t="shared" si="35"/>
        <v>7.0845126898148314E-3</v>
      </c>
      <c r="AL52" s="435">
        <f t="shared" si="7"/>
        <v>7.0845126898148314E-3</v>
      </c>
      <c r="AM52" s="434">
        <f t="shared" si="36"/>
        <v>0</v>
      </c>
      <c r="AN52" s="434">
        <f t="shared" si="37"/>
        <v>0</v>
      </c>
      <c r="AO52" s="435">
        <f t="shared" si="38"/>
        <v>7.0845126898148314E-3</v>
      </c>
      <c r="AP52" s="435">
        <f t="shared" si="8"/>
        <v>7.0845126898148314E-3</v>
      </c>
      <c r="AQ52" s="434">
        <f t="shared" si="39"/>
        <v>0</v>
      </c>
      <c r="AR52" s="434">
        <f t="shared" si="40"/>
        <v>0</v>
      </c>
      <c r="AS52" s="435">
        <f t="shared" si="41"/>
        <v>7.0845126898148314E-3</v>
      </c>
      <c r="AT52" s="435">
        <f t="shared" si="9"/>
        <v>7.0845126898148305E-3</v>
      </c>
      <c r="AU52" s="436">
        <f t="shared" si="10"/>
        <v>7.0845126898148323E-3</v>
      </c>
      <c r="AV52" s="151">
        <f t="shared" si="42"/>
        <v>57262.444126778493</v>
      </c>
      <c r="BA52" s="18">
        <f t="shared" si="43"/>
        <v>0</v>
      </c>
      <c r="BB52" s="18">
        <f t="shared" si="43"/>
        <v>1</v>
      </c>
      <c r="BD52" s="630">
        <f t="shared" si="44"/>
        <v>1</v>
      </c>
    </row>
    <row r="53" spans="2:56" x14ac:dyDescent="0.25">
      <c r="B53" s="73">
        <f t="shared" si="11"/>
        <v>33</v>
      </c>
      <c r="C53" s="424" t="str">
        <f>ייצוב!C53</f>
        <v>מאיה ברינר</v>
      </c>
      <c r="D53" s="139">
        <f>IF(ייצוב!K53="","",ייצוב!K53)</f>
        <v>3.0229918019108428E-2</v>
      </c>
      <c r="E53" s="139">
        <f>IF(ייצוב!G53="","",ייצוב!G53)</f>
        <v>2.2582268361961519E-2</v>
      </c>
      <c r="F53" s="634">
        <f>'סיכום לועדה- הזנת נתונים'!G53</f>
        <v>0</v>
      </c>
      <c r="G53" s="146">
        <f t="shared" si="12"/>
        <v>0</v>
      </c>
      <c r="H53" s="432">
        <f t="shared" si="13"/>
        <v>0</v>
      </c>
      <c r="I53" s="433">
        <f t="shared" si="14"/>
        <v>3.0229918019108428E-2</v>
      </c>
      <c r="J53" s="433">
        <f t="shared" ref="J53:J84" si="45">IF(G53="","",IF(H53=1,I53,I53/SUMIF(H$21:H$132,"&lt;&gt;1",I$21:I$132)*(1-SUMIF(H$21:H$132,"=1",I$21:I$132))))</f>
        <v>3.0229397474600142E-2</v>
      </c>
      <c r="K53" s="434">
        <f t="shared" si="15"/>
        <v>0</v>
      </c>
      <c r="L53" s="434">
        <f t="shared" si="16"/>
        <v>0</v>
      </c>
      <c r="M53" s="435">
        <f t="shared" si="17"/>
        <v>3.0229918019108428E-2</v>
      </c>
      <c r="N53" s="435">
        <f t="shared" ref="N53:N84" si="46">IF(K53="","",IF(L53=1,M53,M53/SUMIF(L$21:L$132,"&lt;&gt;1",M$21:M$132)*(1-SUMIF(L$21:L$132,"=1",M$21:M$132))))</f>
        <v>3.0229400845711994E-2</v>
      </c>
      <c r="O53" s="434">
        <f t="shared" si="18"/>
        <v>0</v>
      </c>
      <c r="P53" s="434">
        <f t="shared" si="19"/>
        <v>0</v>
      </c>
      <c r="Q53" s="435">
        <f t="shared" si="20"/>
        <v>3.0229918019108428E-2</v>
      </c>
      <c r="R53" s="435">
        <f t="shared" ref="R53:R84" si="47">IF(O53="","",IF(P53=1,Q53,Q53/SUMIF(P$21:P$132,"&lt;&gt;1",Q$21:Q$132)*(1-SUMIF(P$21:P$132,"=1",Q$21:Q$132))))</f>
        <v>3.0229397474600142E-2</v>
      </c>
      <c r="S53" s="434">
        <f t="shared" si="21"/>
        <v>0</v>
      </c>
      <c r="T53" s="434">
        <f t="shared" si="22"/>
        <v>0</v>
      </c>
      <c r="U53" s="435">
        <f t="shared" si="23"/>
        <v>3.0229397474600142E-2</v>
      </c>
      <c r="V53" s="435">
        <f t="shared" ref="V53:V84" si="48">IF(S53="","",IF(T53=1,U53,U53/SUMIF(T$21:T$132,"&lt;&gt;1",U$21:U$132)*(1-SUMIF(T$21:T$132,"=1",U$21:U$132))))</f>
        <v>3.0229397474600135E-2</v>
      </c>
      <c r="W53" s="434">
        <f t="shared" si="24"/>
        <v>0</v>
      </c>
      <c r="X53" s="434">
        <f t="shared" si="25"/>
        <v>0</v>
      </c>
      <c r="Y53" s="435">
        <f t="shared" si="26"/>
        <v>3.0229397474600135E-2</v>
      </c>
      <c r="Z53" s="435">
        <f t="shared" ref="Z53:Z84" si="49">IF(W53="","",IF(X53=1,Y53,Y53/SUMIF(X$21:X$132,"&lt;&gt;1",Y$21:Y$132)*(1-SUMIF(X$21:X$132,"=1",Y$21:Y$132))))</f>
        <v>3.0229397474600135E-2</v>
      </c>
      <c r="AA53" s="434">
        <f t="shared" si="27"/>
        <v>0</v>
      </c>
      <c r="AB53" s="434">
        <f t="shared" si="28"/>
        <v>0</v>
      </c>
      <c r="AC53" s="435">
        <f t="shared" si="29"/>
        <v>3.0229397474600135E-2</v>
      </c>
      <c r="AD53" s="435">
        <f t="shared" ref="AD53:AD84" si="50">IF(AA53="","",IF(AB53=1,AC53,AC53/SUMIF(AB$21:AB$132,"&lt;&gt;1",AC$21:AC$132)*(1-SUMIF(AB$21:AB$132,"=1",AC$21:AC$132))))</f>
        <v>3.0229397474600135E-2</v>
      </c>
      <c r="AE53" s="434">
        <f t="shared" si="30"/>
        <v>0</v>
      </c>
      <c r="AF53" s="434">
        <f t="shared" si="31"/>
        <v>0</v>
      </c>
      <c r="AG53" s="435">
        <f t="shared" si="32"/>
        <v>3.0229397474600135E-2</v>
      </c>
      <c r="AH53" s="435">
        <f t="shared" ref="AH53:AH84" si="51">IF(AE53="","",IF(AF53=1,AG53,AG53/SUMIF(AF$21:AF$132,"&lt;&gt;1",AG$21:AG$132)*(1-SUMIF(AF$21:AF$132,"=1",AG$21:AG$132))))</f>
        <v>3.0229397474600135E-2</v>
      </c>
      <c r="AI53" s="434">
        <f t="shared" si="33"/>
        <v>0</v>
      </c>
      <c r="AJ53" s="434">
        <f t="shared" si="34"/>
        <v>0</v>
      </c>
      <c r="AK53" s="435">
        <f t="shared" si="35"/>
        <v>3.0229397474600135E-2</v>
      </c>
      <c r="AL53" s="435">
        <f t="shared" ref="AL53:AL84" si="52">IF(AI53="","",IF(AJ53=1,AK53,AK53/SUMIF(AJ$21:AJ$132,"&lt;&gt;1",AK$21:AK$132)*(1-SUMIF(AJ$21:AJ$132,"=1",AK$21:AK$132))))</f>
        <v>3.0229397474600135E-2</v>
      </c>
      <c r="AM53" s="434">
        <f t="shared" si="36"/>
        <v>0</v>
      </c>
      <c r="AN53" s="434">
        <f t="shared" si="37"/>
        <v>0</v>
      </c>
      <c r="AO53" s="435">
        <f t="shared" si="38"/>
        <v>3.0229397474600135E-2</v>
      </c>
      <c r="AP53" s="435">
        <f t="shared" ref="AP53:AP84" si="53">IF(AM53="","",IF(AN53=1,AO53,AO53/SUMIF(AN$21:AN$132,"&lt;&gt;1",AO$21:AO$132)*(1-SUMIF(AN$21:AN$132,"=1",AO$21:AO$132))))</f>
        <v>3.0229397474600135E-2</v>
      </c>
      <c r="AQ53" s="434">
        <f t="shared" si="39"/>
        <v>0</v>
      </c>
      <c r="AR53" s="434">
        <f t="shared" si="40"/>
        <v>0</v>
      </c>
      <c r="AS53" s="435">
        <f t="shared" si="41"/>
        <v>3.0229397474600135E-2</v>
      </c>
      <c r="AT53" s="435">
        <f t="shared" ref="AT53:AT84" si="54">IF(AQ53="","",IF(AR53=1,AS53,AS53/SUMIF(AR$21:AR$132,"&lt;&gt;1",AS$21:AS$132)*(1-SUMIF(AR$21:AR$132,"=1",AS$21:AS$132))))</f>
        <v>3.0229397474600132E-2</v>
      </c>
      <c r="AU53" s="436">
        <f t="shared" ref="AU53:AU84" si="55">IF(C53="","",IFERROR(AT53/SUM($AT$21:$AT$132),$BA$1))</f>
        <v>3.0229397474600139E-2</v>
      </c>
      <c r="AV53" s="151">
        <f t="shared" si="42"/>
        <v>244337.0856493889</v>
      </c>
      <c r="BA53" s="18">
        <f t="shared" si="43"/>
        <v>0</v>
      </c>
      <c r="BB53" s="18">
        <f t="shared" si="43"/>
        <v>1</v>
      </c>
      <c r="BD53" s="630">
        <f t="shared" si="44"/>
        <v>1</v>
      </c>
    </row>
    <row r="54" spans="2:56" x14ac:dyDescent="0.25">
      <c r="B54" s="73">
        <f t="shared" si="11"/>
        <v>34</v>
      </c>
      <c r="C54" s="424" t="str">
        <f>ייצוב!C54</f>
        <v>מאיה מכלל גלפנד</v>
      </c>
      <c r="D54" s="139">
        <f>IF(ייצוב!K54="","",ייצוב!K54)</f>
        <v>5.913105917247149E-3</v>
      </c>
      <c r="E54" s="139">
        <f>IF(ייצוב!G54="","",ייצוב!G54)</f>
        <v>5.257117754104805E-3</v>
      </c>
      <c r="F54" s="634">
        <f>'סיכום לועדה- הזנת נתונים'!G54</f>
        <v>1</v>
      </c>
      <c r="G54" s="146">
        <f t="shared" si="12"/>
        <v>0</v>
      </c>
      <c r="H54" s="432">
        <f t="shared" si="13"/>
        <v>0</v>
      </c>
      <c r="I54" s="433">
        <f t="shared" si="14"/>
        <v>5.913105917247149E-3</v>
      </c>
      <c r="J54" s="433">
        <f t="shared" si="45"/>
        <v>5.9130040964347277E-3</v>
      </c>
      <c r="K54" s="434">
        <f t="shared" si="15"/>
        <v>0</v>
      </c>
      <c r="L54" s="434">
        <f t="shared" si="16"/>
        <v>0</v>
      </c>
      <c r="M54" s="435">
        <f t="shared" si="17"/>
        <v>5.913105917247149E-3</v>
      </c>
      <c r="N54" s="435">
        <f t="shared" si="46"/>
        <v>5.9130047558391434E-3</v>
      </c>
      <c r="O54" s="434">
        <f t="shared" si="18"/>
        <v>0</v>
      </c>
      <c r="P54" s="434">
        <f t="shared" si="19"/>
        <v>0</v>
      </c>
      <c r="Q54" s="435">
        <f t="shared" si="20"/>
        <v>5.913105917247149E-3</v>
      </c>
      <c r="R54" s="435">
        <f t="shared" si="47"/>
        <v>5.9130040964347277E-3</v>
      </c>
      <c r="S54" s="434">
        <f t="shared" si="21"/>
        <v>0</v>
      </c>
      <c r="T54" s="434">
        <f t="shared" si="22"/>
        <v>0</v>
      </c>
      <c r="U54" s="435">
        <f t="shared" si="23"/>
        <v>5.9130040964347277E-3</v>
      </c>
      <c r="V54" s="435">
        <f t="shared" si="48"/>
        <v>5.913004096434726E-3</v>
      </c>
      <c r="W54" s="434">
        <f t="shared" si="24"/>
        <v>0</v>
      </c>
      <c r="X54" s="434">
        <f t="shared" si="25"/>
        <v>0</v>
      </c>
      <c r="Y54" s="435">
        <f t="shared" si="26"/>
        <v>5.913004096434726E-3</v>
      </c>
      <c r="Z54" s="435">
        <f t="shared" si="49"/>
        <v>5.913004096434726E-3</v>
      </c>
      <c r="AA54" s="434">
        <f t="shared" si="27"/>
        <v>0</v>
      </c>
      <c r="AB54" s="434">
        <f t="shared" si="28"/>
        <v>0</v>
      </c>
      <c r="AC54" s="435">
        <f t="shared" si="29"/>
        <v>5.913004096434726E-3</v>
      </c>
      <c r="AD54" s="435">
        <f t="shared" si="50"/>
        <v>5.913004096434726E-3</v>
      </c>
      <c r="AE54" s="434">
        <f t="shared" si="30"/>
        <v>0</v>
      </c>
      <c r="AF54" s="434">
        <f t="shared" si="31"/>
        <v>0</v>
      </c>
      <c r="AG54" s="435">
        <f t="shared" si="32"/>
        <v>5.913004096434726E-3</v>
      </c>
      <c r="AH54" s="435">
        <f t="shared" si="51"/>
        <v>5.913004096434726E-3</v>
      </c>
      <c r="AI54" s="434">
        <f t="shared" si="33"/>
        <v>0</v>
      </c>
      <c r="AJ54" s="434">
        <f t="shared" si="34"/>
        <v>0</v>
      </c>
      <c r="AK54" s="435">
        <f t="shared" si="35"/>
        <v>5.913004096434726E-3</v>
      </c>
      <c r="AL54" s="435">
        <f t="shared" si="52"/>
        <v>5.913004096434726E-3</v>
      </c>
      <c r="AM54" s="434">
        <f t="shared" si="36"/>
        <v>0</v>
      </c>
      <c r="AN54" s="434">
        <f t="shared" si="37"/>
        <v>0</v>
      </c>
      <c r="AO54" s="435">
        <f t="shared" si="38"/>
        <v>5.913004096434726E-3</v>
      </c>
      <c r="AP54" s="435">
        <f t="shared" si="53"/>
        <v>5.913004096434726E-3</v>
      </c>
      <c r="AQ54" s="434">
        <f t="shared" si="39"/>
        <v>0</v>
      </c>
      <c r="AR54" s="434">
        <f t="shared" si="40"/>
        <v>0</v>
      </c>
      <c r="AS54" s="435">
        <f t="shared" si="41"/>
        <v>5.913004096434726E-3</v>
      </c>
      <c r="AT54" s="435">
        <f t="shared" si="54"/>
        <v>5.9130040964347251E-3</v>
      </c>
      <c r="AU54" s="436">
        <f t="shared" si="55"/>
        <v>5.9130040964347269E-3</v>
      </c>
      <c r="AV54" s="151">
        <f t="shared" si="42"/>
        <v>47793.416642515142</v>
      </c>
      <c r="BA54" s="18">
        <f t="shared" ref="BA54:BB85" si="56">IF($C54="","",BA$20)</f>
        <v>0</v>
      </c>
      <c r="BB54" s="18">
        <f t="shared" si="56"/>
        <v>1</v>
      </c>
      <c r="BD54" s="630">
        <f t="shared" si="44"/>
        <v>1</v>
      </c>
    </row>
    <row r="55" spans="2:56" x14ac:dyDescent="0.25">
      <c r="B55" s="73">
        <f t="shared" si="11"/>
        <v>35</v>
      </c>
      <c r="C55" s="424" t="str">
        <f>ייצוב!C55</f>
        <v>מיה שטרן ותומר שרעבי</v>
      </c>
      <c r="D55" s="139">
        <f>IF(ייצוב!K55="","",ייצוב!K55)</f>
        <v>7.1486193629303829E-3</v>
      </c>
      <c r="E55" s="139">
        <f>IF(ייצוב!G55="","",ייצוב!G55)</f>
        <v>9.0620798206460344E-3</v>
      </c>
      <c r="F55" s="634">
        <f>'סיכום לועדה- הזנת נתונים'!G55</f>
        <v>0</v>
      </c>
      <c r="G55" s="146">
        <f t="shared" si="12"/>
        <v>1</v>
      </c>
      <c r="H55" s="432">
        <f t="shared" si="13"/>
        <v>0</v>
      </c>
      <c r="I55" s="433">
        <f t="shared" si="14"/>
        <v>7.1486193629303829E-3</v>
      </c>
      <c r="J55" s="433">
        <f t="shared" si="45"/>
        <v>7.1484962671764067E-3</v>
      </c>
      <c r="K55" s="434">
        <f t="shared" si="15"/>
        <v>1</v>
      </c>
      <c r="L55" s="434">
        <f t="shared" si="16"/>
        <v>0</v>
      </c>
      <c r="M55" s="435">
        <f t="shared" si="17"/>
        <v>7.1486193629303829E-3</v>
      </c>
      <c r="N55" s="435">
        <f t="shared" si="46"/>
        <v>7.1484970643600262E-3</v>
      </c>
      <c r="O55" s="434">
        <f t="shared" si="18"/>
        <v>1</v>
      </c>
      <c r="P55" s="434">
        <f t="shared" si="19"/>
        <v>0</v>
      </c>
      <c r="Q55" s="435">
        <f t="shared" si="20"/>
        <v>7.1486193629303829E-3</v>
      </c>
      <c r="R55" s="435">
        <f t="shared" si="47"/>
        <v>7.1484962671764067E-3</v>
      </c>
      <c r="S55" s="434">
        <f t="shared" si="21"/>
        <v>1</v>
      </c>
      <c r="T55" s="434">
        <f t="shared" si="22"/>
        <v>0</v>
      </c>
      <c r="U55" s="435">
        <f t="shared" si="23"/>
        <v>7.1484962671764067E-3</v>
      </c>
      <c r="V55" s="435">
        <f t="shared" si="48"/>
        <v>7.148496267176405E-3</v>
      </c>
      <c r="W55" s="434">
        <f t="shared" si="24"/>
        <v>1</v>
      </c>
      <c r="X55" s="434">
        <f t="shared" si="25"/>
        <v>0</v>
      </c>
      <c r="Y55" s="435">
        <f t="shared" si="26"/>
        <v>7.148496267176405E-3</v>
      </c>
      <c r="Z55" s="435">
        <f t="shared" si="49"/>
        <v>7.148496267176405E-3</v>
      </c>
      <c r="AA55" s="434">
        <f t="shared" si="27"/>
        <v>1</v>
      </c>
      <c r="AB55" s="434">
        <f t="shared" si="28"/>
        <v>0</v>
      </c>
      <c r="AC55" s="435">
        <f t="shared" si="29"/>
        <v>7.148496267176405E-3</v>
      </c>
      <c r="AD55" s="435">
        <f t="shared" si="50"/>
        <v>7.148496267176405E-3</v>
      </c>
      <c r="AE55" s="434">
        <f t="shared" si="30"/>
        <v>1</v>
      </c>
      <c r="AF55" s="434">
        <f t="shared" si="31"/>
        <v>0</v>
      </c>
      <c r="AG55" s="435">
        <f t="shared" si="32"/>
        <v>7.148496267176405E-3</v>
      </c>
      <c r="AH55" s="435">
        <f t="shared" si="51"/>
        <v>7.148496267176405E-3</v>
      </c>
      <c r="AI55" s="434">
        <f t="shared" si="33"/>
        <v>1</v>
      </c>
      <c r="AJ55" s="434">
        <f t="shared" si="34"/>
        <v>0</v>
      </c>
      <c r="AK55" s="435">
        <f t="shared" si="35"/>
        <v>7.148496267176405E-3</v>
      </c>
      <c r="AL55" s="435">
        <f t="shared" si="52"/>
        <v>7.148496267176405E-3</v>
      </c>
      <c r="AM55" s="434">
        <f t="shared" si="36"/>
        <v>1</v>
      </c>
      <c r="AN55" s="434">
        <f t="shared" si="37"/>
        <v>0</v>
      </c>
      <c r="AO55" s="435">
        <f t="shared" si="38"/>
        <v>7.148496267176405E-3</v>
      </c>
      <c r="AP55" s="435">
        <f t="shared" si="53"/>
        <v>7.148496267176405E-3</v>
      </c>
      <c r="AQ55" s="434">
        <f t="shared" si="39"/>
        <v>1</v>
      </c>
      <c r="AR55" s="434">
        <f t="shared" si="40"/>
        <v>0</v>
      </c>
      <c r="AS55" s="435">
        <f t="shared" si="41"/>
        <v>7.148496267176405E-3</v>
      </c>
      <c r="AT55" s="435">
        <f t="shared" si="54"/>
        <v>7.1484962671764041E-3</v>
      </c>
      <c r="AU55" s="436">
        <f t="shared" si="55"/>
        <v>7.1484962671764058E-3</v>
      </c>
      <c r="AV55" s="151">
        <f t="shared" si="42"/>
        <v>57779.608282467838</v>
      </c>
      <c r="BA55" s="18">
        <f t="shared" si="56"/>
        <v>0</v>
      </c>
      <c r="BB55" s="18">
        <f t="shared" si="56"/>
        <v>1</v>
      </c>
      <c r="BD55" s="630">
        <f t="shared" si="44"/>
        <v>1</v>
      </c>
    </row>
    <row r="56" spans="2:56" x14ac:dyDescent="0.25">
      <c r="B56" s="73">
        <f t="shared" si="11"/>
        <v>36</v>
      </c>
      <c r="C56" s="424" t="str">
        <f>ייצוב!C56</f>
        <v>מיכאל גטמן</v>
      </c>
      <c r="D56" s="139">
        <f>IF(ייצוב!K56="","",ייצוב!K56)</f>
        <v>1.4993585318442014E-2</v>
      </c>
      <c r="E56" s="139">
        <f>IF(ייצוב!G56="","",ייצוב!G56)</f>
        <v>1.4862386435247532E-2</v>
      </c>
      <c r="F56" s="634">
        <f>'סיכום לועדה- הזנת נתונים'!G56</f>
        <v>0</v>
      </c>
      <c r="G56" s="146">
        <f t="shared" si="12"/>
        <v>0</v>
      </c>
      <c r="H56" s="432">
        <f t="shared" si="13"/>
        <v>0</v>
      </c>
      <c r="I56" s="433">
        <f t="shared" si="14"/>
        <v>1.4993585318442014E-2</v>
      </c>
      <c r="J56" s="433">
        <f t="shared" si="45"/>
        <v>1.4993327136183891E-2</v>
      </c>
      <c r="K56" s="434">
        <f t="shared" si="15"/>
        <v>0</v>
      </c>
      <c r="L56" s="434">
        <f t="shared" si="16"/>
        <v>0</v>
      </c>
      <c r="M56" s="435">
        <f t="shared" si="17"/>
        <v>1.4993585318442014E-2</v>
      </c>
      <c r="N56" s="435">
        <f t="shared" si="46"/>
        <v>1.4993328808204739E-2</v>
      </c>
      <c r="O56" s="434">
        <f t="shared" si="18"/>
        <v>0</v>
      </c>
      <c r="P56" s="434">
        <f t="shared" si="19"/>
        <v>0</v>
      </c>
      <c r="Q56" s="435">
        <f t="shared" si="20"/>
        <v>1.4993585318442014E-2</v>
      </c>
      <c r="R56" s="435">
        <f t="shared" si="47"/>
        <v>1.4993327136183891E-2</v>
      </c>
      <c r="S56" s="434">
        <f t="shared" si="21"/>
        <v>0</v>
      </c>
      <c r="T56" s="434">
        <f t="shared" si="22"/>
        <v>0</v>
      </c>
      <c r="U56" s="435">
        <f t="shared" si="23"/>
        <v>1.4993327136183891E-2</v>
      </c>
      <c r="V56" s="435">
        <f t="shared" si="48"/>
        <v>1.4993327136183888E-2</v>
      </c>
      <c r="W56" s="434">
        <f t="shared" si="24"/>
        <v>0</v>
      </c>
      <c r="X56" s="434">
        <f t="shared" si="25"/>
        <v>0</v>
      </c>
      <c r="Y56" s="435">
        <f t="shared" si="26"/>
        <v>1.4993327136183888E-2</v>
      </c>
      <c r="Z56" s="435">
        <f t="shared" si="49"/>
        <v>1.4993327136183888E-2</v>
      </c>
      <c r="AA56" s="434">
        <f t="shared" si="27"/>
        <v>0</v>
      </c>
      <c r="AB56" s="434">
        <f t="shared" si="28"/>
        <v>0</v>
      </c>
      <c r="AC56" s="435">
        <f t="shared" si="29"/>
        <v>1.4993327136183888E-2</v>
      </c>
      <c r="AD56" s="435">
        <f t="shared" si="50"/>
        <v>1.4993327136183888E-2</v>
      </c>
      <c r="AE56" s="434">
        <f t="shared" si="30"/>
        <v>0</v>
      </c>
      <c r="AF56" s="434">
        <f t="shared" si="31"/>
        <v>0</v>
      </c>
      <c r="AG56" s="435">
        <f t="shared" si="32"/>
        <v>1.4993327136183888E-2</v>
      </c>
      <c r="AH56" s="435">
        <f t="shared" si="51"/>
        <v>1.4993327136183888E-2</v>
      </c>
      <c r="AI56" s="434">
        <f t="shared" si="33"/>
        <v>0</v>
      </c>
      <c r="AJ56" s="434">
        <f t="shared" si="34"/>
        <v>0</v>
      </c>
      <c r="AK56" s="435">
        <f t="shared" si="35"/>
        <v>1.4993327136183888E-2</v>
      </c>
      <c r="AL56" s="435">
        <f t="shared" si="52"/>
        <v>1.4993327136183888E-2</v>
      </c>
      <c r="AM56" s="434">
        <f t="shared" si="36"/>
        <v>0</v>
      </c>
      <c r="AN56" s="434">
        <f t="shared" si="37"/>
        <v>0</v>
      </c>
      <c r="AO56" s="435">
        <f t="shared" si="38"/>
        <v>1.4993327136183888E-2</v>
      </c>
      <c r="AP56" s="435">
        <f t="shared" si="53"/>
        <v>1.4993327136183888E-2</v>
      </c>
      <c r="AQ56" s="434">
        <f t="shared" si="39"/>
        <v>0</v>
      </c>
      <c r="AR56" s="434">
        <f t="shared" si="40"/>
        <v>0</v>
      </c>
      <c r="AS56" s="435">
        <f t="shared" si="41"/>
        <v>1.4993327136183888E-2</v>
      </c>
      <c r="AT56" s="435">
        <f t="shared" si="54"/>
        <v>1.4993327136183886E-2</v>
      </c>
      <c r="AU56" s="436">
        <f t="shared" si="55"/>
        <v>1.499332713618389E-2</v>
      </c>
      <c r="AV56" s="151">
        <f t="shared" si="42"/>
        <v>121187.52481657024</v>
      </c>
      <c r="BA56" s="18">
        <f t="shared" si="56"/>
        <v>0</v>
      </c>
      <c r="BB56" s="18">
        <f t="shared" si="56"/>
        <v>1</v>
      </c>
      <c r="BD56" s="630">
        <f t="shared" si="44"/>
        <v>1</v>
      </c>
    </row>
    <row r="57" spans="2:56" x14ac:dyDescent="0.25">
      <c r="B57" s="73">
        <f t="shared" si="11"/>
        <v>37</v>
      </c>
      <c r="C57" s="424" t="str">
        <f>ייצוב!C57</f>
        <v>מיכל הרמן</v>
      </c>
      <c r="D57" s="139">
        <f>IF(ייצוב!K57="","",ייצוב!K57)</f>
        <v>5.8274376312116242E-3</v>
      </c>
      <c r="E57" s="139">
        <f>IF(ייצוב!G57="","",ייצוב!G57)</f>
        <v>6.725377704361114E-3</v>
      </c>
      <c r="F57" s="634">
        <f>'סיכום לועדה- הזנת נתונים'!G57</f>
        <v>0</v>
      </c>
      <c r="G57" s="146">
        <f t="shared" si="12"/>
        <v>0</v>
      </c>
      <c r="H57" s="432">
        <f t="shared" si="13"/>
        <v>0</v>
      </c>
      <c r="I57" s="433">
        <f t="shared" si="14"/>
        <v>5.8274376312116242E-3</v>
      </c>
      <c r="J57" s="433">
        <f t="shared" si="45"/>
        <v>5.8273372855654863E-3</v>
      </c>
      <c r="K57" s="434">
        <f t="shared" si="15"/>
        <v>0</v>
      </c>
      <c r="L57" s="434">
        <f t="shared" si="16"/>
        <v>0</v>
      </c>
      <c r="M57" s="435">
        <f t="shared" si="17"/>
        <v>5.8274376312116242E-3</v>
      </c>
      <c r="N57" s="435">
        <f t="shared" si="46"/>
        <v>5.8273379354165395E-3</v>
      </c>
      <c r="O57" s="434">
        <f t="shared" si="18"/>
        <v>0</v>
      </c>
      <c r="P57" s="434">
        <f t="shared" si="19"/>
        <v>0</v>
      </c>
      <c r="Q57" s="435">
        <f t="shared" si="20"/>
        <v>5.8274376312116242E-3</v>
      </c>
      <c r="R57" s="435">
        <f t="shared" si="47"/>
        <v>5.8273372855654863E-3</v>
      </c>
      <c r="S57" s="434">
        <f t="shared" si="21"/>
        <v>0</v>
      </c>
      <c r="T57" s="434">
        <f t="shared" si="22"/>
        <v>0</v>
      </c>
      <c r="U57" s="435">
        <f t="shared" si="23"/>
        <v>5.8273372855654863E-3</v>
      </c>
      <c r="V57" s="435">
        <f t="shared" si="48"/>
        <v>5.8273372855654855E-3</v>
      </c>
      <c r="W57" s="434">
        <f t="shared" si="24"/>
        <v>0</v>
      </c>
      <c r="X57" s="434">
        <f t="shared" si="25"/>
        <v>0</v>
      </c>
      <c r="Y57" s="435">
        <f t="shared" si="26"/>
        <v>5.8273372855654855E-3</v>
      </c>
      <c r="Z57" s="435">
        <f t="shared" si="49"/>
        <v>5.8273372855654855E-3</v>
      </c>
      <c r="AA57" s="434">
        <f t="shared" si="27"/>
        <v>0</v>
      </c>
      <c r="AB57" s="434">
        <f t="shared" si="28"/>
        <v>0</v>
      </c>
      <c r="AC57" s="435">
        <f t="shared" si="29"/>
        <v>5.8273372855654855E-3</v>
      </c>
      <c r="AD57" s="435">
        <f t="shared" si="50"/>
        <v>5.8273372855654855E-3</v>
      </c>
      <c r="AE57" s="434">
        <f t="shared" si="30"/>
        <v>0</v>
      </c>
      <c r="AF57" s="434">
        <f t="shared" si="31"/>
        <v>0</v>
      </c>
      <c r="AG57" s="435">
        <f t="shared" si="32"/>
        <v>5.8273372855654855E-3</v>
      </c>
      <c r="AH57" s="435">
        <f t="shared" si="51"/>
        <v>5.8273372855654855E-3</v>
      </c>
      <c r="AI57" s="434">
        <f t="shared" si="33"/>
        <v>0</v>
      </c>
      <c r="AJ57" s="434">
        <f t="shared" si="34"/>
        <v>0</v>
      </c>
      <c r="AK57" s="435">
        <f t="shared" si="35"/>
        <v>5.8273372855654855E-3</v>
      </c>
      <c r="AL57" s="435">
        <f t="shared" si="52"/>
        <v>5.8273372855654855E-3</v>
      </c>
      <c r="AM57" s="434">
        <f t="shared" si="36"/>
        <v>0</v>
      </c>
      <c r="AN57" s="434">
        <f t="shared" si="37"/>
        <v>0</v>
      </c>
      <c r="AO57" s="435">
        <f t="shared" si="38"/>
        <v>5.8273372855654855E-3</v>
      </c>
      <c r="AP57" s="435">
        <f t="shared" si="53"/>
        <v>5.8273372855654855E-3</v>
      </c>
      <c r="AQ57" s="434">
        <f t="shared" si="39"/>
        <v>0</v>
      </c>
      <c r="AR57" s="434">
        <f t="shared" si="40"/>
        <v>0</v>
      </c>
      <c r="AS57" s="435">
        <f t="shared" si="41"/>
        <v>5.8273372855654855E-3</v>
      </c>
      <c r="AT57" s="435">
        <f t="shared" si="54"/>
        <v>5.8273372855654846E-3</v>
      </c>
      <c r="AU57" s="436">
        <f t="shared" si="55"/>
        <v>5.8273372855654855E-3</v>
      </c>
      <c r="AV57" s="151">
        <f t="shared" si="42"/>
        <v>47100.992027626424</v>
      </c>
      <c r="BA57" s="18">
        <f t="shared" si="56"/>
        <v>0</v>
      </c>
      <c r="BB57" s="18">
        <f t="shared" si="56"/>
        <v>1</v>
      </c>
      <c r="BD57" s="630">
        <f t="shared" si="44"/>
        <v>1</v>
      </c>
    </row>
    <row r="58" spans="2:56" x14ac:dyDescent="0.25">
      <c r="B58" s="73">
        <f t="shared" si="11"/>
        <v>38</v>
      </c>
      <c r="C58" s="424" t="str">
        <f>ייצוב!C58</f>
        <v>מירב דגן</v>
      </c>
      <c r="D58" s="139">
        <f>IF(ייצוב!K58="","",ייצוב!K58)</f>
        <v>9.4282464092057712E-3</v>
      </c>
      <c r="E58" s="139">
        <f>IF(ייצוב!G58="","",ייצוב!G58)</f>
        <v>8.5740678601949356E-3</v>
      </c>
      <c r="F58" s="634">
        <f>'סיכום לועדה- הזנת נתונים'!G58</f>
        <v>1</v>
      </c>
      <c r="G58" s="146">
        <f t="shared" si="12"/>
        <v>0</v>
      </c>
      <c r="H58" s="432">
        <f t="shared" si="13"/>
        <v>0</v>
      </c>
      <c r="I58" s="433">
        <f t="shared" si="14"/>
        <v>9.4282464092057712E-3</v>
      </c>
      <c r="J58" s="433">
        <f t="shared" si="45"/>
        <v>9.428084059381071E-3</v>
      </c>
      <c r="K58" s="434">
        <f t="shared" si="15"/>
        <v>0</v>
      </c>
      <c r="L58" s="434">
        <f t="shared" si="16"/>
        <v>0</v>
      </c>
      <c r="M58" s="435">
        <f t="shared" si="17"/>
        <v>9.4282464092057712E-3</v>
      </c>
      <c r="N58" s="435">
        <f t="shared" si="46"/>
        <v>9.4280851107790015E-3</v>
      </c>
      <c r="O58" s="434">
        <f t="shared" si="18"/>
        <v>0</v>
      </c>
      <c r="P58" s="434">
        <f t="shared" si="19"/>
        <v>0</v>
      </c>
      <c r="Q58" s="435">
        <f t="shared" si="20"/>
        <v>9.4282464092057712E-3</v>
      </c>
      <c r="R58" s="435">
        <f t="shared" si="47"/>
        <v>9.428084059381071E-3</v>
      </c>
      <c r="S58" s="434">
        <f t="shared" si="21"/>
        <v>0</v>
      </c>
      <c r="T58" s="434">
        <f t="shared" si="22"/>
        <v>0</v>
      </c>
      <c r="U58" s="435">
        <f t="shared" si="23"/>
        <v>9.428084059381071E-3</v>
      </c>
      <c r="V58" s="435">
        <f t="shared" si="48"/>
        <v>9.4280840593810693E-3</v>
      </c>
      <c r="W58" s="434">
        <f t="shared" si="24"/>
        <v>0</v>
      </c>
      <c r="X58" s="434">
        <f t="shared" si="25"/>
        <v>0</v>
      </c>
      <c r="Y58" s="435">
        <f t="shared" si="26"/>
        <v>9.4280840593810693E-3</v>
      </c>
      <c r="Z58" s="435">
        <f t="shared" si="49"/>
        <v>9.4280840593810693E-3</v>
      </c>
      <c r="AA58" s="434">
        <f t="shared" si="27"/>
        <v>0</v>
      </c>
      <c r="AB58" s="434">
        <f t="shared" si="28"/>
        <v>0</v>
      </c>
      <c r="AC58" s="435">
        <f t="shared" si="29"/>
        <v>9.4280840593810693E-3</v>
      </c>
      <c r="AD58" s="435">
        <f t="shared" si="50"/>
        <v>9.4280840593810693E-3</v>
      </c>
      <c r="AE58" s="434">
        <f t="shared" si="30"/>
        <v>0</v>
      </c>
      <c r="AF58" s="434">
        <f t="shared" si="31"/>
        <v>0</v>
      </c>
      <c r="AG58" s="435">
        <f t="shared" si="32"/>
        <v>9.4280840593810693E-3</v>
      </c>
      <c r="AH58" s="435">
        <f t="shared" si="51"/>
        <v>9.4280840593810693E-3</v>
      </c>
      <c r="AI58" s="434">
        <f t="shared" si="33"/>
        <v>0</v>
      </c>
      <c r="AJ58" s="434">
        <f t="shared" si="34"/>
        <v>0</v>
      </c>
      <c r="AK58" s="435">
        <f t="shared" si="35"/>
        <v>9.4280840593810693E-3</v>
      </c>
      <c r="AL58" s="435">
        <f t="shared" si="52"/>
        <v>9.4280840593810693E-3</v>
      </c>
      <c r="AM58" s="434">
        <f t="shared" si="36"/>
        <v>0</v>
      </c>
      <c r="AN58" s="434">
        <f t="shared" si="37"/>
        <v>0</v>
      </c>
      <c r="AO58" s="435">
        <f t="shared" si="38"/>
        <v>9.4280840593810693E-3</v>
      </c>
      <c r="AP58" s="435">
        <f t="shared" si="53"/>
        <v>9.4280840593810693E-3</v>
      </c>
      <c r="AQ58" s="434">
        <f t="shared" si="39"/>
        <v>0</v>
      </c>
      <c r="AR58" s="434">
        <f t="shared" si="40"/>
        <v>0</v>
      </c>
      <c r="AS58" s="435">
        <f t="shared" si="41"/>
        <v>9.4280840593810693E-3</v>
      </c>
      <c r="AT58" s="435">
        <f t="shared" si="54"/>
        <v>9.4280840593810675E-3</v>
      </c>
      <c r="AU58" s="436">
        <f t="shared" si="55"/>
        <v>9.4280840593810693E-3</v>
      </c>
      <c r="AV58" s="151">
        <f t="shared" si="42"/>
        <v>76204.978424139175</v>
      </c>
      <c r="BA58" s="18">
        <f t="shared" si="56"/>
        <v>0</v>
      </c>
      <c r="BB58" s="18">
        <f t="shared" si="56"/>
        <v>1</v>
      </c>
      <c r="BD58" s="630">
        <f t="shared" si="44"/>
        <v>1</v>
      </c>
    </row>
    <row r="59" spans="2:56" x14ac:dyDescent="0.25">
      <c r="B59" s="73">
        <f t="shared" si="11"/>
        <v>39</v>
      </c>
      <c r="C59" s="424" t="str">
        <f>ייצוב!C59</f>
        <v>תמר לם ודיוויד קרן</v>
      </c>
      <c r="D59" s="139">
        <f>IF(ייצוב!K59="","",ייצוב!K59)</f>
        <v>6.2074288230775741E-3</v>
      </c>
      <c r="E59" s="139">
        <f>IF(ייצוב!G59="","",ייצוב!G59)</f>
        <v>5.8515234500505177E-3</v>
      </c>
      <c r="F59" s="634">
        <f>'סיכום לועדה- הזנת נתונים'!G59</f>
        <v>1</v>
      </c>
      <c r="G59" s="146">
        <f t="shared" si="12"/>
        <v>0</v>
      </c>
      <c r="H59" s="432">
        <f t="shared" si="13"/>
        <v>0</v>
      </c>
      <c r="I59" s="433">
        <f t="shared" si="14"/>
        <v>6.2074288230775741E-3</v>
      </c>
      <c r="J59" s="433">
        <f t="shared" si="45"/>
        <v>6.2073219341676408E-3</v>
      </c>
      <c r="K59" s="434">
        <f t="shared" si="15"/>
        <v>0</v>
      </c>
      <c r="L59" s="434">
        <f t="shared" si="16"/>
        <v>0</v>
      </c>
      <c r="M59" s="435">
        <f t="shared" si="17"/>
        <v>6.2074288230775741E-3</v>
      </c>
      <c r="N59" s="435">
        <f t="shared" si="46"/>
        <v>6.2073226263936951E-3</v>
      </c>
      <c r="O59" s="434">
        <f t="shared" si="18"/>
        <v>0</v>
      </c>
      <c r="P59" s="434">
        <f t="shared" si="19"/>
        <v>0</v>
      </c>
      <c r="Q59" s="435">
        <f t="shared" si="20"/>
        <v>6.2074288230775741E-3</v>
      </c>
      <c r="R59" s="435">
        <f t="shared" si="47"/>
        <v>6.2073219341676408E-3</v>
      </c>
      <c r="S59" s="434">
        <f t="shared" si="21"/>
        <v>0</v>
      </c>
      <c r="T59" s="434">
        <f t="shared" si="22"/>
        <v>0</v>
      </c>
      <c r="U59" s="435">
        <f t="shared" si="23"/>
        <v>6.2073219341676408E-3</v>
      </c>
      <c r="V59" s="435">
        <f t="shared" si="48"/>
        <v>6.2073219341676391E-3</v>
      </c>
      <c r="W59" s="434">
        <f t="shared" si="24"/>
        <v>0</v>
      </c>
      <c r="X59" s="434">
        <f t="shared" si="25"/>
        <v>0</v>
      </c>
      <c r="Y59" s="435">
        <f t="shared" si="26"/>
        <v>6.2073219341676391E-3</v>
      </c>
      <c r="Z59" s="435">
        <f t="shared" si="49"/>
        <v>6.2073219341676391E-3</v>
      </c>
      <c r="AA59" s="434">
        <f t="shared" si="27"/>
        <v>0</v>
      </c>
      <c r="AB59" s="434">
        <f t="shared" si="28"/>
        <v>0</v>
      </c>
      <c r="AC59" s="435">
        <f t="shared" si="29"/>
        <v>6.2073219341676391E-3</v>
      </c>
      <c r="AD59" s="435">
        <f t="shared" si="50"/>
        <v>6.2073219341676391E-3</v>
      </c>
      <c r="AE59" s="434">
        <f t="shared" si="30"/>
        <v>0</v>
      </c>
      <c r="AF59" s="434">
        <f t="shared" si="31"/>
        <v>0</v>
      </c>
      <c r="AG59" s="435">
        <f t="shared" si="32"/>
        <v>6.2073219341676391E-3</v>
      </c>
      <c r="AH59" s="435">
        <f t="shared" si="51"/>
        <v>6.2073219341676391E-3</v>
      </c>
      <c r="AI59" s="434">
        <f t="shared" si="33"/>
        <v>0</v>
      </c>
      <c r="AJ59" s="434">
        <f t="shared" si="34"/>
        <v>0</v>
      </c>
      <c r="AK59" s="435">
        <f t="shared" si="35"/>
        <v>6.2073219341676391E-3</v>
      </c>
      <c r="AL59" s="435">
        <f t="shared" si="52"/>
        <v>6.2073219341676391E-3</v>
      </c>
      <c r="AM59" s="434">
        <f t="shared" si="36"/>
        <v>0</v>
      </c>
      <c r="AN59" s="434">
        <f t="shared" si="37"/>
        <v>0</v>
      </c>
      <c r="AO59" s="435">
        <f t="shared" si="38"/>
        <v>6.2073219341676391E-3</v>
      </c>
      <c r="AP59" s="435">
        <f t="shared" si="53"/>
        <v>6.2073219341676391E-3</v>
      </c>
      <c r="AQ59" s="434">
        <f t="shared" si="39"/>
        <v>0</v>
      </c>
      <c r="AR59" s="434">
        <f t="shared" si="40"/>
        <v>0</v>
      </c>
      <c r="AS59" s="435">
        <f t="shared" si="41"/>
        <v>6.2073219341676391E-3</v>
      </c>
      <c r="AT59" s="435">
        <f t="shared" si="54"/>
        <v>6.2073219341676382E-3</v>
      </c>
      <c r="AU59" s="436">
        <f t="shared" si="55"/>
        <v>6.20732193416764E-3</v>
      </c>
      <c r="AV59" s="151">
        <f t="shared" si="42"/>
        <v>50172.318265900569</v>
      </c>
      <c r="BA59" s="18">
        <f t="shared" si="56"/>
        <v>0</v>
      </c>
      <c r="BB59" s="18">
        <f t="shared" si="56"/>
        <v>1</v>
      </c>
      <c r="BD59" s="630">
        <f t="shared" si="44"/>
        <v>1</v>
      </c>
    </row>
    <row r="60" spans="2:56" x14ac:dyDescent="0.25">
      <c r="B60" s="73">
        <f t="shared" si="11"/>
        <v>40</v>
      </c>
      <c r="C60" s="424" t="str">
        <f>ייצוב!C60</f>
        <v>סיגל ברגמן</v>
      </c>
      <c r="D60" s="139">
        <f>IF(ייצוב!K60="","",ייצוב!K60)</f>
        <v>8.8652929221281571E-3</v>
      </c>
      <c r="E60" s="139">
        <f>IF(ייצוב!G60="","",ייצוב!G60)</f>
        <v>8.9805024899566165E-3</v>
      </c>
      <c r="F60" s="634">
        <f>'סיכום לועדה- הזנת נתונים'!G60</f>
        <v>1</v>
      </c>
      <c r="G60" s="146">
        <f t="shared" si="12"/>
        <v>0</v>
      </c>
      <c r="H60" s="432">
        <f t="shared" si="13"/>
        <v>0</v>
      </c>
      <c r="I60" s="433">
        <f t="shared" si="14"/>
        <v>8.8652929221281571E-3</v>
      </c>
      <c r="J60" s="433">
        <f t="shared" si="45"/>
        <v>8.8651402660891287E-3</v>
      </c>
      <c r="K60" s="434">
        <f t="shared" si="15"/>
        <v>0</v>
      </c>
      <c r="L60" s="434">
        <f t="shared" si="16"/>
        <v>0</v>
      </c>
      <c r="M60" s="435">
        <f t="shared" si="17"/>
        <v>8.8652929221281571E-3</v>
      </c>
      <c r="N60" s="435">
        <f t="shared" si="46"/>
        <v>8.865141254708879E-3</v>
      </c>
      <c r="O60" s="434">
        <f t="shared" si="18"/>
        <v>0</v>
      </c>
      <c r="P60" s="434">
        <f t="shared" si="19"/>
        <v>0</v>
      </c>
      <c r="Q60" s="435">
        <f t="shared" si="20"/>
        <v>8.8652929221281571E-3</v>
      </c>
      <c r="R60" s="435">
        <f t="shared" si="47"/>
        <v>8.8651402660891287E-3</v>
      </c>
      <c r="S60" s="434">
        <f t="shared" si="21"/>
        <v>0</v>
      </c>
      <c r="T60" s="434">
        <f t="shared" si="22"/>
        <v>0</v>
      </c>
      <c r="U60" s="435">
        <f t="shared" si="23"/>
        <v>8.8651402660891287E-3</v>
      </c>
      <c r="V60" s="435">
        <f t="shared" si="48"/>
        <v>8.8651402660891269E-3</v>
      </c>
      <c r="W60" s="434">
        <f t="shared" si="24"/>
        <v>0</v>
      </c>
      <c r="X60" s="434">
        <f t="shared" si="25"/>
        <v>0</v>
      </c>
      <c r="Y60" s="435">
        <f t="shared" si="26"/>
        <v>8.8651402660891269E-3</v>
      </c>
      <c r="Z60" s="435">
        <f t="shared" si="49"/>
        <v>8.8651402660891269E-3</v>
      </c>
      <c r="AA60" s="434">
        <f t="shared" si="27"/>
        <v>0</v>
      </c>
      <c r="AB60" s="434">
        <f t="shared" si="28"/>
        <v>0</v>
      </c>
      <c r="AC60" s="435">
        <f t="shared" si="29"/>
        <v>8.8651402660891269E-3</v>
      </c>
      <c r="AD60" s="435">
        <f t="shared" si="50"/>
        <v>8.8651402660891269E-3</v>
      </c>
      <c r="AE60" s="434">
        <f t="shared" si="30"/>
        <v>0</v>
      </c>
      <c r="AF60" s="434">
        <f t="shared" si="31"/>
        <v>0</v>
      </c>
      <c r="AG60" s="435">
        <f t="shared" si="32"/>
        <v>8.8651402660891269E-3</v>
      </c>
      <c r="AH60" s="435">
        <f t="shared" si="51"/>
        <v>8.8651402660891269E-3</v>
      </c>
      <c r="AI60" s="434">
        <f t="shared" si="33"/>
        <v>0</v>
      </c>
      <c r="AJ60" s="434">
        <f t="shared" si="34"/>
        <v>0</v>
      </c>
      <c r="AK60" s="435">
        <f t="shared" si="35"/>
        <v>8.8651402660891269E-3</v>
      </c>
      <c r="AL60" s="435">
        <f t="shared" si="52"/>
        <v>8.8651402660891269E-3</v>
      </c>
      <c r="AM60" s="434">
        <f t="shared" si="36"/>
        <v>0</v>
      </c>
      <c r="AN60" s="434">
        <f t="shared" si="37"/>
        <v>0</v>
      </c>
      <c r="AO60" s="435">
        <f t="shared" si="38"/>
        <v>8.8651402660891269E-3</v>
      </c>
      <c r="AP60" s="435">
        <f t="shared" si="53"/>
        <v>8.8651402660891269E-3</v>
      </c>
      <c r="AQ60" s="434">
        <f t="shared" si="39"/>
        <v>0</v>
      </c>
      <c r="AR60" s="434">
        <f t="shared" si="40"/>
        <v>0</v>
      </c>
      <c r="AS60" s="435">
        <f t="shared" si="41"/>
        <v>8.8651402660891269E-3</v>
      </c>
      <c r="AT60" s="435">
        <f t="shared" si="54"/>
        <v>8.8651402660891269E-3</v>
      </c>
      <c r="AU60" s="436">
        <f t="shared" si="55"/>
        <v>8.8651402660891287E-3</v>
      </c>
      <c r="AV60" s="151">
        <f t="shared" si="42"/>
        <v>71654.836597695627</v>
      </c>
      <c r="BA60" s="18">
        <f t="shared" si="56"/>
        <v>0</v>
      </c>
      <c r="BB60" s="18">
        <f t="shared" si="56"/>
        <v>1</v>
      </c>
      <c r="BD60" s="630">
        <f t="shared" si="44"/>
        <v>1</v>
      </c>
    </row>
    <row r="61" spans="2:56" x14ac:dyDescent="0.25">
      <c r="B61" s="73">
        <f t="shared" si="11"/>
        <v>41</v>
      </c>
      <c r="C61" s="424" t="str">
        <f>ייצוב!C61</f>
        <v>מעין ליבמן שרון</v>
      </c>
      <c r="D61" s="139">
        <f>IF(ייצוב!K61="","",ייצוב!K61)</f>
        <v>1.0612981162913634E-2</v>
      </c>
      <c r="E61" s="139">
        <f>IF(ייצוב!G61="","",ייצוב!G61)</f>
        <v>9.9193018036510209E-3</v>
      </c>
      <c r="F61" s="634">
        <f>'סיכום לועדה- הזנת נתונים'!G61</f>
        <v>1</v>
      </c>
      <c r="G61" s="146">
        <f t="shared" si="12"/>
        <v>0</v>
      </c>
      <c r="H61" s="432">
        <f t="shared" si="13"/>
        <v>0</v>
      </c>
      <c r="I61" s="433">
        <f t="shared" si="14"/>
        <v>1.0612981162913634E-2</v>
      </c>
      <c r="J61" s="433">
        <f t="shared" si="45"/>
        <v>1.0612798412531798E-2</v>
      </c>
      <c r="K61" s="434">
        <f t="shared" si="15"/>
        <v>0</v>
      </c>
      <c r="L61" s="434">
        <f t="shared" si="16"/>
        <v>0</v>
      </c>
      <c r="M61" s="435">
        <f t="shared" si="17"/>
        <v>1.0612981162913634E-2</v>
      </c>
      <c r="N61" s="435">
        <f t="shared" si="46"/>
        <v>1.0612799596046305E-2</v>
      </c>
      <c r="O61" s="434">
        <f t="shared" si="18"/>
        <v>0</v>
      </c>
      <c r="P61" s="434">
        <f t="shared" si="19"/>
        <v>0</v>
      </c>
      <c r="Q61" s="435">
        <f t="shared" si="20"/>
        <v>1.0612981162913634E-2</v>
      </c>
      <c r="R61" s="435">
        <f t="shared" si="47"/>
        <v>1.0612798412531798E-2</v>
      </c>
      <c r="S61" s="434">
        <f t="shared" si="21"/>
        <v>0</v>
      </c>
      <c r="T61" s="434">
        <f t="shared" si="22"/>
        <v>0</v>
      </c>
      <c r="U61" s="435">
        <f t="shared" si="23"/>
        <v>1.0612798412531798E-2</v>
      </c>
      <c r="V61" s="435">
        <f t="shared" si="48"/>
        <v>1.0612798412531797E-2</v>
      </c>
      <c r="W61" s="434">
        <f t="shared" si="24"/>
        <v>0</v>
      </c>
      <c r="X61" s="434">
        <f t="shared" si="25"/>
        <v>0</v>
      </c>
      <c r="Y61" s="435">
        <f t="shared" si="26"/>
        <v>1.0612798412531797E-2</v>
      </c>
      <c r="Z61" s="435">
        <f t="shared" si="49"/>
        <v>1.0612798412531797E-2</v>
      </c>
      <c r="AA61" s="434">
        <f t="shared" si="27"/>
        <v>0</v>
      </c>
      <c r="AB61" s="434">
        <f t="shared" si="28"/>
        <v>0</v>
      </c>
      <c r="AC61" s="435">
        <f t="shared" si="29"/>
        <v>1.0612798412531797E-2</v>
      </c>
      <c r="AD61" s="435">
        <f t="shared" si="50"/>
        <v>1.0612798412531797E-2</v>
      </c>
      <c r="AE61" s="434">
        <f t="shared" si="30"/>
        <v>0</v>
      </c>
      <c r="AF61" s="434">
        <f t="shared" si="31"/>
        <v>0</v>
      </c>
      <c r="AG61" s="435">
        <f t="shared" si="32"/>
        <v>1.0612798412531797E-2</v>
      </c>
      <c r="AH61" s="435">
        <f t="shared" si="51"/>
        <v>1.0612798412531797E-2</v>
      </c>
      <c r="AI61" s="434">
        <f t="shared" si="33"/>
        <v>0</v>
      </c>
      <c r="AJ61" s="434">
        <f t="shared" si="34"/>
        <v>0</v>
      </c>
      <c r="AK61" s="435">
        <f t="shared" si="35"/>
        <v>1.0612798412531797E-2</v>
      </c>
      <c r="AL61" s="435">
        <f t="shared" si="52"/>
        <v>1.0612798412531797E-2</v>
      </c>
      <c r="AM61" s="434">
        <f t="shared" si="36"/>
        <v>0</v>
      </c>
      <c r="AN61" s="434">
        <f t="shared" si="37"/>
        <v>0</v>
      </c>
      <c r="AO61" s="435">
        <f t="shared" si="38"/>
        <v>1.0612798412531797E-2</v>
      </c>
      <c r="AP61" s="435">
        <f t="shared" si="53"/>
        <v>1.0612798412531797E-2</v>
      </c>
      <c r="AQ61" s="434">
        <f t="shared" si="39"/>
        <v>0</v>
      </c>
      <c r="AR61" s="434">
        <f t="shared" si="40"/>
        <v>0</v>
      </c>
      <c r="AS61" s="435">
        <f t="shared" si="41"/>
        <v>1.0612798412531797E-2</v>
      </c>
      <c r="AT61" s="435">
        <f t="shared" si="54"/>
        <v>1.0612798412531795E-2</v>
      </c>
      <c r="AU61" s="436">
        <f t="shared" si="55"/>
        <v>1.0612798412531797E-2</v>
      </c>
      <c r="AV61" s="151">
        <f t="shared" si="42"/>
        <v>85780.744948069158</v>
      </c>
      <c r="BA61" s="18">
        <f t="shared" si="56"/>
        <v>0</v>
      </c>
      <c r="BB61" s="18">
        <f t="shared" si="56"/>
        <v>1</v>
      </c>
      <c r="BD61" s="630">
        <f t="shared" si="44"/>
        <v>1</v>
      </c>
    </row>
    <row r="62" spans="2:56" x14ac:dyDescent="0.25">
      <c r="B62" s="73">
        <f t="shared" si="11"/>
        <v>42</v>
      </c>
      <c r="C62" s="424" t="str">
        <f>ייצוב!C62</f>
        <v>אודליה קופרברג</v>
      </c>
      <c r="D62" s="139">
        <f>IF(ייצוב!K62="","",ייצוב!K62)</f>
        <v>6.7925346603210498E-3</v>
      </c>
      <c r="E62" s="139">
        <f>IF(ייצוב!G62="","",ייצוב!G62)</f>
        <v>6.719569609619472E-3</v>
      </c>
      <c r="F62" s="634">
        <f>'סיכום לועדה- הזנת נתונים'!G62</f>
        <v>1</v>
      </c>
      <c r="G62" s="146">
        <f t="shared" si="12"/>
        <v>0</v>
      </c>
      <c r="H62" s="432">
        <f t="shared" si="13"/>
        <v>0</v>
      </c>
      <c r="I62" s="433">
        <f t="shared" si="14"/>
        <v>6.7925346603210498E-3</v>
      </c>
      <c r="J62" s="433">
        <f t="shared" si="45"/>
        <v>6.7924176961727334E-3</v>
      </c>
      <c r="K62" s="434">
        <f t="shared" si="15"/>
        <v>0</v>
      </c>
      <c r="L62" s="434">
        <f t="shared" si="16"/>
        <v>0</v>
      </c>
      <c r="M62" s="435">
        <f t="shared" si="17"/>
        <v>6.7925346603210498E-3</v>
      </c>
      <c r="N62" s="435">
        <f t="shared" si="46"/>
        <v>6.7924184536473017E-3</v>
      </c>
      <c r="O62" s="434">
        <f t="shared" si="18"/>
        <v>0</v>
      </c>
      <c r="P62" s="434">
        <f t="shared" si="19"/>
        <v>0</v>
      </c>
      <c r="Q62" s="435">
        <f t="shared" si="20"/>
        <v>6.7925346603210498E-3</v>
      </c>
      <c r="R62" s="435">
        <f t="shared" si="47"/>
        <v>6.7924176961727334E-3</v>
      </c>
      <c r="S62" s="434">
        <f t="shared" si="21"/>
        <v>0</v>
      </c>
      <c r="T62" s="434">
        <f t="shared" si="22"/>
        <v>0</v>
      </c>
      <c r="U62" s="435">
        <f t="shared" si="23"/>
        <v>6.7924176961727334E-3</v>
      </c>
      <c r="V62" s="435">
        <f t="shared" si="48"/>
        <v>6.7924176961727317E-3</v>
      </c>
      <c r="W62" s="434">
        <f t="shared" si="24"/>
        <v>0</v>
      </c>
      <c r="X62" s="434">
        <f t="shared" si="25"/>
        <v>0</v>
      </c>
      <c r="Y62" s="435">
        <f t="shared" si="26"/>
        <v>6.7924176961727317E-3</v>
      </c>
      <c r="Z62" s="435">
        <f t="shared" si="49"/>
        <v>6.7924176961727317E-3</v>
      </c>
      <c r="AA62" s="434">
        <f t="shared" si="27"/>
        <v>0</v>
      </c>
      <c r="AB62" s="434">
        <f t="shared" si="28"/>
        <v>0</v>
      </c>
      <c r="AC62" s="435">
        <f t="shared" si="29"/>
        <v>6.7924176961727317E-3</v>
      </c>
      <c r="AD62" s="435">
        <f t="shared" si="50"/>
        <v>6.7924176961727317E-3</v>
      </c>
      <c r="AE62" s="434">
        <f t="shared" si="30"/>
        <v>0</v>
      </c>
      <c r="AF62" s="434">
        <f t="shared" si="31"/>
        <v>0</v>
      </c>
      <c r="AG62" s="435">
        <f t="shared" si="32"/>
        <v>6.7924176961727317E-3</v>
      </c>
      <c r="AH62" s="435">
        <f t="shared" si="51"/>
        <v>6.7924176961727317E-3</v>
      </c>
      <c r="AI62" s="434">
        <f t="shared" si="33"/>
        <v>0</v>
      </c>
      <c r="AJ62" s="434">
        <f t="shared" si="34"/>
        <v>0</v>
      </c>
      <c r="AK62" s="435">
        <f t="shared" si="35"/>
        <v>6.7924176961727317E-3</v>
      </c>
      <c r="AL62" s="435">
        <f t="shared" si="52"/>
        <v>6.7924176961727317E-3</v>
      </c>
      <c r="AM62" s="434">
        <f t="shared" si="36"/>
        <v>0</v>
      </c>
      <c r="AN62" s="434">
        <f t="shared" si="37"/>
        <v>0</v>
      </c>
      <c r="AO62" s="435">
        <f t="shared" si="38"/>
        <v>6.7924176961727317E-3</v>
      </c>
      <c r="AP62" s="435">
        <f t="shared" si="53"/>
        <v>6.7924176961727317E-3</v>
      </c>
      <c r="AQ62" s="434">
        <f t="shared" si="39"/>
        <v>0</v>
      </c>
      <c r="AR62" s="434">
        <f t="shared" si="40"/>
        <v>0</v>
      </c>
      <c r="AS62" s="435">
        <f t="shared" si="41"/>
        <v>6.7924176961727317E-3</v>
      </c>
      <c r="AT62" s="435">
        <f t="shared" si="54"/>
        <v>6.7924176961727308E-3</v>
      </c>
      <c r="AU62" s="436">
        <f t="shared" si="55"/>
        <v>6.7924176961727326E-3</v>
      </c>
      <c r="AV62" s="151">
        <f t="shared" si="42"/>
        <v>54901.5092275879</v>
      </c>
      <c r="BA62" s="18">
        <f t="shared" si="56"/>
        <v>0</v>
      </c>
      <c r="BB62" s="18">
        <f t="shared" si="56"/>
        <v>1</v>
      </c>
      <c r="BD62" s="630">
        <f t="shared" si="44"/>
        <v>1</v>
      </c>
    </row>
    <row r="63" spans="2:56" x14ac:dyDescent="0.25">
      <c r="B63" s="73">
        <f t="shared" si="11"/>
        <v>43</v>
      </c>
      <c r="C63" s="424" t="str">
        <f>ייצוב!C63</f>
        <v>נועה צוק</v>
      </c>
      <c r="D63" s="139">
        <f>IF(ייצוב!K63="","",ייצוב!K63)</f>
        <v>1.0845381099164962E-2</v>
      </c>
      <c r="E63" s="139">
        <f>IF(ייצוב!G63="","",ייצוב!G63)</f>
        <v>8.9752224038278511E-3</v>
      </c>
      <c r="F63" s="634">
        <f>'סיכום לועדה- הזנת נתונים'!G63</f>
        <v>1</v>
      </c>
      <c r="G63" s="146">
        <f t="shared" si="12"/>
        <v>0</v>
      </c>
      <c r="H63" s="432">
        <f t="shared" si="13"/>
        <v>0</v>
      </c>
      <c r="I63" s="433">
        <f t="shared" si="14"/>
        <v>1.0845381099164962E-2</v>
      </c>
      <c r="J63" s="433">
        <f t="shared" si="45"/>
        <v>1.0845194346969079E-2</v>
      </c>
      <c r="K63" s="434">
        <f t="shared" si="15"/>
        <v>0</v>
      </c>
      <c r="L63" s="434">
        <f t="shared" si="16"/>
        <v>0</v>
      </c>
      <c r="M63" s="435">
        <f t="shared" si="17"/>
        <v>1.0845381099164962E-2</v>
      </c>
      <c r="N63" s="435">
        <f t="shared" si="46"/>
        <v>1.084519555639984E-2</v>
      </c>
      <c r="O63" s="434">
        <f t="shared" si="18"/>
        <v>0</v>
      </c>
      <c r="P63" s="434">
        <f t="shared" si="19"/>
        <v>0</v>
      </c>
      <c r="Q63" s="435">
        <f t="shared" si="20"/>
        <v>1.0845381099164962E-2</v>
      </c>
      <c r="R63" s="435">
        <f t="shared" si="47"/>
        <v>1.0845194346969079E-2</v>
      </c>
      <c r="S63" s="434">
        <f t="shared" si="21"/>
        <v>0</v>
      </c>
      <c r="T63" s="434">
        <f t="shared" si="22"/>
        <v>0</v>
      </c>
      <c r="U63" s="435">
        <f t="shared" si="23"/>
        <v>1.0845194346969079E-2</v>
      </c>
      <c r="V63" s="435">
        <f t="shared" si="48"/>
        <v>1.0845194346969077E-2</v>
      </c>
      <c r="W63" s="434">
        <f t="shared" si="24"/>
        <v>0</v>
      </c>
      <c r="X63" s="434">
        <f t="shared" si="25"/>
        <v>0</v>
      </c>
      <c r="Y63" s="435">
        <f t="shared" si="26"/>
        <v>1.0845194346969077E-2</v>
      </c>
      <c r="Z63" s="435">
        <f t="shared" si="49"/>
        <v>1.0845194346969077E-2</v>
      </c>
      <c r="AA63" s="434">
        <f t="shared" si="27"/>
        <v>0</v>
      </c>
      <c r="AB63" s="434">
        <f t="shared" si="28"/>
        <v>0</v>
      </c>
      <c r="AC63" s="435">
        <f t="shared" si="29"/>
        <v>1.0845194346969077E-2</v>
      </c>
      <c r="AD63" s="435">
        <f t="shared" si="50"/>
        <v>1.0845194346969077E-2</v>
      </c>
      <c r="AE63" s="434">
        <f t="shared" si="30"/>
        <v>0</v>
      </c>
      <c r="AF63" s="434">
        <f t="shared" si="31"/>
        <v>0</v>
      </c>
      <c r="AG63" s="435">
        <f t="shared" si="32"/>
        <v>1.0845194346969077E-2</v>
      </c>
      <c r="AH63" s="435">
        <f t="shared" si="51"/>
        <v>1.0845194346969077E-2</v>
      </c>
      <c r="AI63" s="434">
        <f t="shared" si="33"/>
        <v>0</v>
      </c>
      <c r="AJ63" s="434">
        <f t="shared" si="34"/>
        <v>0</v>
      </c>
      <c r="AK63" s="435">
        <f t="shared" si="35"/>
        <v>1.0845194346969077E-2</v>
      </c>
      <c r="AL63" s="435">
        <f t="shared" si="52"/>
        <v>1.0845194346969077E-2</v>
      </c>
      <c r="AM63" s="434">
        <f t="shared" si="36"/>
        <v>0</v>
      </c>
      <c r="AN63" s="434">
        <f t="shared" si="37"/>
        <v>0</v>
      </c>
      <c r="AO63" s="435">
        <f t="shared" si="38"/>
        <v>1.0845194346969077E-2</v>
      </c>
      <c r="AP63" s="435">
        <f t="shared" si="53"/>
        <v>1.0845194346969077E-2</v>
      </c>
      <c r="AQ63" s="434">
        <f t="shared" si="39"/>
        <v>0</v>
      </c>
      <c r="AR63" s="434">
        <f t="shared" si="40"/>
        <v>0</v>
      </c>
      <c r="AS63" s="435">
        <f t="shared" si="41"/>
        <v>1.0845194346969077E-2</v>
      </c>
      <c r="AT63" s="435">
        <f t="shared" si="54"/>
        <v>1.0845194346969077E-2</v>
      </c>
      <c r="AU63" s="436">
        <f t="shared" si="55"/>
        <v>1.0845194346969079E-2</v>
      </c>
      <c r="AV63" s="151">
        <f t="shared" si="42"/>
        <v>87659.146440685188</v>
      </c>
      <c r="BA63" s="18">
        <f t="shared" si="56"/>
        <v>0</v>
      </c>
      <c r="BB63" s="18">
        <f t="shared" si="56"/>
        <v>1</v>
      </c>
      <c r="BD63" s="630">
        <f t="shared" si="44"/>
        <v>1</v>
      </c>
    </row>
    <row r="64" spans="2:56" x14ac:dyDescent="0.25">
      <c r="B64" s="73">
        <f t="shared" si="11"/>
        <v>44</v>
      </c>
      <c r="C64" s="424" t="str">
        <f>ייצוב!C64</f>
        <v>נטע פולברמכר</v>
      </c>
      <c r="D64" s="139">
        <f>IF(ייצוב!K64="","",ייצוב!K64)</f>
        <v>1.0849519321102596E-2</v>
      </c>
      <c r="E64" s="139">
        <f>IF(ייצוב!G64="","",ייצוב!G64)</f>
        <v>1.171136303575384E-2</v>
      </c>
      <c r="F64" s="634">
        <f>'סיכום לועדה- הזנת נתונים'!G64</f>
        <v>1</v>
      </c>
      <c r="G64" s="146">
        <f t="shared" si="12"/>
        <v>0</v>
      </c>
      <c r="H64" s="432">
        <f t="shared" si="13"/>
        <v>0</v>
      </c>
      <c r="I64" s="433">
        <f t="shared" si="14"/>
        <v>1.0849519321102596E-2</v>
      </c>
      <c r="J64" s="433">
        <f t="shared" si="45"/>
        <v>1.084933249764854E-2</v>
      </c>
      <c r="K64" s="434">
        <f t="shared" si="15"/>
        <v>0</v>
      </c>
      <c r="L64" s="434">
        <f t="shared" si="16"/>
        <v>0</v>
      </c>
      <c r="M64" s="435">
        <f t="shared" si="17"/>
        <v>1.0849519321102596E-2</v>
      </c>
      <c r="N64" s="435">
        <f t="shared" si="46"/>
        <v>1.0849333707540779E-2</v>
      </c>
      <c r="O64" s="434">
        <f t="shared" si="18"/>
        <v>0</v>
      </c>
      <c r="P64" s="434">
        <f t="shared" si="19"/>
        <v>0</v>
      </c>
      <c r="Q64" s="435">
        <f t="shared" si="20"/>
        <v>1.0849519321102596E-2</v>
      </c>
      <c r="R64" s="435">
        <f t="shared" si="47"/>
        <v>1.084933249764854E-2</v>
      </c>
      <c r="S64" s="434">
        <f t="shared" si="21"/>
        <v>0</v>
      </c>
      <c r="T64" s="434">
        <f t="shared" si="22"/>
        <v>0</v>
      </c>
      <c r="U64" s="435">
        <f t="shared" si="23"/>
        <v>1.084933249764854E-2</v>
      </c>
      <c r="V64" s="435">
        <f t="shared" si="48"/>
        <v>1.0849332497648538E-2</v>
      </c>
      <c r="W64" s="434">
        <f t="shared" si="24"/>
        <v>0</v>
      </c>
      <c r="X64" s="434">
        <f t="shared" si="25"/>
        <v>0</v>
      </c>
      <c r="Y64" s="435">
        <f t="shared" si="26"/>
        <v>1.0849332497648538E-2</v>
      </c>
      <c r="Z64" s="435">
        <f t="shared" si="49"/>
        <v>1.0849332497648538E-2</v>
      </c>
      <c r="AA64" s="434">
        <f t="shared" si="27"/>
        <v>0</v>
      </c>
      <c r="AB64" s="434">
        <f t="shared" si="28"/>
        <v>0</v>
      </c>
      <c r="AC64" s="435">
        <f t="shared" si="29"/>
        <v>1.0849332497648538E-2</v>
      </c>
      <c r="AD64" s="435">
        <f t="shared" si="50"/>
        <v>1.0849332497648538E-2</v>
      </c>
      <c r="AE64" s="434">
        <f t="shared" si="30"/>
        <v>0</v>
      </c>
      <c r="AF64" s="434">
        <f t="shared" si="31"/>
        <v>0</v>
      </c>
      <c r="AG64" s="435">
        <f t="shared" si="32"/>
        <v>1.0849332497648538E-2</v>
      </c>
      <c r="AH64" s="435">
        <f t="shared" si="51"/>
        <v>1.0849332497648538E-2</v>
      </c>
      <c r="AI64" s="434">
        <f t="shared" si="33"/>
        <v>0</v>
      </c>
      <c r="AJ64" s="434">
        <f t="shared" si="34"/>
        <v>0</v>
      </c>
      <c r="AK64" s="435">
        <f t="shared" si="35"/>
        <v>1.0849332497648538E-2</v>
      </c>
      <c r="AL64" s="435">
        <f t="shared" si="52"/>
        <v>1.0849332497648538E-2</v>
      </c>
      <c r="AM64" s="434">
        <f t="shared" si="36"/>
        <v>0</v>
      </c>
      <c r="AN64" s="434">
        <f t="shared" si="37"/>
        <v>0</v>
      </c>
      <c r="AO64" s="435">
        <f t="shared" si="38"/>
        <v>1.0849332497648538E-2</v>
      </c>
      <c r="AP64" s="435">
        <f t="shared" si="53"/>
        <v>1.0849332497648538E-2</v>
      </c>
      <c r="AQ64" s="434">
        <f t="shared" si="39"/>
        <v>0</v>
      </c>
      <c r="AR64" s="434">
        <f t="shared" si="40"/>
        <v>0</v>
      </c>
      <c r="AS64" s="435">
        <f t="shared" si="41"/>
        <v>1.0849332497648538E-2</v>
      </c>
      <c r="AT64" s="435">
        <f t="shared" si="54"/>
        <v>1.0849332497648538E-2</v>
      </c>
      <c r="AU64" s="436">
        <f t="shared" si="55"/>
        <v>1.084933249764854E-2</v>
      </c>
      <c r="AV64" s="151">
        <f t="shared" si="42"/>
        <v>87692.594136023705</v>
      </c>
      <c r="BA64" s="18">
        <f t="shared" si="56"/>
        <v>0</v>
      </c>
      <c r="BB64" s="18">
        <f t="shared" si="56"/>
        <v>1</v>
      </c>
      <c r="BD64" s="630">
        <f t="shared" si="44"/>
        <v>1</v>
      </c>
    </row>
    <row r="65" spans="2:56" x14ac:dyDescent="0.25">
      <c r="B65" s="73">
        <f t="shared" si="11"/>
        <v>45</v>
      </c>
      <c r="C65" s="424" t="str">
        <f>ייצוב!C65</f>
        <v>ניב שינפלד ואורן לאור</v>
      </c>
      <c r="D65" s="139">
        <f>IF(ייצוב!K65="","",ייצוב!K65)</f>
        <v>2.8519793790585949E-2</v>
      </c>
      <c r="E65" s="139">
        <f>IF(ייצוב!G65="","",ייצוב!G65)</f>
        <v>2.8925631834906491E-2</v>
      </c>
      <c r="F65" s="634">
        <f>'סיכום לועדה- הזנת נתונים'!G65</f>
        <v>0</v>
      </c>
      <c r="G65" s="146">
        <f t="shared" si="12"/>
        <v>0</v>
      </c>
      <c r="H65" s="432">
        <f t="shared" si="13"/>
        <v>0</v>
      </c>
      <c r="I65" s="433">
        <f t="shared" si="14"/>
        <v>2.8519793790585949E-2</v>
      </c>
      <c r="J65" s="433">
        <f t="shared" si="45"/>
        <v>2.8519302693586424E-2</v>
      </c>
      <c r="K65" s="434">
        <f t="shared" si="15"/>
        <v>0</v>
      </c>
      <c r="L65" s="434">
        <f t="shared" si="16"/>
        <v>0</v>
      </c>
      <c r="M65" s="435">
        <f t="shared" si="17"/>
        <v>2.8519793790585949E-2</v>
      </c>
      <c r="N65" s="435">
        <f t="shared" si="46"/>
        <v>2.8519305873992495E-2</v>
      </c>
      <c r="O65" s="434">
        <f t="shared" si="18"/>
        <v>0</v>
      </c>
      <c r="P65" s="434">
        <f t="shared" si="19"/>
        <v>0</v>
      </c>
      <c r="Q65" s="435">
        <f t="shared" si="20"/>
        <v>2.8519793790585949E-2</v>
      </c>
      <c r="R65" s="435">
        <f t="shared" si="47"/>
        <v>2.8519302693586424E-2</v>
      </c>
      <c r="S65" s="434">
        <f t="shared" si="21"/>
        <v>0</v>
      </c>
      <c r="T65" s="434">
        <f t="shared" si="22"/>
        <v>0</v>
      </c>
      <c r="U65" s="435">
        <f t="shared" si="23"/>
        <v>2.8519302693586424E-2</v>
      </c>
      <c r="V65" s="435">
        <f t="shared" si="48"/>
        <v>2.8519302693586417E-2</v>
      </c>
      <c r="W65" s="434">
        <f t="shared" si="24"/>
        <v>0</v>
      </c>
      <c r="X65" s="434">
        <f t="shared" si="25"/>
        <v>0</v>
      </c>
      <c r="Y65" s="435">
        <f t="shared" si="26"/>
        <v>2.8519302693586417E-2</v>
      </c>
      <c r="Z65" s="435">
        <f t="shared" si="49"/>
        <v>2.8519302693586417E-2</v>
      </c>
      <c r="AA65" s="434">
        <f t="shared" si="27"/>
        <v>0</v>
      </c>
      <c r="AB65" s="434">
        <f t="shared" si="28"/>
        <v>0</v>
      </c>
      <c r="AC65" s="435">
        <f t="shared" si="29"/>
        <v>2.8519302693586417E-2</v>
      </c>
      <c r="AD65" s="435">
        <f t="shared" si="50"/>
        <v>2.8519302693586417E-2</v>
      </c>
      <c r="AE65" s="434">
        <f t="shared" si="30"/>
        <v>0</v>
      </c>
      <c r="AF65" s="434">
        <f t="shared" si="31"/>
        <v>0</v>
      </c>
      <c r="AG65" s="435">
        <f t="shared" si="32"/>
        <v>2.8519302693586417E-2</v>
      </c>
      <c r="AH65" s="435">
        <f t="shared" si="51"/>
        <v>2.8519302693586417E-2</v>
      </c>
      <c r="AI65" s="434">
        <f t="shared" si="33"/>
        <v>0</v>
      </c>
      <c r="AJ65" s="434">
        <f t="shared" si="34"/>
        <v>0</v>
      </c>
      <c r="AK65" s="435">
        <f t="shared" si="35"/>
        <v>2.8519302693586417E-2</v>
      </c>
      <c r="AL65" s="435">
        <f t="shared" si="52"/>
        <v>2.8519302693586417E-2</v>
      </c>
      <c r="AM65" s="434">
        <f t="shared" si="36"/>
        <v>0</v>
      </c>
      <c r="AN65" s="434">
        <f t="shared" si="37"/>
        <v>0</v>
      </c>
      <c r="AO65" s="435">
        <f t="shared" si="38"/>
        <v>2.8519302693586417E-2</v>
      </c>
      <c r="AP65" s="435">
        <f t="shared" si="53"/>
        <v>2.8519302693586417E-2</v>
      </c>
      <c r="AQ65" s="434">
        <f t="shared" si="39"/>
        <v>0</v>
      </c>
      <c r="AR65" s="434">
        <f t="shared" si="40"/>
        <v>0</v>
      </c>
      <c r="AS65" s="435">
        <f t="shared" si="41"/>
        <v>2.8519302693586417E-2</v>
      </c>
      <c r="AT65" s="435">
        <f t="shared" si="54"/>
        <v>2.8519302693586417E-2</v>
      </c>
      <c r="AU65" s="436">
        <f t="shared" si="55"/>
        <v>2.8519302693586424E-2</v>
      </c>
      <c r="AV65" s="151">
        <f t="shared" si="42"/>
        <v>230514.79311682339</v>
      </c>
      <c r="BA65" s="18">
        <f t="shared" si="56"/>
        <v>0</v>
      </c>
      <c r="BB65" s="18">
        <f t="shared" si="56"/>
        <v>1</v>
      </c>
      <c r="BD65" s="630">
        <f t="shared" si="44"/>
        <v>1</v>
      </c>
    </row>
    <row r="66" spans="2:56" x14ac:dyDescent="0.25">
      <c r="B66" s="73">
        <f t="shared" si="11"/>
        <v>46</v>
      </c>
      <c r="C66" s="424" t="str">
        <f>ייצוב!C66</f>
        <v>נימה יעקובי</v>
      </c>
      <c r="D66" s="139">
        <f>IF(ייצוב!K66="","",ייצוב!K66)</f>
        <v>2.197643028283407E-2</v>
      </c>
      <c r="E66" s="139">
        <f>IF(ייצוב!G66="","",ייצוב!G66)</f>
        <v>1.9474673670876918E-2</v>
      </c>
      <c r="F66" s="634">
        <f>'סיכום לועדה- הזנת נתונים'!G66</f>
        <v>1</v>
      </c>
      <c r="G66" s="146">
        <f t="shared" si="12"/>
        <v>0</v>
      </c>
      <c r="H66" s="432">
        <f t="shared" si="13"/>
        <v>0</v>
      </c>
      <c r="I66" s="433">
        <f t="shared" si="14"/>
        <v>2.197643028283407E-2</v>
      </c>
      <c r="J66" s="433">
        <f t="shared" si="45"/>
        <v>2.1976051859376611E-2</v>
      </c>
      <c r="K66" s="434">
        <f t="shared" si="15"/>
        <v>0</v>
      </c>
      <c r="L66" s="434">
        <f t="shared" si="16"/>
        <v>0</v>
      </c>
      <c r="M66" s="435">
        <f t="shared" si="17"/>
        <v>2.197643028283407E-2</v>
      </c>
      <c r="N66" s="435">
        <f t="shared" si="46"/>
        <v>2.1976054310094622E-2</v>
      </c>
      <c r="O66" s="434">
        <f t="shared" si="18"/>
        <v>0</v>
      </c>
      <c r="P66" s="434">
        <f t="shared" si="19"/>
        <v>0</v>
      </c>
      <c r="Q66" s="435">
        <f t="shared" si="20"/>
        <v>2.197643028283407E-2</v>
      </c>
      <c r="R66" s="435">
        <f t="shared" si="47"/>
        <v>2.1976051859376611E-2</v>
      </c>
      <c r="S66" s="434">
        <f t="shared" si="21"/>
        <v>0</v>
      </c>
      <c r="T66" s="434">
        <f t="shared" si="22"/>
        <v>0</v>
      </c>
      <c r="U66" s="435">
        <f t="shared" si="23"/>
        <v>2.1976051859376611E-2</v>
      </c>
      <c r="V66" s="435">
        <f t="shared" si="48"/>
        <v>2.1976051859376608E-2</v>
      </c>
      <c r="W66" s="434">
        <f t="shared" si="24"/>
        <v>0</v>
      </c>
      <c r="X66" s="434">
        <f t="shared" si="25"/>
        <v>0</v>
      </c>
      <c r="Y66" s="435">
        <f t="shared" si="26"/>
        <v>2.1976051859376608E-2</v>
      </c>
      <c r="Z66" s="435">
        <f t="shared" si="49"/>
        <v>2.1976051859376608E-2</v>
      </c>
      <c r="AA66" s="434">
        <f t="shared" si="27"/>
        <v>0</v>
      </c>
      <c r="AB66" s="434">
        <f t="shared" si="28"/>
        <v>0</v>
      </c>
      <c r="AC66" s="435">
        <f t="shared" si="29"/>
        <v>2.1976051859376608E-2</v>
      </c>
      <c r="AD66" s="435">
        <f t="shared" si="50"/>
        <v>2.1976051859376608E-2</v>
      </c>
      <c r="AE66" s="434">
        <f t="shared" si="30"/>
        <v>0</v>
      </c>
      <c r="AF66" s="434">
        <f t="shared" si="31"/>
        <v>0</v>
      </c>
      <c r="AG66" s="435">
        <f t="shared" si="32"/>
        <v>2.1976051859376608E-2</v>
      </c>
      <c r="AH66" s="435">
        <f t="shared" si="51"/>
        <v>2.1976051859376608E-2</v>
      </c>
      <c r="AI66" s="434">
        <f t="shared" si="33"/>
        <v>0</v>
      </c>
      <c r="AJ66" s="434">
        <f t="shared" si="34"/>
        <v>0</v>
      </c>
      <c r="AK66" s="435">
        <f t="shared" si="35"/>
        <v>2.1976051859376608E-2</v>
      </c>
      <c r="AL66" s="435">
        <f t="shared" si="52"/>
        <v>2.1976051859376608E-2</v>
      </c>
      <c r="AM66" s="434">
        <f t="shared" si="36"/>
        <v>0</v>
      </c>
      <c r="AN66" s="434">
        <f t="shared" si="37"/>
        <v>0</v>
      </c>
      <c r="AO66" s="435">
        <f t="shared" si="38"/>
        <v>2.1976051859376608E-2</v>
      </c>
      <c r="AP66" s="435">
        <f t="shared" si="53"/>
        <v>2.1976051859376608E-2</v>
      </c>
      <c r="AQ66" s="434">
        <f t="shared" si="39"/>
        <v>0</v>
      </c>
      <c r="AR66" s="434">
        <f t="shared" si="40"/>
        <v>0</v>
      </c>
      <c r="AS66" s="435">
        <f t="shared" si="41"/>
        <v>2.1976051859376608E-2</v>
      </c>
      <c r="AT66" s="435">
        <f t="shared" si="54"/>
        <v>2.1976051859376605E-2</v>
      </c>
      <c r="AU66" s="436">
        <f t="shared" si="55"/>
        <v>2.1976051859376608E-2</v>
      </c>
      <c r="AV66" s="151">
        <f t="shared" si="42"/>
        <v>177627.2408311023</v>
      </c>
      <c r="BA66" s="18">
        <f t="shared" si="56"/>
        <v>0</v>
      </c>
      <c r="BB66" s="18">
        <f t="shared" si="56"/>
        <v>1</v>
      </c>
      <c r="BD66" s="630">
        <f t="shared" si="44"/>
        <v>1</v>
      </c>
    </row>
    <row r="67" spans="2:56" x14ac:dyDescent="0.25">
      <c r="B67" s="73">
        <f t="shared" si="11"/>
        <v>47</v>
      </c>
      <c r="C67" s="424" t="str">
        <f>ייצוב!C67</f>
        <v>נמרוד פריד</v>
      </c>
      <c r="D67" s="139">
        <f>IF(ייצוב!K67="","",ייצוב!K67)</f>
        <v>7.0914866025434372E-3</v>
      </c>
      <c r="E67" s="139">
        <f>IF(ייצוב!G67="","",ייצוב!G67)</f>
        <v>8.0551673958905619E-3</v>
      </c>
      <c r="F67" s="634">
        <f>'סיכום לועדה- הזנת נתונים'!G67</f>
        <v>0</v>
      </c>
      <c r="G67" s="146">
        <f t="shared" si="12"/>
        <v>0</v>
      </c>
      <c r="H67" s="432">
        <f t="shared" si="13"/>
        <v>0</v>
      </c>
      <c r="I67" s="433">
        <f t="shared" si="14"/>
        <v>7.0914866025434372E-3</v>
      </c>
      <c r="J67" s="433">
        <f t="shared" si="45"/>
        <v>7.0913644905878509E-3</v>
      </c>
      <c r="K67" s="434">
        <f t="shared" si="15"/>
        <v>0</v>
      </c>
      <c r="L67" s="434">
        <f t="shared" si="16"/>
        <v>0</v>
      </c>
      <c r="M67" s="435">
        <f t="shared" si="17"/>
        <v>7.0914866025434372E-3</v>
      </c>
      <c r="N67" s="435">
        <f t="shared" si="46"/>
        <v>7.0913652814002673E-3</v>
      </c>
      <c r="O67" s="434">
        <f t="shared" si="18"/>
        <v>0</v>
      </c>
      <c r="P67" s="434">
        <f t="shared" si="19"/>
        <v>0</v>
      </c>
      <c r="Q67" s="435">
        <f t="shared" si="20"/>
        <v>7.0914866025434372E-3</v>
      </c>
      <c r="R67" s="435">
        <f t="shared" si="47"/>
        <v>7.0913644905878509E-3</v>
      </c>
      <c r="S67" s="434">
        <f t="shared" si="21"/>
        <v>0</v>
      </c>
      <c r="T67" s="434">
        <f t="shared" si="22"/>
        <v>0</v>
      </c>
      <c r="U67" s="435">
        <f t="shared" si="23"/>
        <v>7.0913644905878509E-3</v>
      </c>
      <c r="V67" s="435">
        <f t="shared" si="48"/>
        <v>7.0913644905878492E-3</v>
      </c>
      <c r="W67" s="434">
        <f t="shared" si="24"/>
        <v>0</v>
      </c>
      <c r="X67" s="434">
        <f t="shared" si="25"/>
        <v>0</v>
      </c>
      <c r="Y67" s="435">
        <f t="shared" si="26"/>
        <v>7.0913644905878492E-3</v>
      </c>
      <c r="Z67" s="435">
        <f t="shared" si="49"/>
        <v>7.0913644905878492E-3</v>
      </c>
      <c r="AA67" s="434">
        <f t="shared" si="27"/>
        <v>0</v>
      </c>
      <c r="AB67" s="434">
        <f t="shared" si="28"/>
        <v>0</v>
      </c>
      <c r="AC67" s="435">
        <f t="shared" si="29"/>
        <v>7.0913644905878492E-3</v>
      </c>
      <c r="AD67" s="435">
        <f t="shared" si="50"/>
        <v>7.0913644905878492E-3</v>
      </c>
      <c r="AE67" s="434">
        <f t="shared" si="30"/>
        <v>0</v>
      </c>
      <c r="AF67" s="434">
        <f t="shared" si="31"/>
        <v>0</v>
      </c>
      <c r="AG67" s="435">
        <f t="shared" si="32"/>
        <v>7.0913644905878492E-3</v>
      </c>
      <c r="AH67" s="435">
        <f t="shared" si="51"/>
        <v>7.0913644905878492E-3</v>
      </c>
      <c r="AI67" s="434">
        <f t="shared" si="33"/>
        <v>0</v>
      </c>
      <c r="AJ67" s="434">
        <f t="shared" si="34"/>
        <v>0</v>
      </c>
      <c r="AK67" s="435">
        <f t="shared" si="35"/>
        <v>7.0913644905878492E-3</v>
      </c>
      <c r="AL67" s="435">
        <f t="shared" si="52"/>
        <v>7.0913644905878492E-3</v>
      </c>
      <c r="AM67" s="434">
        <f t="shared" si="36"/>
        <v>0</v>
      </c>
      <c r="AN67" s="434">
        <f t="shared" si="37"/>
        <v>0</v>
      </c>
      <c r="AO67" s="435">
        <f t="shared" si="38"/>
        <v>7.0913644905878492E-3</v>
      </c>
      <c r="AP67" s="435">
        <f t="shared" si="53"/>
        <v>7.0913644905878492E-3</v>
      </c>
      <c r="AQ67" s="434">
        <f t="shared" si="39"/>
        <v>0</v>
      </c>
      <c r="AR67" s="434">
        <f t="shared" si="40"/>
        <v>0</v>
      </c>
      <c r="AS67" s="435">
        <f t="shared" si="41"/>
        <v>7.0913644905878492E-3</v>
      </c>
      <c r="AT67" s="435">
        <f t="shared" si="54"/>
        <v>7.0913644905878483E-3</v>
      </c>
      <c r="AU67" s="436">
        <f t="shared" si="55"/>
        <v>7.09136449058785E-3</v>
      </c>
      <c r="AV67" s="151">
        <f t="shared" si="42"/>
        <v>57317.825615401816</v>
      </c>
      <c r="BA67" s="18">
        <f t="shared" si="56"/>
        <v>0</v>
      </c>
      <c r="BB67" s="18">
        <f t="shared" si="56"/>
        <v>1</v>
      </c>
      <c r="BD67" s="630">
        <f t="shared" si="44"/>
        <v>1</v>
      </c>
    </row>
    <row r="68" spans="2:56" x14ac:dyDescent="0.25">
      <c r="B68" s="73">
        <f t="shared" si="11"/>
        <v>48</v>
      </c>
      <c r="C68" s="424" t="str">
        <f>ייצוב!C68</f>
        <v>נעה דר</v>
      </c>
      <c r="D68" s="139">
        <f>IF(ייצוב!K68="","",ייצוב!K68)</f>
        <v>1.3402155532399899E-2</v>
      </c>
      <c r="E68" s="139">
        <f>IF(ייצוב!G68="","",ייצוב!G68)</f>
        <v>1.5887383154994023E-2</v>
      </c>
      <c r="F68" s="634">
        <f>'סיכום לועדה- הזנת נתונים'!G68</f>
        <v>0</v>
      </c>
      <c r="G68" s="146">
        <f t="shared" si="12"/>
        <v>0</v>
      </c>
      <c r="H68" s="432">
        <f t="shared" si="13"/>
        <v>0</v>
      </c>
      <c r="I68" s="433">
        <f t="shared" si="14"/>
        <v>1.3402155532399899E-2</v>
      </c>
      <c r="J68" s="433">
        <f t="shared" si="45"/>
        <v>1.3401924753789875E-2</v>
      </c>
      <c r="K68" s="434">
        <f t="shared" si="15"/>
        <v>0</v>
      </c>
      <c r="L68" s="434">
        <f t="shared" si="16"/>
        <v>0</v>
      </c>
      <c r="M68" s="435">
        <f t="shared" si="17"/>
        <v>1.3402155532399899E-2</v>
      </c>
      <c r="N68" s="435">
        <f t="shared" si="46"/>
        <v>1.3401926248341243E-2</v>
      </c>
      <c r="O68" s="434">
        <f t="shared" si="18"/>
        <v>0</v>
      </c>
      <c r="P68" s="434">
        <f t="shared" si="19"/>
        <v>0</v>
      </c>
      <c r="Q68" s="435">
        <f t="shared" si="20"/>
        <v>1.3402155532399899E-2</v>
      </c>
      <c r="R68" s="435">
        <f t="shared" si="47"/>
        <v>1.3401924753789875E-2</v>
      </c>
      <c r="S68" s="434">
        <f t="shared" si="21"/>
        <v>0</v>
      </c>
      <c r="T68" s="434">
        <f t="shared" si="22"/>
        <v>0</v>
      </c>
      <c r="U68" s="435">
        <f t="shared" si="23"/>
        <v>1.3401924753789875E-2</v>
      </c>
      <c r="V68" s="435">
        <f t="shared" si="48"/>
        <v>1.3401924753789872E-2</v>
      </c>
      <c r="W68" s="434">
        <f t="shared" si="24"/>
        <v>0</v>
      </c>
      <c r="X68" s="434">
        <f t="shared" si="25"/>
        <v>0</v>
      </c>
      <c r="Y68" s="435">
        <f t="shared" si="26"/>
        <v>1.3401924753789872E-2</v>
      </c>
      <c r="Z68" s="435">
        <f t="shared" si="49"/>
        <v>1.3401924753789872E-2</v>
      </c>
      <c r="AA68" s="434">
        <f t="shared" si="27"/>
        <v>0</v>
      </c>
      <c r="AB68" s="434">
        <f t="shared" si="28"/>
        <v>0</v>
      </c>
      <c r="AC68" s="435">
        <f t="shared" si="29"/>
        <v>1.3401924753789872E-2</v>
      </c>
      <c r="AD68" s="435">
        <f t="shared" si="50"/>
        <v>1.3401924753789872E-2</v>
      </c>
      <c r="AE68" s="434">
        <f t="shared" si="30"/>
        <v>0</v>
      </c>
      <c r="AF68" s="434">
        <f t="shared" si="31"/>
        <v>0</v>
      </c>
      <c r="AG68" s="435">
        <f t="shared" si="32"/>
        <v>1.3401924753789872E-2</v>
      </c>
      <c r="AH68" s="435">
        <f t="shared" si="51"/>
        <v>1.3401924753789872E-2</v>
      </c>
      <c r="AI68" s="434">
        <f t="shared" si="33"/>
        <v>0</v>
      </c>
      <c r="AJ68" s="434">
        <f t="shared" si="34"/>
        <v>0</v>
      </c>
      <c r="AK68" s="435">
        <f t="shared" si="35"/>
        <v>1.3401924753789872E-2</v>
      </c>
      <c r="AL68" s="435">
        <f t="shared" si="52"/>
        <v>1.3401924753789872E-2</v>
      </c>
      <c r="AM68" s="434">
        <f t="shared" si="36"/>
        <v>0</v>
      </c>
      <c r="AN68" s="434">
        <f t="shared" si="37"/>
        <v>0</v>
      </c>
      <c r="AO68" s="435">
        <f t="shared" si="38"/>
        <v>1.3401924753789872E-2</v>
      </c>
      <c r="AP68" s="435">
        <f t="shared" si="53"/>
        <v>1.3401924753789872E-2</v>
      </c>
      <c r="AQ68" s="434">
        <f t="shared" si="39"/>
        <v>0</v>
      </c>
      <c r="AR68" s="434">
        <f t="shared" si="40"/>
        <v>0</v>
      </c>
      <c r="AS68" s="435">
        <f t="shared" si="41"/>
        <v>1.3401924753789872E-2</v>
      </c>
      <c r="AT68" s="435">
        <f t="shared" si="54"/>
        <v>1.340192475378987E-2</v>
      </c>
      <c r="AU68" s="436">
        <f t="shared" si="55"/>
        <v>1.3401924753789873E-2</v>
      </c>
      <c r="AV68" s="151">
        <f t="shared" si="42"/>
        <v>108324.59493064166</v>
      </c>
      <c r="BA68" s="18">
        <f t="shared" si="56"/>
        <v>0</v>
      </c>
      <c r="BB68" s="18">
        <f t="shared" si="56"/>
        <v>1</v>
      </c>
      <c r="BD68" s="630">
        <f t="shared" si="44"/>
        <v>1</v>
      </c>
    </row>
    <row r="69" spans="2:56" x14ac:dyDescent="0.25">
      <c r="B69" s="73">
        <f t="shared" si="11"/>
        <v>49</v>
      </c>
      <c r="C69" s="424" t="str">
        <f>ייצוב!C69</f>
        <v>נעה שדור</v>
      </c>
      <c r="D69" s="139">
        <f>IF(ייצוב!K69="","",ייצוב!K69)</f>
        <v>5.6496814072966159E-3</v>
      </c>
      <c r="E69" s="139">
        <f>IF(ייצוב!G69="","",ייצוב!G69)</f>
        <v>5.2274172696305018E-3</v>
      </c>
      <c r="F69" s="634">
        <f>'סיכום לועדה- הזנת נתונים'!G69</f>
        <v>0</v>
      </c>
      <c r="G69" s="146">
        <f t="shared" si="12"/>
        <v>0</v>
      </c>
      <c r="H69" s="432">
        <f t="shared" si="13"/>
        <v>0</v>
      </c>
      <c r="I69" s="433">
        <f t="shared" si="14"/>
        <v>5.6496814072966159E-3</v>
      </c>
      <c r="J69" s="433">
        <f t="shared" si="45"/>
        <v>5.6495841225263337E-3</v>
      </c>
      <c r="K69" s="434">
        <f t="shared" si="15"/>
        <v>0</v>
      </c>
      <c r="L69" s="434">
        <f t="shared" si="16"/>
        <v>0</v>
      </c>
      <c r="M69" s="435">
        <f t="shared" si="17"/>
        <v>5.6496814072966159E-3</v>
      </c>
      <c r="N69" s="435">
        <f t="shared" si="46"/>
        <v>5.6495847525547694E-3</v>
      </c>
      <c r="O69" s="434">
        <f t="shared" si="18"/>
        <v>0</v>
      </c>
      <c r="P69" s="434">
        <f t="shared" si="19"/>
        <v>0</v>
      </c>
      <c r="Q69" s="435">
        <f t="shared" si="20"/>
        <v>5.6496814072966159E-3</v>
      </c>
      <c r="R69" s="435">
        <f t="shared" si="47"/>
        <v>5.6495841225263337E-3</v>
      </c>
      <c r="S69" s="434">
        <f t="shared" si="21"/>
        <v>0</v>
      </c>
      <c r="T69" s="434">
        <f t="shared" si="22"/>
        <v>0</v>
      </c>
      <c r="U69" s="435">
        <f t="shared" si="23"/>
        <v>5.6495841225263337E-3</v>
      </c>
      <c r="V69" s="435">
        <f t="shared" si="48"/>
        <v>5.6495841225263329E-3</v>
      </c>
      <c r="W69" s="434">
        <f t="shared" si="24"/>
        <v>0</v>
      </c>
      <c r="X69" s="434">
        <f t="shared" si="25"/>
        <v>0</v>
      </c>
      <c r="Y69" s="435">
        <f t="shared" si="26"/>
        <v>5.6495841225263329E-3</v>
      </c>
      <c r="Z69" s="435">
        <f t="shared" si="49"/>
        <v>5.6495841225263329E-3</v>
      </c>
      <c r="AA69" s="434">
        <f t="shared" si="27"/>
        <v>0</v>
      </c>
      <c r="AB69" s="434">
        <f t="shared" si="28"/>
        <v>0</v>
      </c>
      <c r="AC69" s="435">
        <f t="shared" si="29"/>
        <v>5.6495841225263329E-3</v>
      </c>
      <c r="AD69" s="435">
        <f t="shared" si="50"/>
        <v>5.6495841225263329E-3</v>
      </c>
      <c r="AE69" s="434">
        <f t="shared" si="30"/>
        <v>0</v>
      </c>
      <c r="AF69" s="434">
        <f t="shared" si="31"/>
        <v>0</v>
      </c>
      <c r="AG69" s="435">
        <f t="shared" si="32"/>
        <v>5.6495841225263329E-3</v>
      </c>
      <c r="AH69" s="435">
        <f t="shared" si="51"/>
        <v>5.6495841225263329E-3</v>
      </c>
      <c r="AI69" s="434">
        <f t="shared" si="33"/>
        <v>0</v>
      </c>
      <c r="AJ69" s="434">
        <f t="shared" si="34"/>
        <v>0</v>
      </c>
      <c r="AK69" s="435">
        <f t="shared" si="35"/>
        <v>5.6495841225263329E-3</v>
      </c>
      <c r="AL69" s="435">
        <f t="shared" si="52"/>
        <v>5.6495841225263329E-3</v>
      </c>
      <c r="AM69" s="434">
        <f t="shared" si="36"/>
        <v>0</v>
      </c>
      <c r="AN69" s="434">
        <f t="shared" si="37"/>
        <v>0</v>
      </c>
      <c r="AO69" s="435">
        <f t="shared" si="38"/>
        <v>5.6495841225263329E-3</v>
      </c>
      <c r="AP69" s="435">
        <f t="shared" si="53"/>
        <v>5.6495841225263329E-3</v>
      </c>
      <c r="AQ69" s="434">
        <f t="shared" si="39"/>
        <v>0</v>
      </c>
      <c r="AR69" s="434">
        <f t="shared" si="40"/>
        <v>0</v>
      </c>
      <c r="AS69" s="435">
        <f t="shared" si="41"/>
        <v>5.6495841225263329E-3</v>
      </c>
      <c r="AT69" s="435">
        <f t="shared" si="54"/>
        <v>5.649584122526332E-3</v>
      </c>
      <c r="AU69" s="436">
        <f t="shared" si="55"/>
        <v>5.6495841225263329E-3</v>
      </c>
      <c r="AV69" s="151">
        <f t="shared" si="42"/>
        <v>45664.255160527435</v>
      </c>
      <c r="BA69" s="18">
        <f t="shared" si="56"/>
        <v>0</v>
      </c>
      <c r="BB69" s="18">
        <f t="shared" si="56"/>
        <v>1</v>
      </c>
      <c r="BD69" s="630">
        <f t="shared" si="44"/>
        <v>1</v>
      </c>
    </row>
    <row r="70" spans="2:56" x14ac:dyDescent="0.25">
      <c r="B70" s="73">
        <f t="shared" si="11"/>
        <v>50</v>
      </c>
      <c r="C70" s="424" t="str">
        <f>ייצוב!C70</f>
        <v>סאלי אן פרילנד</v>
      </c>
      <c r="D70" s="139">
        <f>IF(ייצוב!K70="","",ייצוב!K70)</f>
        <v>7.1026779302956859E-3</v>
      </c>
      <c r="E70" s="139">
        <f>IF(ייצוב!G70="","",ייצוב!G70)</f>
        <v>8.4404816811371828E-3</v>
      </c>
      <c r="F70" s="634">
        <f>'סיכום לועדה- הזנת נתונים'!G70</f>
        <v>0</v>
      </c>
      <c r="G70" s="146">
        <f t="shared" si="12"/>
        <v>0</v>
      </c>
      <c r="H70" s="432">
        <f t="shared" si="13"/>
        <v>0</v>
      </c>
      <c r="I70" s="433">
        <f t="shared" si="14"/>
        <v>7.1026779302956859E-3</v>
      </c>
      <c r="J70" s="433">
        <f t="shared" si="45"/>
        <v>7.10255562563087E-3</v>
      </c>
      <c r="K70" s="434">
        <f t="shared" si="15"/>
        <v>0</v>
      </c>
      <c r="L70" s="434">
        <f t="shared" si="16"/>
        <v>0</v>
      </c>
      <c r="M70" s="435">
        <f t="shared" si="17"/>
        <v>7.1026779302956859E-3</v>
      </c>
      <c r="N70" s="435">
        <f t="shared" si="46"/>
        <v>7.1025564176912959E-3</v>
      </c>
      <c r="O70" s="434">
        <f t="shared" si="18"/>
        <v>0</v>
      </c>
      <c r="P70" s="434">
        <f t="shared" si="19"/>
        <v>0</v>
      </c>
      <c r="Q70" s="435">
        <f t="shared" si="20"/>
        <v>7.1026779302956859E-3</v>
      </c>
      <c r="R70" s="435">
        <f t="shared" si="47"/>
        <v>7.10255562563087E-3</v>
      </c>
      <c r="S70" s="434">
        <f t="shared" si="21"/>
        <v>0</v>
      </c>
      <c r="T70" s="434">
        <f t="shared" si="22"/>
        <v>0</v>
      </c>
      <c r="U70" s="435">
        <f t="shared" si="23"/>
        <v>7.10255562563087E-3</v>
      </c>
      <c r="V70" s="435">
        <f t="shared" si="48"/>
        <v>7.1025556256308683E-3</v>
      </c>
      <c r="W70" s="434">
        <f t="shared" si="24"/>
        <v>0</v>
      </c>
      <c r="X70" s="434">
        <f t="shared" si="25"/>
        <v>0</v>
      </c>
      <c r="Y70" s="435">
        <f t="shared" si="26"/>
        <v>7.1025556256308683E-3</v>
      </c>
      <c r="Z70" s="435">
        <f t="shared" si="49"/>
        <v>7.1025556256308683E-3</v>
      </c>
      <c r="AA70" s="434">
        <f t="shared" si="27"/>
        <v>0</v>
      </c>
      <c r="AB70" s="434">
        <f t="shared" si="28"/>
        <v>0</v>
      </c>
      <c r="AC70" s="435">
        <f t="shared" si="29"/>
        <v>7.1025556256308683E-3</v>
      </c>
      <c r="AD70" s="435">
        <f t="shared" si="50"/>
        <v>7.1025556256308683E-3</v>
      </c>
      <c r="AE70" s="434">
        <f t="shared" si="30"/>
        <v>0</v>
      </c>
      <c r="AF70" s="434">
        <f t="shared" si="31"/>
        <v>0</v>
      </c>
      <c r="AG70" s="435">
        <f t="shared" si="32"/>
        <v>7.1025556256308683E-3</v>
      </c>
      <c r="AH70" s="435">
        <f t="shared" si="51"/>
        <v>7.1025556256308683E-3</v>
      </c>
      <c r="AI70" s="434">
        <f t="shared" si="33"/>
        <v>0</v>
      </c>
      <c r="AJ70" s="434">
        <f t="shared" si="34"/>
        <v>0</v>
      </c>
      <c r="AK70" s="435">
        <f t="shared" si="35"/>
        <v>7.1025556256308683E-3</v>
      </c>
      <c r="AL70" s="435">
        <f t="shared" si="52"/>
        <v>7.1025556256308683E-3</v>
      </c>
      <c r="AM70" s="434">
        <f t="shared" si="36"/>
        <v>0</v>
      </c>
      <c r="AN70" s="434">
        <f t="shared" si="37"/>
        <v>0</v>
      </c>
      <c r="AO70" s="435">
        <f t="shared" si="38"/>
        <v>7.1025556256308683E-3</v>
      </c>
      <c r="AP70" s="435">
        <f t="shared" si="53"/>
        <v>7.1025556256308683E-3</v>
      </c>
      <c r="AQ70" s="434">
        <f t="shared" si="39"/>
        <v>0</v>
      </c>
      <c r="AR70" s="434">
        <f t="shared" si="40"/>
        <v>0</v>
      </c>
      <c r="AS70" s="435">
        <f t="shared" si="41"/>
        <v>7.1025556256308683E-3</v>
      </c>
      <c r="AT70" s="435">
        <f t="shared" si="54"/>
        <v>7.1025556256308674E-3</v>
      </c>
      <c r="AU70" s="436">
        <f t="shared" si="55"/>
        <v>7.1025556256308691E-3</v>
      </c>
      <c r="AV70" s="151">
        <f t="shared" si="42"/>
        <v>57408.280918846664</v>
      </c>
      <c r="BA70" s="18">
        <f t="shared" si="56"/>
        <v>0</v>
      </c>
      <c r="BB70" s="18">
        <f t="shared" si="56"/>
        <v>1</v>
      </c>
      <c r="BD70" s="630">
        <f t="shared" si="44"/>
        <v>1</v>
      </c>
    </row>
    <row r="71" spans="2:56" x14ac:dyDescent="0.25">
      <c r="B71" s="73">
        <f t="shared" si="11"/>
        <v>51</v>
      </c>
      <c r="C71" s="424" t="str">
        <f>ייצוב!C71</f>
        <v>סהר עזימי</v>
      </c>
      <c r="D71" s="139">
        <f>IF(ייצוב!K71="","",ייצוב!K71)</f>
        <v>8.9881883847022209E-3</v>
      </c>
      <c r="E71" s="139">
        <f>IF(ייצוב!G71="","",ייצוב!G71)</f>
        <v>1.0447178414374295E-2</v>
      </c>
      <c r="F71" s="634">
        <f>'סיכום לועדה- הזנת נתונים'!G71</f>
        <v>0</v>
      </c>
      <c r="G71" s="146">
        <f t="shared" si="12"/>
        <v>0</v>
      </c>
      <c r="H71" s="432">
        <f t="shared" si="13"/>
        <v>0</v>
      </c>
      <c r="I71" s="433">
        <f t="shared" si="14"/>
        <v>8.9881883847022209E-3</v>
      </c>
      <c r="J71" s="433">
        <f t="shared" si="45"/>
        <v>8.9880336124630068E-3</v>
      </c>
      <c r="K71" s="434">
        <f t="shared" si="15"/>
        <v>0</v>
      </c>
      <c r="L71" s="434">
        <f t="shared" si="16"/>
        <v>0</v>
      </c>
      <c r="M71" s="435">
        <f t="shared" si="17"/>
        <v>8.9881883847022209E-3</v>
      </c>
      <c r="N71" s="435">
        <f t="shared" si="46"/>
        <v>8.9880346147875358E-3</v>
      </c>
      <c r="O71" s="434">
        <f t="shared" si="18"/>
        <v>0</v>
      </c>
      <c r="P71" s="434">
        <f t="shared" si="19"/>
        <v>0</v>
      </c>
      <c r="Q71" s="435">
        <f t="shared" si="20"/>
        <v>8.9881883847022209E-3</v>
      </c>
      <c r="R71" s="435">
        <f t="shared" si="47"/>
        <v>8.9880336124630068E-3</v>
      </c>
      <c r="S71" s="434">
        <f t="shared" si="21"/>
        <v>0</v>
      </c>
      <c r="T71" s="434">
        <f t="shared" si="22"/>
        <v>0</v>
      </c>
      <c r="U71" s="435">
        <f t="shared" si="23"/>
        <v>8.9880336124630068E-3</v>
      </c>
      <c r="V71" s="435">
        <f t="shared" si="48"/>
        <v>8.9880336124630051E-3</v>
      </c>
      <c r="W71" s="434">
        <f t="shared" si="24"/>
        <v>0</v>
      </c>
      <c r="X71" s="434">
        <f t="shared" si="25"/>
        <v>0</v>
      </c>
      <c r="Y71" s="435">
        <f t="shared" si="26"/>
        <v>8.9880336124630051E-3</v>
      </c>
      <c r="Z71" s="435">
        <f t="shared" si="49"/>
        <v>8.9880336124630051E-3</v>
      </c>
      <c r="AA71" s="434">
        <f t="shared" si="27"/>
        <v>0</v>
      </c>
      <c r="AB71" s="434">
        <f t="shared" si="28"/>
        <v>0</v>
      </c>
      <c r="AC71" s="435">
        <f t="shared" si="29"/>
        <v>8.9880336124630051E-3</v>
      </c>
      <c r="AD71" s="435">
        <f t="shared" si="50"/>
        <v>8.9880336124630051E-3</v>
      </c>
      <c r="AE71" s="434">
        <f t="shared" si="30"/>
        <v>0</v>
      </c>
      <c r="AF71" s="434">
        <f t="shared" si="31"/>
        <v>0</v>
      </c>
      <c r="AG71" s="435">
        <f t="shared" si="32"/>
        <v>8.9880336124630051E-3</v>
      </c>
      <c r="AH71" s="435">
        <f t="shared" si="51"/>
        <v>8.9880336124630051E-3</v>
      </c>
      <c r="AI71" s="434">
        <f t="shared" si="33"/>
        <v>0</v>
      </c>
      <c r="AJ71" s="434">
        <f t="shared" si="34"/>
        <v>0</v>
      </c>
      <c r="AK71" s="435">
        <f t="shared" si="35"/>
        <v>8.9880336124630051E-3</v>
      </c>
      <c r="AL71" s="435">
        <f t="shared" si="52"/>
        <v>8.9880336124630051E-3</v>
      </c>
      <c r="AM71" s="434">
        <f t="shared" si="36"/>
        <v>0</v>
      </c>
      <c r="AN71" s="434">
        <f t="shared" si="37"/>
        <v>0</v>
      </c>
      <c r="AO71" s="435">
        <f t="shared" si="38"/>
        <v>8.9880336124630051E-3</v>
      </c>
      <c r="AP71" s="435">
        <f t="shared" si="53"/>
        <v>8.9880336124630051E-3</v>
      </c>
      <c r="AQ71" s="434">
        <f t="shared" si="39"/>
        <v>0</v>
      </c>
      <c r="AR71" s="434">
        <f t="shared" si="40"/>
        <v>0</v>
      </c>
      <c r="AS71" s="435">
        <f t="shared" si="41"/>
        <v>8.9880336124630051E-3</v>
      </c>
      <c r="AT71" s="435">
        <f t="shared" si="54"/>
        <v>8.9880336124630034E-3</v>
      </c>
      <c r="AU71" s="436">
        <f t="shared" si="55"/>
        <v>8.9880336124630051E-3</v>
      </c>
      <c r="AV71" s="151">
        <f t="shared" si="42"/>
        <v>72648.154513605929</v>
      </c>
      <c r="BA71" s="18">
        <f t="shared" si="56"/>
        <v>0</v>
      </c>
      <c r="BB71" s="18">
        <f t="shared" si="56"/>
        <v>1</v>
      </c>
      <c r="BD71" s="630">
        <f t="shared" si="44"/>
        <v>1</v>
      </c>
    </row>
    <row r="72" spans="2:56" x14ac:dyDescent="0.25">
      <c r="B72" s="73">
        <f t="shared" si="11"/>
        <v>52</v>
      </c>
      <c r="C72" s="424" t="str">
        <f>ייצוב!C72</f>
        <v>עדו פדר</v>
      </c>
      <c r="D72" s="139">
        <f>IF(ייצוב!K72="","",ייצוב!K72)</f>
        <v>7.2916880604640306E-3</v>
      </c>
      <c r="E72" s="139">
        <f>IF(ייצוב!G72="","",ייצוב!G72)</f>
        <v>7.5765275883180206E-3</v>
      </c>
      <c r="F72" s="634">
        <f>'סיכום לועדה- הזנת נתונים'!G72</f>
        <v>0</v>
      </c>
      <c r="G72" s="146">
        <f t="shared" si="12"/>
        <v>0</v>
      </c>
      <c r="H72" s="432">
        <f t="shared" si="13"/>
        <v>0</v>
      </c>
      <c r="I72" s="433">
        <f t="shared" si="14"/>
        <v>7.2916880604640306E-3</v>
      </c>
      <c r="J72" s="433">
        <f t="shared" si="45"/>
        <v>7.291562501136559E-3</v>
      </c>
      <c r="K72" s="434">
        <f t="shared" si="15"/>
        <v>0</v>
      </c>
      <c r="L72" s="434">
        <f t="shared" si="16"/>
        <v>0</v>
      </c>
      <c r="M72" s="435">
        <f t="shared" si="17"/>
        <v>7.2916880604640306E-3</v>
      </c>
      <c r="N72" s="435">
        <f t="shared" si="46"/>
        <v>7.2915633142745908E-3</v>
      </c>
      <c r="O72" s="434">
        <f t="shared" si="18"/>
        <v>0</v>
      </c>
      <c r="P72" s="434">
        <f t="shared" si="19"/>
        <v>0</v>
      </c>
      <c r="Q72" s="435">
        <f t="shared" si="20"/>
        <v>7.2916880604640306E-3</v>
      </c>
      <c r="R72" s="435">
        <f t="shared" si="47"/>
        <v>7.291562501136559E-3</v>
      </c>
      <c r="S72" s="434">
        <f t="shared" si="21"/>
        <v>0</v>
      </c>
      <c r="T72" s="434">
        <f t="shared" si="22"/>
        <v>0</v>
      </c>
      <c r="U72" s="435">
        <f t="shared" si="23"/>
        <v>7.291562501136559E-3</v>
      </c>
      <c r="V72" s="435">
        <f t="shared" si="48"/>
        <v>7.2915625011365573E-3</v>
      </c>
      <c r="W72" s="434">
        <f t="shared" si="24"/>
        <v>0</v>
      </c>
      <c r="X72" s="434">
        <f t="shared" si="25"/>
        <v>0</v>
      </c>
      <c r="Y72" s="435">
        <f t="shared" si="26"/>
        <v>7.2915625011365573E-3</v>
      </c>
      <c r="Z72" s="435">
        <f t="shared" si="49"/>
        <v>7.2915625011365573E-3</v>
      </c>
      <c r="AA72" s="434">
        <f t="shared" si="27"/>
        <v>0</v>
      </c>
      <c r="AB72" s="434">
        <f t="shared" si="28"/>
        <v>0</v>
      </c>
      <c r="AC72" s="435">
        <f t="shared" si="29"/>
        <v>7.2915625011365573E-3</v>
      </c>
      <c r="AD72" s="435">
        <f t="shared" si="50"/>
        <v>7.2915625011365573E-3</v>
      </c>
      <c r="AE72" s="434">
        <f t="shared" si="30"/>
        <v>0</v>
      </c>
      <c r="AF72" s="434">
        <f t="shared" si="31"/>
        <v>0</v>
      </c>
      <c r="AG72" s="435">
        <f t="shared" si="32"/>
        <v>7.2915625011365573E-3</v>
      </c>
      <c r="AH72" s="435">
        <f t="shared" si="51"/>
        <v>7.2915625011365573E-3</v>
      </c>
      <c r="AI72" s="434">
        <f t="shared" si="33"/>
        <v>0</v>
      </c>
      <c r="AJ72" s="434">
        <f t="shared" si="34"/>
        <v>0</v>
      </c>
      <c r="AK72" s="435">
        <f t="shared" si="35"/>
        <v>7.2915625011365573E-3</v>
      </c>
      <c r="AL72" s="435">
        <f t="shared" si="52"/>
        <v>7.2915625011365573E-3</v>
      </c>
      <c r="AM72" s="434">
        <f t="shared" si="36"/>
        <v>0</v>
      </c>
      <c r="AN72" s="434">
        <f t="shared" si="37"/>
        <v>0</v>
      </c>
      <c r="AO72" s="435">
        <f t="shared" si="38"/>
        <v>7.2915625011365573E-3</v>
      </c>
      <c r="AP72" s="435">
        <f t="shared" si="53"/>
        <v>7.2915625011365573E-3</v>
      </c>
      <c r="AQ72" s="434">
        <f t="shared" si="39"/>
        <v>0</v>
      </c>
      <c r="AR72" s="434">
        <f t="shared" si="40"/>
        <v>0</v>
      </c>
      <c r="AS72" s="435">
        <f t="shared" si="41"/>
        <v>7.2915625011365573E-3</v>
      </c>
      <c r="AT72" s="435">
        <f t="shared" si="54"/>
        <v>7.2915625011365564E-3</v>
      </c>
      <c r="AU72" s="436">
        <f t="shared" si="55"/>
        <v>7.2915625011365582E-3</v>
      </c>
      <c r="AV72" s="151">
        <f t="shared" si="42"/>
        <v>58935.97888793653</v>
      </c>
      <c r="BA72" s="18">
        <f t="shared" si="56"/>
        <v>0</v>
      </c>
      <c r="BB72" s="18">
        <f t="shared" si="56"/>
        <v>1</v>
      </c>
      <c r="BD72" s="630">
        <f t="shared" si="44"/>
        <v>1</v>
      </c>
    </row>
    <row r="73" spans="2:56" x14ac:dyDescent="0.25">
      <c r="B73" s="73">
        <f t="shared" si="11"/>
        <v>53</v>
      </c>
      <c r="C73" s="424" t="str">
        <f>ייצוב!C73</f>
        <v>עודד רונן</v>
      </c>
      <c r="D73" s="139">
        <f>IF(ייצוב!K73="","",ייצוב!K73)</f>
        <v>6.9401878053411328E-3</v>
      </c>
      <c r="E73" s="139">
        <f>IF(ייצוב!G73="","",ייצוב!G73)</f>
        <v>7.350143895547224E-3</v>
      </c>
      <c r="F73" s="634">
        <f>'סיכום לועדה- הזנת נתונים'!G73</f>
        <v>0</v>
      </c>
      <c r="G73" s="146">
        <f t="shared" si="12"/>
        <v>0</v>
      </c>
      <c r="H73" s="432">
        <f t="shared" si="13"/>
        <v>0</v>
      </c>
      <c r="I73" s="433">
        <f t="shared" si="14"/>
        <v>6.9401878053411328E-3</v>
      </c>
      <c r="J73" s="433">
        <f t="shared" si="45"/>
        <v>6.9400682986773612E-3</v>
      </c>
      <c r="K73" s="434">
        <f t="shared" si="15"/>
        <v>0</v>
      </c>
      <c r="L73" s="434">
        <f t="shared" si="16"/>
        <v>0</v>
      </c>
      <c r="M73" s="435">
        <f t="shared" si="17"/>
        <v>6.9401878053411328E-3</v>
      </c>
      <c r="N73" s="435">
        <f t="shared" si="46"/>
        <v>6.9400690726175796E-3</v>
      </c>
      <c r="O73" s="434">
        <f t="shared" si="18"/>
        <v>0</v>
      </c>
      <c r="P73" s="434">
        <f t="shared" si="19"/>
        <v>0</v>
      </c>
      <c r="Q73" s="435">
        <f t="shared" si="20"/>
        <v>6.9401878053411328E-3</v>
      </c>
      <c r="R73" s="435">
        <f t="shared" si="47"/>
        <v>6.9400682986773612E-3</v>
      </c>
      <c r="S73" s="434">
        <f t="shared" si="21"/>
        <v>0</v>
      </c>
      <c r="T73" s="434">
        <f t="shared" si="22"/>
        <v>0</v>
      </c>
      <c r="U73" s="435">
        <f t="shared" si="23"/>
        <v>6.9400682986773612E-3</v>
      </c>
      <c r="V73" s="435">
        <f t="shared" si="48"/>
        <v>6.9400682986773595E-3</v>
      </c>
      <c r="W73" s="434">
        <f t="shared" si="24"/>
        <v>0</v>
      </c>
      <c r="X73" s="434">
        <f t="shared" si="25"/>
        <v>0</v>
      </c>
      <c r="Y73" s="435">
        <f t="shared" si="26"/>
        <v>6.9400682986773595E-3</v>
      </c>
      <c r="Z73" s="435">
        <f t="shared" si="49"/>
        <v>6.9400682986773595E-3</v>
      </c>
      <c r="AA73" s="434">
        <f t="shared" si="27"/>
        <v>0</v>
      </c>
      <c r="AB73" s="434">
        <f t="shared" si="28"/>
        <v>0</v>
      </c>
      <c r="AC73" s="435">
        <f t="shared" si="29"/>
        <v>6.9400682986773595E-3</v>
      </c>
      <c r="AD73" s="435">
        <f t="shared" si="50"/>
        <v>6.9400682986773595E-3</v>
      </c>
      <c r="AE73" s="434">
        <f t="shared" si="30"/>
        <v>0</v>
      </c>
      <c r="AF73" s="434">
        <f t="shared" si="31"/>
        <v>0</v>
      </c>
      <c r="AG73" s="435">
        <f t="shared" si="32"/>
        <v>6.9400682986773595E-3</v>
      </c>
      <c r="AH73" s="435">
        <f t="shared" si="51"/>
        <v>6.9400682986773595E-3</v>
      </c>
      <c r="AI73" s="434">
        <f t="shared" si="33"/>
        <v>0</v>
      </c>
      <c r="AJ73" s="434">
        <f t="shared" si="34"/>
        <v>0</v>
      </c>
      <c r="AK73" s="435">
        <f t="shared" si="35"/>
        <v>6.9400682986773595E-3</v>
      </c>
      <c r="AL73" s="435">
        <f t="shared" si="52"/>
        <v>6.9400682986773595E-3</v>
      </c>
      <c r="AM73" s="434">
        <f t="shared" si="36"/>
        <v>0</v>
      </c>
      <c r="AN73" s="434">
        <f t="shared" si="37"/>
        <v>0</v>
      </c>
      <c r="AO73" s="435">
        <f t="shared" si="38"/>
        <v>6.9400682986773595E-3</v>
      </c>
      <c r="AP73" s="435">
        <f t="shared" si="53"/>
        <v>6.9400682986773595E-3</v>
      </c>
      <c r="AQ73" s="434">
        <f t="shared" si="39"/>
        <v>0</v>
      </c>
      <c r="AR73" s="434">
        <f t="shared" si="40"/>
        <v>0</v>
      </c>
      <c r="AS73" s="435">
        <f t="shared" si="41"/>
        <v>6.9400682986773595E-3</v>
      </c>
      <c r="AT73" s="435">
        <f t="shared" si="54"/>
        <v>6.9400682986773586E-3</v>
      </c>
      <c r="AU73" s="436">
        <f t="shared" si="55"/>
        <v>6.9400682986773604E-3</v>
      </c>
      <c r="AV73" s="151">
        <f t="shared" si="42"/>
        <v>56094.934202090619</v>
      </c>
      <c r="BA73" s="18">
        <f t="shared" si="56"/>
        <v>0</v>
      </c>
      <c r="BB73" s="18">
        <f t="shared" si="56"/>
        <v>1</v>
      </c>
      <c r="BD73" s="630">
        <f t="shared" si="44"/>
        <v>1</v>
      </c>
    </row>
    <row r="74" spans="2:56" x14ac:dyDescent="0.25">
      <c r="B74" s="73">
        <f t="shared" si="11"/>
        <v>54</v>
      </c>
      <c r="C74" s="424" t="str">
        <f>ייצוב!C74</f>
        <v>עידן כהן</v>
      </c>
      <c r="D74" s="139">
        <f>IF(ייצוב!K74="","",ייצוב!K74)</f>
        <v>5.3928894739693695E-3</v>
      </c>
      <c r="E74" s="139">
        <f>IF(ייצוב!G74="","",ייצוב!G74)</f>
        <v>5.8570675404857201E-3</v>
      </c>
      <c r="F74" s="634">
        <f>'סיכום לועדה- הזנת נתונים'!G74</f>
        <v>0</v>
      </c>
      <c r="G74" s="146">
        <f t="shared" si="12"/>
        <v>0</v>
      </c>
      <c r="H74" s="432">
        <f t="shared" si="13"/>
        <v>0</v>
      </c>
      <c r="I74" s="433">
        <f t="shared" si="14"/>
        <v>5.3928894739693695E-3</v>
      </c>
      <c r="J74" s="433">
        <f t="shared" si="45"/>
        <v>5.3927966110314781E-3</v>
      </c>
      <c r="K74" s="434">
        <f t="shared" si="15"/>
        <v>0</v>
      </c>
      <c r="L74" s="434">
        <f t="shared" si="16"/>
        <v>0</v>
      </c>
      <c r="M74" s="435">
        <f t="shared" si="17"/>
        <v>5.3928894739693695E-3</v>
      </c>
      <c r="N74" s="435">
        <f t="shared" si="46"/>
        <v>5.3927972124235696E-3</v>
      </c>
      <c r="O74" s="434">
        <f t="shared" si="18"/>
        <v>0</v>
      </c>
      <c r="P74" s="434">
        <f t="shared" si="19"/>
        <v>0</v>
      </c>
      <c r="Q74" s="435">
        <f t="shared" si="20"/>
        <v>5.3928894739693695E-3</v>
      </c>
      <c r="R74" s="435">
        <f t="shared" si="47"/>
        <v>5.3927966110314781E-3</v>
      </c>
      <c r="S74" s="434">
        <f t="shared" si="21"/>
        <v>0</v>
      </c>
      <c r="T74" s="434">
        <f t="shared" si="22"/>
        <v>0</v>
      </c>
      <c r="U74" s="435">
        <f t="shared" si="23"/>
        <v>5.3927966110314781E-3</v>
      </c>
      <c r="V74" s="435">
        <f t="shared" si="48"/>
        <v>5.3927966110314772E-3</v>
      </c>
      <c r="W74" s="434">
        <f t="shared" si="24"/>
        <v>0</v>
      </c>
      <c r="X74" s="434">
        <f t="shared" si="25"/>
        <v>0</v>
      </c>
      <c r="Y74" s="435">
        <f t="shared" si="26"/>
        <v>5.3927966110314772E-3</v>
      </c>
      <c r="Z74" s="435">
        <f t="shared" si="49"/>
        <v>5.3927966110314772E-3</v>
      </c>
      <c r="AA74" s="434">
        <f t="shared" si="27"/>
        <v>0</v>
      </c>
      <c r="AB74" s="434">
        <f t="shared" si="28"/>
        <v>0</v>
      </c>
      <c r="AC74" s="435">
        <f t="shared" si="29"/>
        <v>5.3927966110314772E-3</v>
      </c>
      <c r="AD74" s="435">
        <f t="shared" si="50"/>
        <v>5.3927966110314772E-3</v>
      </c>
      <c r="AE74" s="434">
        <f t="shared" si="30"/>
        <v>0</v>
      </c>
      <c r="AF74" s="434">
        <f t="shared" si="31"/>
        <v>0</v>
      </c>
      <c r="AG74" s="435">
        <f t="shared" si="32"/>
        <v>5.3927966110314772E-3</v>
      </c>
      <c r="AH74" s="435">
        <f t="shared" si="51"/>
        <v>5.3927966110314772E-3</v>
      </c>
      <c r="AI74" s="434">
        <f t="shared" si="33"/>
        <v>0</v>
      </c>
      <c r="AJ74" s="434">
        <f t="shared" si="34"/>
        <v>0</v>
      </c>
      <c r="AK74" s="435">
        <f t="shared" si="35"/>
        <v>5.3927966110314772E-3</v>
      </c>
      <c r="AL74" s="435">
        <f t="shared" si="52"/>
        <v>5.3927966110314772E-3</v>
      </c>
      <c r="AM74" s="434">
        <f t="shared" si="36"/>
        <v>0</v>
      </c>
      <c r="AN74" s="434">
        <f t="shared" si="37"/>
        <v>0</v>
      </c>
      <c r="AO74" s="435">
        <f t="shared" si="38"/>
        <v>5.3927966110314772E-3</v>
      </c>
      <c r="AP74" s="435">
        <f t="shared" si="53"/>
        <v>5.3927966110314772E-3</v>
      </c>
      <c r="AQ74" s="434">
        <f t="shared" si="39"/>
        <v>0</v>
      </c>
      <c r="AR74" s="434">
        <f t="shared" si="40"/>
        <v>0</v>
      </c>
      <c r="AS74" s="435">
        <f t="shared" si="41"/>
        <v>5.3927966110314772E-3</v>
      </c>
      <c r="AT74" s="435">
        <f t="shared" si="54"/>
        <v>5.3927966110314763E-3</v>
      </c>
      <c r="AU74" s="436">
        <f t="shared" si="55"/>
        <v>5.3927966110314772E-3</v>
      </c>
      <c r="AV74" s="151">
        <f t="shared" si="42"/>
        <v>43588.702306967229</v>
      </c>
      <c r="BA74" s="18">
        <f t="shared" si="56"/>
        <v>0</v>
      </c>
      <c r="BB74" s="18">
        <f t="shared" si="56"/>
        <v>1</v>
      </c>
      <c r="BD74" s="630">
        <f t="shared" si="44"/>
        <v>1</v>
      </c>
    </row>
    <row r="75" spans="2:56" x14ac:dyDescent="0.25">
      <c r="B75" s="73">
        <f t="shared" si="11"/>
        <v>55</v>
      </c>
      <c r="C75" s="424" t="str">
        <f>ייצוב!C75</f>
        <v>עידן שרעבי</v>
      </c>
      <c r="D75" s="139">
        <f>IF(ייצוב!K75="","",ייצוב!K75)</f>
        <v>7.4881771098782805E-3</v>
      </c>
      <c r="E75" s="139">
        <f>IF(ייצוב!G75="","",ייצוב!G75)</f>
        <v>7.7209379439397412E-3</v>
      </c>
      <c r="F75" s="634">
        <f>'סיכום לועדה- הזנת נתונים'!G75</f>
        <v>0</v>
      </c>
      <c r="G75" s="146">
        <f t="shared" si="12"/>
        <v>0</v>
      </c>
      <c r="H75" s="432">
        <f t="shared" si="13"/>
        <v>0</v>
      </c>
      <c r="I75" s="433">
        <f t="shared" si="14"/>
        <v>7.4881771098782805E-3</v>
      </c>
      <c r="J75" s="433">
        <f t="shared" si="45"/>
        <v>7.488048167104795E-3</v>
      </c>
      <c r="K75" s="434">
        <f t="shared" si="15"/>
        <v>0</v>
      </c>
      <c r="L75" s="434">
        <f t="shared" si="16"/>
        <v>0</v>
      </c>
      <c r="M75" s="435">
        <f t="shared" si="17"/>
        <v>7.4881771098782805E-3</v>
      </c>
      <c r="N75" s="435">
        <f t="shared" si="46"/>
        <v>7.4880490021544495E-3</v>
      </c>
      <c r="O75" s="434">
        <f t="shared" si="18"/>
        <v>0</v>
      </c>
      <c r="P75" s="434">
        <f t="shared" si="19"/>
        <v>0</v>
      </c>
      <c r="Q75" s="435">
        <f t="shared" si="20"/>
        <v>7.4881771098782805E-3</v>
      </c>
      <c r="R75" s="435">
        <f t="shared" si="47"/>
        <v>7.488048167104795E-3</v>
      </c>
      <c r="S75" s="434">
        <f t="shared" si="21"/>
        <v>0</v>
      </c>
      <c r="T75" s="434">
        <f t="shared" si="22"/>
        <v>0</v>
      </c>
      <c r="U75" s="435">
        <f t="shared" si="23"/>
        <v>7.488048167104795E-3</v>
      </c>
      <c r="V75" s="435">
        <f t="shared" si="48"/>
        <v>7.4880481671047933E-3</v>
      </c>
      <c r="W75" s="434">
        <f t="shared" si="24"/>
        <v>0</v>
      </c>
      <c r="X75" s="434">
        <f t="shared" si="25"/>
        <v>0</v>
      </c>
      <c r="Y75" s="435">
        <f t="shared" si="26"/>
        <v>7.4880481671047933E-3</v>
      </c>
      <c r="Z75" s="435">
        <f t="shared" si="49"/>
        <v>7.4880481671047933E-3</v>
      </c>
      <c r="AA75" s="434">
        <f t="shared" si="27"/>
        <v>0</v>
      </c>
      <c r="AB75" s="434">
        <f t="shared" si="28"/>
        <v>0</v>
      </c>
      <c r="AC75" s="435">
        <f t="shared" si="29"/>
        <v>7.4880481671047933E-3</v>
      </c>
      <c r="AD75" s="435">
        <f t="shared" si="50"/>
        <v>7.4880481671047933E-3</v>
      </c>
      <c r="AE75" s="434">
        <f t="shared" si="30"/>
        <v>0</v>
      </c>
      <c r="AF75" s="434">
        <f t="shared" si="31"/>
        <v>0</v>
      </c>
      <c r="AG75" s="435">
        <f t="shared" si="32"/>
        <v>7.4880481671047933E-3</v>
      </c>
      <c r="AH75" s="435">
        <f t="shared" si="51"/>
        <v>7.4880481671047933E-3</v>
      </c>
      <c r="AI75" s="434">
        <f t="shared" si="33"/>
        <v>0</v>
      </c>
      <c r="AJ75" s="434">
        <f t="shared" si="34"/>
        <v>0</v>
      </c>
      <c r="AK75" s="435">
        <f t="shared" si="35"/>
        <v>7.4880481671047933E-3</v>
      </c>
      <c r="AL75" s="435">
        <f t="shared" si="52"/>
        <v>7.4880481671047933E-3</v>
      </c>
      <c r="AM75" s="434">
        <f t="shared" si="36"/>
        <v>0</v>
      </c>
      <c r="AN75" s="434">
        <f t="shared" si="37"/>
        <v>0</v>
      </c>
      <c r="AO75" s="435">
        <f t="shared" si="38"/>
        <v>7.4880481671047933E-3</v>
      </c>
      <c r="AP75" s="435">
        <f t="shared" si="53"/>
        <v>7.4880481671047933E-3</v>
      </c>
      <c r="AQ75" s="434">
        <f t="shared" si="39"/>
        <v>0</v>
      </c>
      <c r="AR75" s="434">
        <f t="shared" si="40"/>
        <v>0</v>
      </c>
      <c r="AS75" s="435">
        <f t="shared" si="41"/>
        <v>7.4880481671047933E-3</v>
      </c>
      <c r="AT75" s="435">
        <f t="shared" si="54"/>
        <v>7.4880481671047924E-3</v>
      </c>
      <c r="AU75" s="436">
        <f t="shared" si="55"/>
        <v>7.4880481671047942E-3</v>
      </c>
      <c r="AV75" s="151">
        <f t="shared" si="42"/>
        <v>60524.126155340615</v>
      </c>
      <c r="BA75" s="18">
        <f t="shared" si="56"/>
        <v>0</v>
      </c>
      <c r="BB75" s="18">
        <f t="shared" si="56"/>
        <v>1</v>
      </c>
      <c r="BD75" s="630">
        <f t="shared" si="44"/>
        <v>1</v>
      </c>
    </row>
    <row r="76" spans="2:56" x14ac:dyDescent="0.25">
      <c r="B76" s="73">
        <f t="shared" si="11"/>
        <v>56</v>
      </c>
      <c r="C76" s="424" t="str">
        <f>ייצוב!C76</f>
        <v>ענת גריגוריו</v>
      </c>
      <c r="D76" s="139">
        <f>IF(ייצוב!K76="","",ייצוב!K76)</f>
        <v>7.925432225874586E-3</v>
      </c>
      <c r="E76" s="139">
        <f>IF(ייצוב!G76="","",ייצוב!G76)</f>
        <v>6.8098590824213524E-3</v>
      </c>
      <c r="F76" s="634">
        <f>'סיכום לועדה- הזנת נתונים'!G76</f>
        <v>0</v>
      </c>
      <c r="G76" s="146">
        <f t="shared" si="12"/>
        <v>0</v>
      </c>
      <c r="H76" s="432">
        <f t="shared" si="13"/>
        <v>0</v>
      </c>
      <c r="I76" s="433">
        <f t="shared" si="14"/>
        <v>7.925432225874586E-3</v>
      </c>
      <c r="J76" s="433">
        <f t="shared" si="45"/>
        <v>7.9252957537803391E-3</v>
      </c>
      <c r="K76" s="434">
        <f t="shared" si="15"/>
        <v>0</v>
      </c>
      <c r="L76" s="434">
        <f t="shared" si="16"/>
        <v>0</v>
      </c>
      <c r="M76" s="435">
        <f t="shared" si="17"/>
        <v>7.925432225874586E-3</v>
      </c>
      <c r="N76" s="435">
        <f t="shared" si="46"/>
        <v>7.925296637590824E-3</v>
      </c>
      <c r="O76" s="434">
        <f t="shared" si="18"/>
        <v>0</v>
      </c>
      <c r="P76" s="434">
        <f t="shared" si="19"/>
        <v>0</v>
      </c>
      <c r="Q76" s="435">
        <f t="shared" si="20"/>
        <v>7.925432225874586E-3</v>
      </c>
      <c r="R76" s="435">
        <f t="shared" si="47"/>
        <v>7.9252957537803391E-3</v>
      </c>
      <c r="S76" s="434">
        <f t="shared" si="21"/>
        <v>0</v>
      </c>
      <c r="T76" s="434">
        <f t="shared" si="22"/>
        <v>0</v>
      </c>
      <c r="U76" s="435">
        <f t="shared" si="23"/>
        <v>7.9252957537803391E-3</v>
      </c>
      <c r="V76" s="435">
        <f t="shared" si="48"/>
        <v>7.9252957537803374E-3</v>
      </c>
      <c r="W76" s="434">
        <f t="shared" si="24"/>
        <v>0</v>
      </c>
      <c r="X76" s="434">
        <f t="shared" si="25"/>
        <v>0</v>
      </c>
      <c r="Y76" s="435">
        <f t="shared" si="26"/>
        <v>7.9252957537803374E-3</v>
      </c>
      <c r="Z76" s="435">
        <f t="shared" si="49"/>
        <v>7.9252957537803374E-3</v>
      </c>
      <c r="AA76" s="434">
        <f t="shared" si="27"/>
        <v>0</v>
      </c>
      <c r="AB76" s="434">
        <f t="shared" si="28"/>
        <v>0</v>
      </c>
      <c r="AC76" s="435">
        <f t="shared" si="29"/>
        <v>7.9252957537803374E-3</v>
      </c>
      <c r="AD76" s="435">
        <f t="shared" si="50"/>
        <v>7.9252957537803374E-3</v>
      </c>
      <c r="AE76" s="434">
        <f t="shared" si="30"/>
        <v>0</v>
      </c>
      <c r="AF76" s="434">
        <f t="shared" si="31"/>
        <v>0</v>
      </c>
      <c r="AG76" s="435">
        <f t="shared" si="32"/>
        <v>7.9252957537803374E-3</v>
      </c>
      <c r="AH76" s="435">
        <f t="shared" si="51"/>
        <v>7.9252957537803374E-3</v>
      </c>
      <c r="AI76" s="434">
        <f t="shared" si="33"/>
        <v>0</v>
      </c>
      <c r="AJ76" s="434">
        <f t="shared" si="34"/>
        <v>0</v>
      </c>
      <c r="AK76" s="435">
        <f t="shared" si="35"/>
        <v>7.9252957537803374E-3</v>
      </c>
      <c r="AL76" s="435">
        <f t="shared" si="52"/>
        <v>7.9252957537803374E-3</v>
      </c>
      <c r="AM76" s="434">
        <f t="shared" si="36"/>
        <v>0</v>
      </c>
      <c r="AN76" s="434">
        <f t="shared" si="37"/>
        <v>0</v>
      </c>
      <c r="AO76" s="435">
        <f t="shared" si="38"/>
        <v>7.9252957537803374E-3</v>
      </c>
      <c r="AP76" s="435">
        <f t="shared" si="53"/>
        <v>7.9252957537803374E-3</v>
      </c>
      <c r="AQ76" s="434">
        <f t="shared" si="39"/>
        <v>0</v>
      </c>
      <c r="AR76" s="434">
        <f t="shared" si="40"/>
        <v>0</v>
      </c>
      <c r="AS76" s="435">
        <f t="shared" si="41"/>
        <v>7.9252957537803374E-3</v>
      </c>
      <c r="AT76" s="435">
        <f t="shared" si="54"/>
        <v>7.9252957537803356E-3</v>
      </c>
      <c r="AU76" s="436">
        <f t="shared" si="55"/>
        <v>7.9252957537803374E-3</v>
      </c>
      <c r="AV76" s="151">
        <f t="shared" si="42"/>
        <v>64058.295208008574</v>
      </c>
      <c r="BA76" s="18">
        <f t="shared" si="56"/>
        <v>0</v>
      </c>
      <c r="BB76" s="18">
        <f t="shared" si="56"/>
        <v>1</v>
      </c>
      <c r="BD76" s="630">
        <f t="shared" si="44"/>
        <v>1</v>
      </c>
    </row>
    <row r="77" spans="2:56" x14ac:dyDescent="0.25">
      <c r="B77" s="73">
        <f t="shared" si="11"/>
        <v>57</v>
      </c>
      <c r="C77" s="424" t="str">
        <f>ייצוב!C77</f>
        <v>ענת דניאלי</v>
      </c>
      <c r="D77" s="139">
        <f>IF(ייצוב!K77="","",ייצוב!K77)</f>
        <v>1.0733015559374821E-2</v>
      </c>
      <c r="E77" s="139">
        <f>IF(ייצוב!G77="","",ייצוב!G77)</f>
        <v>1.0532055798894192E-2</v>
      </c>
      <c r="F77" s="634">
        <f>'סיכום לועדה- הזנת נתונים'!G77</f>
        <v>0</v>
      </c>
      <c r="G77" s="146">
        <f t="shared" si="12"/>
        <v>0</v>
      </c>
      <c r="H77" s="432">
        <f t="shared" si="13"/>
        <v>0</v>
      </c>
      <c r="I77" s="433">
        <f t="shared" si="14"/>
        <v>1.0733015559374821E-2</v>
      </c>
      <c r="J77" s="433">
        <f t="shared" si="45"/>
        <v>1.0732830742058967E-2</v>
      </c>
      <c r="K77" s="434">
        <f t="shared" si="15"/>
        <v>0</v>
      </c>
      <c r="L77" s="434">
        <f t="shared" si="16"/>
        <v>0</v>
      </c>
      <c r="M77" s="435">
        <f t="shared" si="17"/>
        <v>1.0733015559374821E-2</v>
      </c>
      <c r="N77" s="435">
        <f t="shared" si="46"/>
        <v>1.07328319389592E-2</v>
      </c>
      <c r="O77" s="434">
        <f t="shared" si="18"/>
        <v>0</v>
      </c>
      <c r="P77" s="434">
        <f t="shared" si="19"/>
        <v>0</v>
      </c>
      <c r="Q77" s="435">
        <f t="shared" si="20"/>
        <v>1.0733015559374821E-2</v>
      </c>
      <c r="R77" s="435">
        <f t="shared" si="47"/>
        <v>1.0732830742058967E-2</v>
      </c>
      <c r="S77" s="434">
        <f t="shared" si="21"/>
        <v>0</v>
      </c>
      <c r="T77" s="434">
        <f t="shared" si="22"/>
        <v>0</v>
      </c>
      <c r="U77" s="435">
        <f t="shared" si="23"/>
        <v>1.0732830742058967E-2</v>
      </c>
      <c r="V77" s="435">
        <f t="shared" si="48"/>
        <v>1.0732830742058965E-2</v>
      </c>
      <c r="W77" s="434">
        <f t="shared" si="24"/>
        <v>0</v>
      </c>
      <c r="X77" s="434">
        <f t="shared" si="25"/>
        <v>0</v>
      </c>
      <c r="Y77" s="435">
        <f t="shared" si="26"/>
        <v>1.0732830742058965E-2</v>
      </c>
      <c r="Z77" s="435">
        <f t="shared" si="49"/>
        <v>1.0732830742058965E-2</v>
      </c>
      <c r="AA77" s="434">
        <f t="shared" si="27"/>
        <v>0</v>
      </c>
      <c r="AB77" s="434">
        <f t="shared" si="28"/>
        <v>0</v>
      </c>
      <c r="AC77" s="435">
        <f t="shared" si="29"/>
        <v>1.0732830742058965E-2</v>
      </c>
      <c r="AD77" s="435">
        <f t="shared" si="50"/>
        <v>1.0732830742058965E-2</v>
      </c>
      <c r="AE77" s="434">
        <f t="shared" si="30"/>
        <v>0</v>
      </c>
      <c r="AF77" s="434">
        <f t="shared" si="31"/>
        <v>0</v>
      </c>
      <c r="AG77" s="435">
        <f t="shared" si="32"/>
        <v>1.0732830742058965E-2</v>
      </c>
      <c r="AH77" s="435">
        <f t="shared" si="51"/>
        <v>1.0732830742058965E-2</v>
      </c>
      <c r="AI77" s="434">
        <f t="shared" si="33"/>
        <v>0</v>
      </c>
      <c r="AJ77" s="434">
        <f t="shared" si="34"/>
        <v>0</v>
      </c>
      <c r="AK77" s="435">
        <f t="shared" si="35"/>
        <v>1.0732830742058965E-2</v>
      </c>
      <c r="AL77" s="435">
        <f t="shared" si="52"/>
        <v>1.0732830742058965E-2</v>
      </c>
      <c r="AM77" s="434">
        <f t="shared" si="36"/>
        <v>0</v>
      </c>
      <c r="AN77" s="434">
        <f t="shared" si="37"/>
        <v>0</v>
      </c>
      <c r="AO77" s="435">
        <f t="shared" si="38"/>
        <v>1.0732830742058965E-2</v>
      </c>
      <c r="AP77" s="435">
        <f t="shared" si="53"/>
        <v>1.0732830742058965E-2</v>
      </c>
      <c r="AQ77" s="434">
        <f t="shared" si="39"/>
        <v>0</v>
      </c>
      <c r="AR77" s="434">
        <f t="shared" si="40"/>
        <v>0</v>
      </c>
      <c r="AS77" s="435">
        <f t="shared" si="41"/>
        <v>1.0732830742058965E-2</v>
      </c>
      <c r="AT77" s="435">
        <f t="shared" si="54"/>
        <v>1.0732830742058963E-2</v>
      </c>
      <c r="AU77" s="436">
        <f t="shared" si="55"/>
        <v>1.0732830742058965E-2</v>
      </c>
      <c r="AV77" s="151">
        <f t="shared" si="42"/>
        <v>86750.937940007483</v>
      </c>
      <c r="BA77" s="18">
        <f t="shared" si="56"/>
        <v>0</v>
      </c>
      <c r="BB77" s="18">
        <f t="shared" si="56"/>
        <v>1</v>
      </c>
      <c r="BD77" s="630">
        <f t="shared" si="44"/>
        <v>1</v>
      </c>
    </row>
    <row r="78" spans="2:56" x14ac:dyDescent="0.25">
      <c r="B78" s="73">
        <f t="shared" si="11"/>
        <v>58</v>
      </c>
      <c r="C78" s="424" t="str">
        <f>ייצוב!C78</f>
        <v>ענת כץ וארז מעיין</v>
      </c>
      <c r="D78" s="139">
        <f>IF(ייצוב!K78="","",ייצוב!K78)</f>
        <v>7.037163696977042E-3</v>
      </c>
      <c r="E78" s="139">
        <f>IF(ייצוב!G78="","",ייצוב!G78)</f>
        <v>6.2759103726499985E-3</v>
      </c>
      <c r="F78" s="634">
        <f>'סיכום לועדה- הזנת נתונים'!G78</f>
        <v>0</v>
      </c>
      <c r="G78" s="146">
        <f t="shared" si="12"/>
        <v>0</v>
      </c>
      <c r="H78" s="432">
        <f t="shared" si="13"/>
        <v>0</v>
      </c>
      <c r="I78" s="433">
        <f t="shared" si="14"/>
        <v>7.037163696977042E-3</v>
      </c>
      <c r="J78" s="433">
        <f t="shared" si="45"/>
        <v>7.0370425204355092E-3</v>
      </c>
      <c r="K78" s="434">
        <f t="shared" si="15"/>
        <v>0</v>
      </c>
      <c r="L78" s="434">
        <f t="shared" si="16"/>
        <v>0</v>
      </c>
      <c r="M78" s="435">
        <f t="shared" si="17"/>
        <v>7.037163696977042E-3</v>
      </c>
      <c r="N78" s="435">
        <f t="shared" si="46"/>
        <v>7.0370433051900666E-3</v>
      </c>
      <c r="O78" s="434">
        <f t="shared" si="18"/>
        <v>0</v>
      </c>
      <c r="P78" s="434">
        <f t="shared" si="19"/>
        <v>0</v>
      </c>
      <c r="Q78" s="435">
        <f t="shared" si="20"/>
        <v>7.037163696977042E-3</v>
      </c>
      <c r="R78" s="435">
        <f t="shared" si="47"/>
        <v>7.0370425204355092E-3</v>
      </c>
      <c r="S78" s="434">
        <f t="shared" si="21"/>
        <v>0</v>
      </c>
      <c r="T78" s="434">
        <f t="shared" si="22"/>
        <v>0</v>
      </c>
      <c r="U78" s="435">
        <f t="shared" si="23"/>
        <v>7.0370425204355092E-3</v>
      </c>
      <c r="V78" s="435">
        <f t="shared" si="48"/>
        <v>7.0370425204355075E-3</v>
      </c>
      <c r="W78" s="434">
        <f t="shared" si="24"/>
        <v>0</v>
      </c>
      <c r="X78" s="434">
        <f t="shared" si="25"/>
        <v>0</v>
      </c>
      <c r="Y78" s="435">
        <f t="shared" si="26"/>
        <v>7.0370425204355075E-3</v>
      </c>
      <c r="Z78" s="435">
        <f t="shared" si="49"/>
        <v>7.0370425204355075E-3</v>
      </c>
      <c r="AA78" s="434">
        <f t="shared" si="27"/>
        <v>0</v>
      </c>
      <c r="AB78" s="434">
        <f t="shared" si="28"/>
        <v>0</v>
      </c>
      <c r="AC78" s="435">
        <f t="shared" si="29"/>
        <v>7.0370425204355075E-3</v>
      </c>
      <c r="AD78" s="435">
        <f t="shared" si="50"/>
        <v>7.0370425204355075E-3</v>
      </c>
      <c r="AE78" s="434">
        <f t="shared" si="30"/>
        <v>0</v>
      </c>
      <c r="AF78" s="434">
        <f t="shared" si="31"/>
        <v>0</v>
      </c>
      <c r="AG78" s="435">
        <f t="shared" si="32"/>
        <v>7.0370425204355075E-3</v>
      </c>
      <c r="AH78" s="435">
        <f t="shared" si="51"/>
        <v>7.0370425204355075E-3</v>
      </c>
      <c r="AI78" s="434">
        <f t="shared" si="33"/>
        <v>0</v>
      </c>
      <c r="AJ78" s="434">
        <f t="shared" si="34"/>
        <v>0</v>
      </c>
      <c r="AK78" s="435">
        <f t="shared" si="35"/>
        <v>7.0370425204355075E-3</v>
      </c>
      <c r="AL78" s="435">
        <f t="shared" si="52"/>
        <v>7.0370425204355075E-3</v>
      </c>
      <c r="AM78" s="434">
        <f t="shared" si="36"/>
        <v>0</v>
      </c>
      <c r="AN78" s="434">
        <f t="shared" si="37"/>
        <v>0</v>
      </c>
      <c r="AO78" s="435">
        <f t="shared" si="38"/>
        <v>7.0370425204355075E-3</v>
      </c>
      <c r="AP78" s="435">
        <f t="shared" si="53"/>
        <v>7.0370425204355075E-3</v>
      </c>
      <c r="AQ78" s="434">
        <f t="shared" si="39"/>
        <v>0</v>
      </c>
      <c r="AR78" s="434">
        <f t="shared" si="40"/>
        <v>0</v>
      </c>
      <c r="AS78" s="435">
        <f t="shared" si="41"/>
        <v>7.0370425204355075E-3</v>
      </c>
      <c r="AT78" s="435">
        <f t="shared" si="54"/>
        <v>7.0370425204355066E-3</v>
      </c>
      <c r="AU78" s="436">
        <f t="shared" si="55"/>
        <v>7.0370425204355084E-3</v>
      </c>
      <c r="AV78" s="151">
        <f t="shared" si="42"/>
        <v>56878.75395064539</v>
      </c>
      <c r="BA78" s="18">
        <f t="shared" si="56"/>
        <v>0</v>
      </c>
      <c r="BB78" s="18">
        <f t="shared" si="56"/>
        <v>1</v>
      </c>
      <c r="BD78" s="630">
        <f t="shared" si="44"/>
        <v>1</v>
      </c>
    </row>
    <row r="79" spans="2:56" x14ac:dyDescent="0.25">
      <c r="B79" s="73">
        <f t="shared" si="11"/>
        <v>59</v>
      </c>
      <c r="C79" s="424" t="str">
        <f>ייצוב!C79</f>
        <v>ענת שמגר</v>
      </c>
      <c r="D79" s="139">
        <f>IF(ייצוב!K79="","",ייצוב!K79)</f>
        <v>8.9958055538334972E-3</v>
      </c>
      <c r="E79" s="139">
        <f>IF(ייצוב!G79="","",ייצוב!G79)</f>
        <v>8.393224910284736E-3</v>
      </c>
      <c r="F79" s="634">
        <f>'סיכום לועדה- הזנת נתונים'!G79</f>
        <v>0</v>
      </c>
      <c r="G79" s="146">
        <f t="shared" si="12"/>
        <v>0</v>
      </c>
      <c r="H79" s="432">
        <f t="shared" si="13"/>
        <v>0</v>
      </c>
      <c r="I79" s="433">
        <f t="shared" si="14"/>
        <v>8.9958055538334972E-3</v>
      </c>
      <c r="J79" s="433">
        <f t="shared" si="45"/>
        <v>8.9956506504303303E-3</v>
      </c>
      <c r="K79" s="434">
        <f t="shared" si="15"/>
        <v>0</v>
      </c>
      <c r="L79" s="434">
        <f t="shared" si="16"/>
        <v>0</v>
      </c>
      <c r="M79" s="435">
        <f t="shared" si="17"/>
        <v>8.9958055538334972E-3</v>
      </c>
      <c r="N79" s="435">
        <f t="shared" si="46"/>
        <v>8.9956516536042943E-3</v>
      </c>
      <c r="O79" s="434">
        <f t="shared" si="18"/>
        <v>0</v>
      </c>
      <c r="P79" s="434">
        <f t="shared" si="19"/>
        <v>0</v>
      </c>
      <c r="Q79" s="435">
        <f t="shared" si="20"/>
        <v>8.9958055538334972E-3</v>
      </c>
      <c r="R79" s="435">
        <f t="shared" si="47"/>
        <v>8.9956506504303303E-3</v>
      </c>
      <c r="S79" s="434">
        <f t="shared" si="21"/>
        <v>0</v>
      </c>
      <c r="T79" s="434">
        <f t="shared" si="22"/>
        <v>0</v>
      </c>
      <c r="U79" s="435">
        <f t="shared" si="23"/>
        <v>8.9956506504303303E-3</v>
      </c>
      <c r="V79" s="435">
        <f t="shared" si="48"/>
        <v>8.9956506504303285E-3</v>
      </c>
      <c r="W79" s="434">
        <f t="shared" si="24"/>
        <v>0</v>
      </c>
      <c r="X79" s="434">
        <f t="shared" si="25"/>
        <v>0</v>
      </c>
      <c r="Y79" s="435">
        <f t="shared" si="26"/>
        <v>8.9956506504303285E-3</v>
      </c>
      <c r="Z79" s="435">
        <f t="shared" si="49"/>
        <v>8.9956506504303285E-3</v>
      </c>
      <c r="AA79" s="434">
        <f t="shared" si="27"/>
        <v>0</v>
      </c>
      <c r="AB79" s="434">
        <f t="shared" si="28"/>
        <v>0</v>
      </c>
      <c r="AC79" s="435">
        <f t="shared" si="29"/>
        <v>8.9956506504303285E-3</v>
      </c>
      <c r="AD79" s="435">
        <f t="shared" si="50"/>
        <v>8.9956506504303285E-3</v>
      </c>
      <c r="AE79" s="434">
        <f t="shared" si="30"/>
        <v>0</v>
      </c>
      <c r="AF79" s="434">
        <f t="shared" si="31"/>
        <v>0</v>
      </c>
      <c r="AG79" s="435">
        <f t="shared" si="32"/>
        <v>8.9956506504303285E-3</v>
      </c>
      <c r="AH79" s="435">
        <f t="shared" si="51"/>
        <v>8.9956506504303285E-3</v>
      </c>
      <c r="AI79" s="434">
        <f t="shared" si="33"/>
        <v>0</v>
      </c>
      <c r="AJ79" s="434">
        <f t="shared" si="34"/>
        <v>0</v>
      </c>
      <c r="AK79" s="435">
        <f t="shared" si="35"/>
        <v>8.9956506504303285E-3</v>
      </c>
      <c r="AL79" s="435">
        <f t="shared" si="52"/>
        <v>8.9956506504303285E-3</v>
      </c>
      <c r="AM79" s="434">
        <f t="shared" si="36"/>
        <v>0</v>
      </c>
      <c r="AN79" s="434">
        <f t="shared" si="37"/>
        <v>0</v>
      </c>
      <c r="AO79" s="435">
        <f t="shared" si="38"/>
        <v>8.9956506504303285E-3</v>
      </c>
      <c r="AP79" s="435">
        <f t="shared" si="53"/>
        <v>8.9956506504303285E-3</v>
      </c>
      <c r="AQ79" s="434">
        <f t="shared" si="39"/>
        <v>0</v>
      </c>
      <c r="AR79" s="434">
        <f t="shared" si="40"/>
        <v>0</v>
      </c>
      <c r="AS79" s="435">
        <f t="shared" si="41"/>
        <v>8.9956506504303285E-3</v>
      </c>
      <c r="AT79" s="435">
        <f t="shared" si="54"/>
        <v>8.9956506504303285E-3</v>
      </c>
      <c r="AU79" s="436">
        <f t="shared" si="55"/>
        <v>8.9956506504303303E-3</v>
      </c>
      <c r="AV79" s="151">
        <f t="shared" si="42"/>
        <v>72709.721233874865</v>
      </c>
      <c r="BA79" s="18">
        <f t="shared" si="56"/>
        <v>0</v>
      </c>
      <c r="BB79" s="18">
        <f t="shared" si="56"/>
        <v>1</v>
      </c>
      <c r="BD79" s="630">
        <f t="shared" si="44"/>
        <v>1</v>
      </c>
    </row>
    <row r="80" spans="2:56" x14ac:dyDescent="0.25">
      <c r="B80" s="73">
        <f t="shared" si="11"/>
        <v>60</v>
      </c>
      <c r="C80" s="424" t="str">
        <f>ייצוב!C80</f>
        <v>ק.ט.מ.ו.ן קבוצת מחול בירושלים</v>
      </c>
      <c r="D80" s="139">
        <f>IF(ייצוב!K80="","",ייצוב!K80)</f>
        <v>1.4182485085518904E-2</v>
      </c>
      <c r="E80" s="139">
        <f>IF(ייצוב!G80="","",ייצוב!G80)</f>
        <v>1.309355758211128E-2</v>
      </c>
      <c r="F80" s="634">
        <f>'סיכום לועדה- הזנת נתונים'!G80</f>
        <v>0</v>
      </c>
      <c r="G80" s="146">
        <f t="shared" si="12"/>
        <v>0</v>
      </c>
      <c r="H80" s="432">
        <f t="shared" si="13"/>
        <v>0</v>
      </c>
      <c r="I80" s="433">
        <f t="shared" si="14"/>
        <v>1.4182485085518904E-2</v>
      </c>
      <c r="J80" s="433">
        <f t="shared" si="45"/>
        <v>1.4182240870012913E-2</v>
      </c>
      <c r="K80" s="434">
        <f t="shared" si="15"/>
        <v>0</v>
      </c>
      <c r="L80" s="434">
        <f t="shared" si="16"/>
        <v>0</v>
      </c>
      <c r="M80" s="435">
        <f t="shared" si="17"/>
        <v>1.4182485085518904E-2</v>
      </c>
      <c r="N80" s="435">
        <f t="shared" si="46"/>
        <v>1.4182242451583314E-2</v>
      </c>
      <c r="O80" s="434">
        <f t="shared" si="18"/>
        <v>0</v>
      </c>
      <c r="P80" s="434">
        <f t="shared" si="19"/>
        <v>0</v>
      </c>
      <c r="Q80" s="435">
        <f t="shared" si="20"/>
        <v>1.4182485085518904E-2</v>
      </c>
      <c r="R80" s="435">
        <f t="shared" si="47"/>
        <v>1.4182240870012913E-2</v>
      </c>
      <c r="S80" s="434">
        <f t="shared" si="21"/>
        <v>0</v>
      </c>
      <c r="T80" s="434">
        <f t="shared" si="22"/>
        <v>0</v>
      </c>
      <c r="U80" s="435">
        <f t="shared" si="23"/>
        <v>1.4182240870012913E-2</v>
      </c>
      <c r="V80" s="435">
        <f t="shared" si="48"/>
        <v>1.4182240870012909E-2</v>
      </c>
      <c r="W80" s="434">
        <f t="shared" si="24"/>
        <v>0</v>
      </c>
      <c r="X80" s="434">
        <f t="shared" si="25"/>
        <v>0</v>
      </c>
      <c r="Y80" s="435">
        <f t="shared" si="26"/>
        <v>1.4182240870012909E-2</v>
      </c>
      <c r="Z80" s="435">
        <f t="shared" si="49"/>
        <v>1.4182240870012909E-2</v>
      </c>
      <c r="AA80" s="434">
        <f t="shared" si="27"/>
        <v>0</v>
      </c>
      <c r="AB80" s="434">
        <f t="shared" si="28"/>
        <v>0</v>
      </c>
      <c r="AC80" s="435">
        <f t="shared" si="29"/>
        <v>1.4182240870012909E-2</v>
      </c>
      <c r="AD80" s="435">
        <f t="shared" si="50"/>
        <v>1.4182240870012909E-2</v>
      </c>
      <c r="AE80" s="434">
        <f t="shared" si="30"/>
        <v>0</v>
      </c>
      <c r="AF80" s="434">
        <f t="shared" si="31"/>
        <v>0</v>
      </c>
      <c r="AG80" s="435">
        <f t="shared" si="32"/>
        <v>1.4182240870012909E-2</v>
      </c>
      <c r="AH80" s="435">
        <f t="shared" si="51"/>
        <v>1.4182240870012909E-2</v>
      </c>
      <c r="AI80" s="434">
        <f t="shared" si="33"/>
        <v>0</v>
      </c>
      <c r="AJ80" s="434">
        <f t="shared" si="34"/>
        <v>0</v>
      </c>
      <c r="AK80" s="435">
        <f t="shared" si="35"/>
        <v>1.4182240870012909E-2</v>
      </c>
      <c r="AL80" s="435">
        <f t="shared" si="52"/>
        <v>1.4182240870012909E-2</v>
      </c>
      <c r="AM80" s="434">
        <f t="shared" si="36"/>
        <v>0</v>
      </c>
      <c r="AN80" s="434">
        <f t="shared" si="37"/>
        <v>0</v>
      </c>
      <c r="AO80" s="435">
        <f t="shared" si="38"/>
        <v>1.4182240870012909E-2</v>
      </c>
      <c r="AP80" s="435">
        <f t="shared" si="53"/>
        <v>1.4182240870012909E-2</v>
      </c>
      <c r="AQ80" s="434">
        <f t="shared" si="39"/>
        <v>0</v>
      </c>
      <c r="AR80" s="434">
        <f t="shared" si="40"/>
        <v>0</v>
      </c>
      <c r="AS80" s="435">
        <f t="shared" si="41"/>
        <v>1.4182240870012909E-2</v>
      </c>
      <c r="AT80" s="435">
        <f t="shared" si="54"/>
        <v>1.4182240870012908E-2</v>
      </c>
      <c r="AU80" s="436">
        <f t="shared" si="55"/>
        <v>1.4182240870012911E-2</v>
      </c>
      <c r="AV80" s="151">
        <f t="shared" si="42"/>
        <v>114631.70594346903</v>
      </c>
      <c r="BA80" s="18">
        <f t="shared" si="56"/>
        <v>0</v>
      </c>
      <c r="BB80" s="18">
        <f t="shared" si="56"/>
        <v>1</v>
      </c>
      <c r="BD80" s="630">
        <f t="shared" si="44"/>
        <v>1</v>
      </c>
    </row>
    <row r="81" spans="2:56" x14ac:dyDescent="0.25">
      <c r="B81" s="73">
        <f t="shared" si="11"/>
        <v>61</v>
      </c>
      <c r="C81" s="424" t="str">
        <f>ייצוב!C81</f>
        <v>רונית זיו</v>
      </c>
      <c r="D81" s="139">
        <f>IF(ייצוב!K81="","",ייצוב!K81)</f>
        <v>1.0578281316758836E-2</v>
      </c>
      <c r="E81" s="139">
        <f>IF(ייצוב!G81="","",ייצוב!G81)</f>
        <v>1.1738555479316978E-2</v>
      </c>
      <c r="F81" s="634">
        <f>'סיכום לועדה- הזנת נתונים'!G81</f>
        <v>0</v>
      </c>
      <c r="G81" s="146">
        <f t="shared" si="12"/>
        <v>0</v>
      </c>
      <c r="H81" s="432">
        <f t="shared" si="13"/>
        <v>0</v>
      </c>
      <c r="I81" s="433">
        <f t="shared" si="14"/>
        <v>1.0578281316758836E-2</v>
      </c>
      <c r="J81" s="433">
        <f t="shared" si="45"/>
        <v>1.05780991638915E-2</v>
      </c>
      <c r="K81" s="434">
        <f t="shared" si="15"/>
        <v>0</v>
      </c>
      <c r="L81" s="434">
        <f t="shared" si="16"/>
        <v>0</v>
      </c>
      <c r="M81" s="435">
        <f t="shared" si="17"/>
        <v>1.0578281316758836E-2</v>
      </c>
      <c r="N81" s="435">
        <f t="shared" si="46"/>
        <v>1.0578100343536428E-2</v>
      </c>
      <c r="O81" s="434">
        <f t="shared" si="18"/>
        <v>0</v>
      </c>
      <c r="P81" s="434">
        <f t="shared" si="19"/>
        <v>0</v>
      </c>
      <c r="Q81" s="435">
        <f t="shared" si="20"/>
        <v>1.0578281316758836E-2</v>
      </c>
      <c r="R81" s="435">
        <f t="shared" si="47"/>
        <v>1.05780991638915E-2</v>
      </c>
      <c r="S81" s="434">
        <f t="shared" si="21"/>
        <v>0</v>
      </c>
      <c r="T81" s="434">
        <f t="shared" si="22"/>
        <v>0</v>
      </c>
      <c r="U81" s="435">
        <f t="shared" si="23"/>
        <v>1.05780991638915E-2</v>
      </c>
      <c r="V81" s="435">
        <f t="shared" si="48"/>
        <v>1.0578099163891498E-2</v>
      </c>
      <c r="W81" s="434">
        <f t="shared" si="24"/>
        <v>0</v>
      </c>
      <c r="X81" s="434">
        <f t="shared" si="25"/>
        <v>0</v>
      </c>
      <c r="Y81" s="435">
        <f t="shared" si="26"/>
        <v>1.0578099163891498E-2</v>
      </c>
      <c r="Z81" s="435">
        <f t="shared" si="49"/>
        <v>1.0578099163891498E-2</v>
      </c>
      <c r="AA81" s="434">
        <f t="shared" si="27"/>
        <v>0</v>
      </c>
      <c r="AB81" s="434">
        <f t="shared" si="28"/>
        <v>0</v>
      </c>
      <c r="AC81" s="435">
        <f t="shared" si="29"/>
        <v>1.0578099163891498E-2</v>
      </c>
      <c r="AD81" s="435">
        <f t="shared" si="50"/>
        <v>1.0578099163891498E-2</v>
      </c>
      <c r="AE81" s="434">
        <f t="shared" si="30"/>
        <v>0</v>
      </c>
      <c r="AF81" s="434">
        <f t="shared" si="31"/>
        <v>0</v>
      </c>
      <c r="AG81" s="435">
        <f t="shared" si="32"/>
        <v>1.0578099163891498E-2</v>
      </c>
      <c r="AH81" s="435">
        <f t="shared" si="51"/>
        <v>1.0578099163891498E-2</v>
      </c>
      <c r="AI81" s="434">
        <f t="shared" si="33"/>
        <v>0</v>
      </c>
      <c r="AJ81" s="434">
        <f t="shared" si="34"/>
        <v>0</v>
      </c>
      <c r="AK81" s="435">
        <f t="shared" si="35"/>
        <v>1.0578099163891498E-2</v>
      </c>
      <c r="AL81" s="435">
        <f t="shared" si="52"/>
        <v>1.0578099163891498E-2</v>
      </c>
      <c r="AM81" s="434">
        <f t="shared" si="36"/>
        <v>0</v>
      </c>
      <c r="AN81" s="434">
        <f t="shared" si="37"/>
        <v>0</v>
      </c>
      <c r="AO81" s="435">
        <f t="shared" si="38"/>
        <v>1.0578099163891498E-2</v>
      </c>
      <c r="AP81" s="435">
        <f t="shared" si="53"/>
        <v>1.0578099163891498E-2</v>
      </c>
      <c r="AQ81" s="434">
        <f t="shared" si="39"/>
        <v>0</v>
      </c>
      <c r="AR81" s="434">
        <f t="shared" si="40"/>
        <v>0</v>
      </c>
      <c r="AS81" s="435">
        <f t="shared" si="41"/>
        <v>1.0578099163891498E-2</v>
      </c>
      <c r="AT81" s="435">
        <f t="shared" si="54"/>
        <v>1.0578099163891496E-2</v>
      </c>
      <c r="AU81" s="436">
        <f t="shared" si="55"/>
        <v>1.0578099163891498E-2</v>
      </c>
      <c r="AV81" s="151">
        <f t="shared" si="42"/>
        <v>85500.279110332296</v>
      </c>
      <c r="BA81" s="18">
        <f t="shared" si="56"/>
        <v>0</v>
      </c>
      <c r="BB81" s="18">
        <f t="shared" si="56"/>
        <v>1</v>
      </c>
      <c r="BD81" s="630">
        <f t="shared" si="44"/>
        <v>1</v>
      </c>
    </row>
    <row r="82" spans="2:56" x14ac:dyDescent="0.25">
      <c r="B82" s="73">
        <f t="shared" si="11"/>
        <v>62</v>
      </c>
      <c r="C82" s="424" t="str">
        <f>ייצוב!C82</f>
        <v>טלי זבילביץ</v>
      </c>
      <c r="D82" s="139">
        <f>IF(ייצוב!K82="","",ייצוב!K82)</f>
        <v>5.7210580736375234E-3</v>
      </c>
      <c r="E82" s="139">
        <f>IF(ייצוב!G82="","",ייצוב!G82)</f>
        <v>5.3678675606556496E-3</v>
      </c>
      <c r="F82" s="634">
        <f>'סיכום לועדה- הזנת נתונים'!G82</f>
        <v>1</v>
      </c>
      <c r="G82" s="146">
        <f t="shared" si="12"/>
        <v>0</v>
      </c>
      <c r="H82" s="432">
        <f t="shared" si="13"/>
        <v>0</v>
      </c>
      <c r="I82" s="433">
        <f t="shared" si="14"/>
        <v>5.7210580736375234E-3</v>
      </c>
      <c r="J82" s="433">
        <f t="shared" si="45"/>
        <v>5.7209595597957083E-3</v>
      </c>
      <c r="K82" s="434">
        <f t="shared" si="15"/>
        <v>0</v>
      </c>
      <c r="L82" s="434">
        <f t="shared" si="16"/>
        <v>0</v>
      </c>
      <c r="M82" s="435">
        <f t="shared" si="17"/>
        <v>5.7210580736375234E-3</v>
      </c>
      <c r="N82" s="435">
        <f t="shared" si="46"/>
        <v>5.7209601977837657E-3</v>
      </c>
      <c r="O82" s="434">
        <f t="shared" si="18"/>
        <v>0</v>
      </c>
      <c r="P82" s="434">
        <f t="shared" si="19"/>
        <v>0</v>
      </c>
      <c r="Q82" s="435">
        <f t="shared" si="20"/>
        <v>5.7210580736375234E-3</v>
      </c>
      <c r="R82" s="435">
        <f t="shared" si="47"/>
        <v>5.7209595597957083E-3</v>
      </c>
      <c r="S82" s="434">
        <f t="shared" si="21"/>
        <v>0</v>
      </c>
      <c r="T82" s="434">
        <f t="shared" si="22"/>
        <v>0</v>
      </c>
      <c r="U82" s="435">
        <f t="shared" si="23"/>
        <v>5.7209595597957083E-3</v>
      </c>
      <c r="V82" s="435">
        <f t="shared" si="48"/>
        <v>5.7209595597957075E-3</v>
      </c>
      <c r="W82" s="434">
        <f t="shared" si="24"/>
        <v>0</v>
      </c>
      <c r="X82" s="434">
        <f t="shared" si="25"/>
        <v>0</v>
      </c>
      <c r="Y82" s="435">
        <f t="shared" si="26"/>
        <v>5.7209595597957075E-3</v>
      </c>
      <c r="Z82" s="435">
        <f t="shared" si="49"/>
        <v>5.7209595597957075E-3</v>
      </c>
      <c r="AA82" s="434">
        <f t="shared" si="27"/>
        <v>0</v>
      </c>
      <c r="AB82" s="434">
        <f t="shared" si="28"/>
        <v>0</v>
      </c>
      <c r="AC82" s="435">
        <f t="shared" si="29"/>
        <v>5.7209595597957075E-3</v>
      </c>
      <c r="AD82" s="435">
        <f t="shared" si="50"/>
        <v>5.7209595597957075E-3</v>
      </c>
      <c r="AE82" s="434">
        <f t="shared" si="30"/>
        <v>0</v>
      </c>
      <c r="AF82" s="434">
        <f t="shared" si="31"/>
        <v>0</v>
      </c>
      <c r="AG82" s="435">
        <f t="shared" si="32"/>
        <v>5.7209595597957075E-3</v>
      </c>
      <c r="AH82" s="435">
        <f t="shared" si="51"/>
        <v>5.7209595597957075E-3</v>
      </c>
      <c r="AI82" s="434">
        <f t="shared" si="33"/>
        <v>0</v>
      </c>
      <c r="AJ82" s="434">
        <f t="shared" si="34"/>
        <v>0</v>
      </c>
      <c r="AK82" s="435">
        <f t="shared" si="35"/>
        <v>5.7209595597957075E-3</v>
      </c>
      <c r="AL82" s="435">
        <f t="shared" si="52"/>
        <v>5.7209595597957075E-3</v>
      </c>
      <c r="AM82" s="434">
        <f t="shared" si="36"/>
        <v>0</v>
      </c>
      <c r="AN82" s="434">
        <f t="shared" si="37"/>
        <v>0</v>
      </c>
      <c r="AO82" s="435">
        <f t="shared" si="38"/>
        <v>5.7209595597957075E-3</v>
      </c>
      <c r="AP82" s="435">
        <f t="shared" si="53"/>
        <v>5.7209595597957075E-3</v>
      </c>
      <c r="AQ82" s="434">
        <f t="shared" si="39"/>
        <v>0</v>
      </c>
      <c r="AR82" s="434">
        <f t="shared" si="40"/>
        <v>0</v>
      </c>
      <c r="AS82" s="435">
        <f t="shared" si="41"/>
        <v>5.7209595597957075E-3</v>
      </c>
      <c r="AT82" s="435">
        <f t="shared" si="54"/>
        <v>5.7209595597957066E-3</v>
      </c>
      <c r="AU82" s="436">
        <f t="shared" si="55"/>
        <v>5.7209595597957075E-3</v>
      </c>
      <c r="AV82" s="151">
        <f t="shared" si="42"/>
        <v>46241.165975372591</v>
      </c>
      <c r="BA82" s="18">
        <f t="shared" si="56"/>
        <v>0</v>
      </c>
      <c r="BB82" s="18">
        <f t="shared" si="56"/>
        <v>1</v>
      </c>
      <c r="BD82" s="630">
        <f t="shared" si="44"/>
        <v>1</v>
      </c>
    </row>
    <row r="83" spans="2:56" x14ac:dyDescent="0.25">
      <c r="B83" s="73">
        <f t="shared" si="11"/>
        <v>63</v>
      </c>
      <c r="C83" s="424" t="str">
        <f>ייצוב!C83</f>
        <v>רייצ'ל ארדוס</v>
      </c>
      <c r="D83" s="139">
        <f>IF(ייצוב!K83="","",ייצוב!K83)</f>
        <v>1.3678601150113703E-2</v>
      </c>
      <c r="E83" s="139">
        <f>IF(ייצוב!G83="","",ייצוב!G83)</f>
        <v>1.3243248023861766E-2</v>
      </c>
      <c r="F83" s="634">
        <f>'סיכום לועדה- הזנת נתונים'!G83</f>
        <v>0</v>
      </c>
      <c r="G83" s="146">
        <f t="shared" si="12"/>
        <v>0</v>
      </c>
      <c r="H83" s="432">
        <f t="shared" si="13"/>
        <v>0</v>
      </c>
      <c r="I83" s="433">
        <f t="shared" si="14"/>
        <v>1.3678601150113703E-2</v>
      </c>
      <c r="J83" s="433">
        <f t="shared" si="45"/>
        <v>1.3678365611244386E-2</v>
      </c>
      <c r="K83" s="434">
        <f t="shared" si="15"/>
        <v>0</v>
      </c>
      <c r="L83" s="434">
        <f t="shared" si="16"/>
        <v>0</v>
      </c>
      <c r="M83" s="435">
        <f t="shared" si="17"/>
        <v>1.3678601150113703E-2</v>
      </c>
      <c r="N83" s="435">
        <f t="shared" si="46"/>
        <v>1.3678367136623794E-2</v>
      </c>
      <c r="O83" s="434">
        <f t="shared" si="18"/>
        <v>0</v>
      </c>
      <c r="P83" s="434">
        <f t="shared" si="19"/>
        <v>0</v>
      </c>
      <c r="Q83" s="435">
        <f t="shared" si="20"/>
        <v>1.3678601150113703E-2</v>
      </c>
      <c r="R83" s="435">
        <f t="shared" si="47"/>
        <v>1.3678365611244386E-2</v>
      </c>
      <c r="S83" s="434">
        <f t="shared" si="21"/>
        <v>0</v>
      </c>
      <c r="T83" s="434">
        <f t="shared" si="22"/>
        <v>0</v>
      </c>
      <c r="U83" s="435">
        <f t="shared" si="23"/>
        <v>1.3678365611244386E-2</v>
      </c>
      <c r="V83" s="435">
        <f t="shared" si="48"/>
        <v>1.3678365611244383E-2</v>
      </c>
      <c r="W83" s="434">
        <f t="shared" si="24"/>
        <v>0</v>
      </c>
      <c r="X83" s="434">
        <f t="shared" si="25"/>
        <v>0</v>
      </c>
      <c r="Y83" s="435">
        <f t="shared" si="26"/>
        <v>1.3678365611244383E-2</v>
      </c>
      <c r="Z83" s="435">
        <f t="shared" si="49"/>
        <v>1.3678365611244383E-2</v>
      </c>
      <c r="AA83" s="434">
        <f t="shared" si="27"/>
        <v>0</v>
      </c>
      <c r="AB83" s="434">
        <f t="shared" si="28"/>
        <v>0</v>
      </c>
      <c r="AC83" s="435">
        <f t="shared" si="29"/>
        <v>1.3678365611244383E-2</v>
      </c>
      <c r="AD83" s="435">
        <f t="shared" si="50"/>
        <v>1.3678365611244383E-2</v>
      </c>
      <c r="AE83" s="434">
        <f t="shared" si="30"/>
        <v>0</v>
      </c>
      <c r="AF83" s="434">
        <f t="shared" si="31"/>
        <v>0</v>
      </c>
      <c r="AG83" s="435">
        <f t="shared" si="32"/>
        <v>1.3678365611244383E-2</v>
      </c>
      <c r="AH83" s="435">
        <f t="shared" si="51"/>
        <v>1.3678365611244383E-2</v>
      </c>
      <c r="AI83" s="434">
        <f t="shared" si="33"/>
        <v>0</v>
      </c>
      <c r="AJ83" s="434">
        <f t="shared" si="34"/>
        <v>0</v>
      </c>
      <c r="AK83" s="435">
        <f t="shared" si="35"/>
        <v>1.3678365611244383E-2</v>
      </c>
      <c r="AL83" s="435">
        <f t="shared" si="52"/>
        <v>1.3678365611244383E-2</v>
      </c>
      <c r="AM83" s="434">
        <f t="shared" si="36"/>
        <v>0</v>
      </c>
      <c r="AN83" s="434">
        <f t="shared" si="37"/>
        <v>0</v>
      </c>
      <c r="AO83" s="435">
        <f t="shared" si="38"/>
        <v>1.3678365611244383E-2</v>
      </c>
      <c r="AP83" s="435">
        <f t="shared" si="53"/>
        <v>1.3678365611244383E-2</v>
      </c>
      <c r="AQ83" s="434">
        <f t="shared" si="39"/>
        <v>0</v>
      </c>
      <c r="AR83" s="434">
        <f t="shared" si="40"/>
        <v>0</v>
      </c>
      <c r="AS83" s="435">
        <f t="shared" si="41"/>
        <v>1.3678365611244383E-2</v>
      </c>
      <c r="AT83" s="435">
        <f t="shared" si="54"/>
        <v>1.3678365611244381E-2</v>
      </c>
      <c r="AU83" s="436">
        <f t="shared" si="55"/>
        <v>1.3678365611244385E-2</v>
      </c>
      <c r="AV83" s="151">
        <f t="shared" si="42"/>
        <v>110559.00114140411</v>
      </c>
      <c r="BA83" s="18">
        <f t="shared" si="56"/>
        <v>0</v>
      </c>
      <c r="BB83" s="18">
        <f t="shared" si="56"/>
        <v>1</v>
      </c>
      <c r="BD83" s="630">
        <f t="shared" si="44"/>
        <v>1</v>
      </c>
    </row>
    <row r="84" spans="2:56" x14ac:dyDescent="0.25">
      <c r="B84" s="73">
        <f t="shared" si="11"/>
        <v>64</v>
      </c>
      <c r="C84" s="424" t="str">
        <f>ייצוב!C84</f>
        <v>שירה אביתר</v>
      </c>
      <c r="D84" s="139">
        <f>IF(ייצוב!K84="","",ייצוב!K84)</f>
        <v>6.1473901941269853E-3</v>
      </c>
      <c r="E84" s="139">
        <f>IF(ייצוב!G84="","",ייצוב!G84)</f>
        <v>6.9177048416013765E-3</v>
      </c>
      <c r="F84" s="634">
        <f>'סיכום לועדה- הזנת נתונים'!G84</f>
        <v>0</v>
      </c>
      <c r="G84" s="146">
        <f t="shared" si="12"/>
        <v>0</v>
      </c>
      <c r="H84" s="432">
        <f t="shared" si="13"/>
        <v>0</v>
      </c>
      <c r="I84" s="433">
        <f t="shared" si="14"/>
        <v>6.1473901941269853E-3</v>
      </c>
      <c r="J84" s="433">
        <f t="shared" si="45"/>
        <v>6.1472843390530879E-3</v>
      </c>
      <c r="K84" s="434">
        <f t="shared" si="15"/>
        <v>0</v>
      </c>
      <c r="L84" s="434">
        <f t="shared" si="16"/>
        <v>0</v>
      </c>
      <c r="M84" s="435">
        <f t="shared" si="17"/>
        <v>6.1473901941269853E-3</v>
      </c>
      <c r="N84" s="435">
        <f t="shared" si="46"/>
        <v>6.1472850245838893E-3</v>
      </c>
      <c r="O84" s="434">
        <f t="shared" si="18"/>
        <v>0</v>
      </c>
      <c r="P84" s="434">
        <f t="shared" si="19"/>
        <v>0</v>
      </c>
      <c r="Q84" s="435">
        <f t="shared" si="20"/>
        <v>6.1473901941269853E-3</v>
      </c>
      <c r="R84" s="435">
        <f t="shared" si="47"/>
        <v>6.1472843390530879E-3</v>
      </c>
      <c r="S84" s="434">
        <f t="shared" si="21"/>
        <v>0</v>
      </c>
      <c r="T84" s="434">
        <f t="shared" si="22"/>
        <v>0</v>
      </c>
      <c r="U84" s="435">
        <f t="shared" si="23"/>
        <v>6.1472843390530879E-3</v>
      </c>
      <c r="V84" s="435">
        <f t="shared" si="48"/>
        <v>6.1472843390530862E-3</v>
      </c>
      <c r="W84" s="434">
        <f t="shared" si="24"/>
        <v>0</v>
      </c>
      <c r="X84" s="434">
        <f t="shared" si="25"/>
        <v>0</v>
      </c>
      <c r="Y84" s="435">
        <f t="shared" si="26"/>
        <v>6.1472843390530862E-3</v>
      </c>
      <c r="Z84" s="435">
        <f t="shared" si="49"/>
        <v>6.1472843390530862E-3</v>
      </c>
      <c r="AA84" s="434">
        <f t="shared" si="27"/>
        <v>0</v>
      </c>
      <c r="AB84" s="434">
        <f t="shared" si="28"/>
        <v>0</v>
      </c>
      <c r="AC84" s="435">
        <f t="shared" si="29"/>
        <v>6.1472843390530862E-3</v>
      </c>
      <c r="AD84" s="435">
        <f t="shared" si="50"/>
        <v>6.1472843390530862E-3</v>
      </c>
      <c r="AE84" s="434">
        <f t="shared" si="30"/>
        <v>0</v>
      </c>
      <c r="AF84" s="434">
        <f t="shared" si="31"/>
        <v>0</v>
      </c>
      <c r="AG84" s="435">
        <f t="shared" si="32"/>
        <v>6.1472843390530862E-3</v>
      </c>
      <c r="AH84" s="435">
        <f t="shared" si="51"/>
        <v>6.1472843390530862E-3</v>
      </c>
      <c r="AI84" s="434">
        <f t="shared" si="33"/>
        <v>0</v>
      </c>
      <c r="AJ84" s="434">
        <f t="shared" si="34"/>
        <v>0</v>
      </c>
      <c r="AK84" s="435">
        <f t="shared" si="35"/>
        <v>6.1472843390530862E-3</v>
      </c>
      <c r="AL84" s="435">
        <f t="shared" si="52"/>
        <v>6.1472843390530862E-3</v>
      </c>
      <c r="AM84" s="434">
        <f t="shared" si="36"/>
        <v>0</v>
      </c>
      <c r="AN84" s="434">
        <f t="shared" si="37"/>
        <v>0</v>
      </c>
      <c r="AO84" s="435">
        <f t="shared" si="38"/>
        <v>6.1472843390530862E-3</v>
      </c>
      <c r="AP84" s="435">
        <f t="shared" si="53"/>
        <v>6.1472843390530862E-3</v>
      </c>
      <c r="AQ84" s="434">
        <f t="shared" si="39"/>
        <v>0</v>
      </c>
      <c r="AR84" s="434">
        <f t="shared" si="40"/>
        <v>0</v>
      </c>
      <c r="AS84" s="435">
        <f t="shared" si="41"/>
        <v>6.1472843390530862E-3</v>
      </c>
      <c r="AT84" s="435">
        <f t="shared" si="54"/>
        <v>6.1472843390530862E-3</v>
      </c>
      <c r="AU84" s="436">
        <f t="shared" si="55"/>
        <v>6.1472843390530879E-3</v>
      </c>
      <c r="AV84" s="151">
        <f t="shared" si="42"/>
        <v>49687.048553462097</v>
      </c>
      <c r="BA84" s="18">
        <f t="shared" si="56"/>
        <v>0</v>
      </c>
      <c r="BB84" s="18">
        <f t="shared" si="56"/>
        <v>1</v>
      </c>
      <c r="BD84" s="630">
        <f t="shared" si="44"/>
        <v>1</v>
      </c>
    </row>
    <row r="85" spans="2:56" x14ac:dyDescent="0.25">
      <c r="B85" s="73">
        <f t="shared" si="11"/>
        <v>65</v>
      </c>
      <c r="C85" s="424" t="str">
        <f>ייצוב!C85</f>
        <v>שלומית פונדמינסקי</v>
      </c>
      <c r="D85" s="139">
        <f>IF(ייצוב!K85="","",ייצוב!K85)</f>
        <v>1.704330908738922E-2</v>
      </c>
      <c r="E85" s="139">
        <f>IF(ייצוב!G85="","",ייצוב!G85)</f>
        <v>1.3238363944192658E-2</v>
      </c>
      <c r="F85" s="634">
        <f>'סיכום לועדה- הזנת נתונים'!G85</f>
        <v>0</v>
      </c>
      <c r="G85" s="146">
        <f t="shared" si="12"/>
        <v>0</v>
      </c>
      <c r="H85" s="432">
        <f t="shared" si="13"/>
        <v>0</v>
      </c>
      <c r="I85" s="433">
        <f t="shared" si="14"/>
        <v>1.704330908738922E-2</v>
      </c>
      <c r="J85" s="433">
        <f t="shared" ref="J85:J112" si="57">IF(G85="","",IF(H85=1,I85,I85/SUMIF(H$21:H$132,"&lt;&gt;1",I$21:I$132)*(1-SUMIF(H$21:H$132,"=1",I$21:I$132))))</f>
        <v>1.7043015609883166E-2</v>
      </c>
      <c r="K85" s="434">
        <f t="shared" si="15"/>
        <v>0</v>
      </c>
      <c r="L85" s="434">
        <f t="shared" si="16"/>
        <v>0</v>
      </c>
      <c r="M85" s="435">
        <f t="shared" si="17"/>
        <v>1.704330908738922E-2</v>
      </c>
      <c r="N85" s="435">
        <f t="shared" ref="N85:N112" si="58">IF(K85="","",IF(L85=1,M85,M85/SUMIF(L$21:L$132,"&lt;&gt;1",M$21:M$132)*(1-SUMIF(L$21:L$132,"=1",M$21:M$132))))</f>
        <v>1.7043017510480488E-2</v>
      </c>
      <c r="O85" s="434">
        <f t="shared" si="18"/>
        <v>0</v>
      </c>
      <c r="P85" s="434">
        <f t="shared" si="19"/>
        <v>0</v>
      </c>
      <c r="Q85" s="435">
        <f t="shared" si="20"/>
        <v>1.704330908738922E-2</v>
      </c>
      <c r="R85" s="435">
        <f t="shared" ref="R85:R112" si="59">IF(O85="","",IF(P85=1,Q85,Q85/SUMIF(P$21:P$132,"&lt;&gt;1",Q$21:Q$132)*(1-SUMIF(P$21:P$132,"=1",Q$21:Q$132))))</f>
        <v>1.7043015609883166E-2</v>
      </c>
      <c r="S85" s="434">
        <f t="shared" si="21"/>
        <v>0</v>
      </c>
      <c r="T85" s="434">
        <f t="shared" si="22"/>
        <v>0</v>
      </c>
      <c r="U85" s="435">
        <f t="shared" si="23"/>
        <v>1.7043015609883166E-2</v>
      </c>
      <c r="V85" s="435">
        <f t="shared" ref="V85:V112" si="60">IF(S85="","",IF(T85=1,U85,U85/SUMIF(T$21:T$132,"&lt;&gt;1",U$21:U$132)*(1-SUMIF(T$21:T$132,"=1",U$21:U$132))))</f>
        <v>1.7043015609883163E-2</v>
      </c>
      <c r="W85" s="434">
        <f t="shared" si="24"/>
        <v>0</v>
      </c>
      <c r="X85" s="434">
        <f t="shared" si="25"/>
        <v>0</v>
      </c>
      <c r="Y85" s="435">
        <f t="shared" si="26"/>
        <v>1.7043015609883163E-2</v>
      </c>
      <c r="Z85" s="435">
        <f t="shared" ref="Z85:Z112" si="61">IF(W85="","",IF(X85=1,Y85,Y85/SUMIF(X$21:X$132,"&lt;&gt;1",Y$21:Y$132)*(1-SUMIF(X$21:X$132,"=1",Y$21:Y$132))))</f>
        <v>1.7043015609883163E-2</v>
      </c>
      <c r="AA85" s="434">
        <f t="shared" si="27"/>
        <v>0</v>
      </c>
      <c r="AB85" s="434">
        <f t="shared" si="28"/>
        <v>0</v>
      </c>
      <c r="AC85" s="435">
        <f t="shared" si="29"/>
        <v>1.7043015609883163E-2</v>
      </c>
      <c r="AD85" s="435">
        <f t="shared" ref="AD85:AD112" si="62">IF(AA85="","",IF(AB85=1,AC85,AC85/SUMIF(AB$21:AB$132,"&lt;&gt;1",AC$21:AC$132)*(1-SUMIF(AB$21:AB$132,"=1",AC$21:AC$132))))</f>
        <v>1.7043015609883163E-2</v>
      </c>
      <c r="AE85" s="434">
        <f t="shared" si="30"/>
        <v>0</v>
      </c>
      <c r="AF85" s="434">
        <f t="shared" si="31"/>
        <v>0</v>
      </c>
      <c r="AG85" s="435">
        <f t="shared" si="32"/>
        <v>1.7043015609883163E-2</v>
      </c>
      <c r="AH85" s="435">
        <f t="shared" ref="AH85:AH112" si="63">IF(AE85="","",IF(AF85=1,AG85,AG85/SUMIF(AF$21:AF$132,"&lt;&gt;1",AG$21:AG$132)*(1-SUMIF(AF$21:AF$132,"=1",AG$21:AG$132))))</f>
        <v>1.7043015609883163E-2</v>
      </c>
      <c r="AI85" s="434">
        <f t="shared" si="33"/>
        <v>0</v>
      </c>
      <c r="AJ85" s="434">
        <f t="shared" si="34"/>
        <v>0</v>
      </c>
      <c r="AK85" s="435">
        <f t="shared" si="35"/>
        <v>1.7043015609883163E-2</v>
      </c>
      <c r="AL85" s="435">
        <f t="shared" ref="AL85:AL112" si="64">IF(AI85="","",IF(AJ85=1,AK85,AK85/SUMIF(AJ$21:AJ$132,"&lt;&gt;1",AK$21:AK$132)*(1-SUMIF(AJ$21:AJ$132,"=1",AK$21:AK$132))))</f>
        <v>1.7043015609883163E-2</v>
      </c>
      <c r="AM85" s="434">
        <f t="shared" si="36"/>
        <v>0</v>
      </c>
      <c r="AN85" s="434">
        <f t="shared" si="37"/>
        <v>0</v>
      </c>
      <c r="AO85" s="435">
        <f t="shared" si="38"/>
        <v>1.7043015609883163E-2</v>
      </c>
      <c r="AP85" s="435">
        <f t="shared" ref="AP85:AP112" si="65">IF(AM85="","",IF(AN85=1,AO85,AO85/SUMIF(AN$21:AN$132,"&lt;&gt;1",AO$21:AO$132)*(1-SUMIF(AN$21:AN$132,"=1",AO$21:AO$132))))</f>
        <v>1.7043015609883163E-2</v>
      </c>
      <c r="AQ85" s="434">
        <f t="shared" si="39"/>
        <v>0</v>
      </c>
      <c r="AR85" s="434">
        <f t="shared" si="40"/>
        <v>0</v>
      </c>
      <c r="AS85" s="435">
        <f t="shared" si="41"/>
        <v>1.7043015609883163E-2</v>
      </c>
      <c r="AT85" s="435">
        <f t="shared" ref="AT85:AT112" si="66">IF(AQ85="","",IF(AR85=1,AS85,AS85/SUMIF(AR$21:AR$132,"&lt;&gt;1",AS$21:AS$132)*(1-SUMIF(AR$21:AR$132,"=1",AS$21:AS$132))))</f>
        <v>1.704301560988316E-2</v>
      </c>
      <c r="AU85" s="436">
        <f t="shared" ref="AU85:AU112" si="67">IF(C85="","",IFERROR(AT85/SUM($AT$21:$AT$132),$BA$1))</f>
        <v>1.7043015609883163E-2</v>
      </c>
      <c r="AV85" s="151">
        <f t="shared" si="42"/>
        <v>137754.67302300167</v>
      </c>
      <c r="BA85" s="18">
        <f t="shared" si="56"/>
        <v>0</v>
      </c>
      <c r="BB85" s="18">
        <f t="shared" si="56"/>
        <v>1</v>
      </c>
      <c r="BD85" s="630">
        <f t="shared" si="44"/>
        <v>1</v>
      </c>
    </row>
    <row r="86" spans="2:56" x14ac:dyDescent="0.25">
      <c r="B86" s="73" t="str">
        <f t="shared" ref="B86:B132" si="68">IF(C86="","",ROW()-20)</f>
        <v/>
      </c>
      <c r="C86" s="424" t="str">
        <f>ייצוב!C86</f>
        <v/>
      </c>
      <c r="D86" s="139" t="str">
        <f>IF(ייצוב!K86="","",ייצוב!K86)</f>
        <v/>
      </c>
      <c r="E86" s="139" t="str">
        <f>IF(ייצוב!G86="","",ייצוב!G86)</f>
        <v/>
      </c>
      <c r="F86" s="634" t="str">
        <f>'סיכום לועדה- הזנת נתונים'!G86</f>
        <v/>
      </c>
      <c r="G86" s="146" t="str">
        <f t="shared" ref="G86:G112" si="69">IF($C86="","",IF(OR(D86="",E86="",BD86&lt;&gt;1),$BA$1,IF($D86&lt;$E86*$E$6,1,0)))</f>
        <v/>
      </c>
      <c r="H86" s="432" t="str">
        <f t="shared" ref="H86:H112" si="70">IF($C86="","",IF(G86+$F86=2,1,0))</f>
        <v/>
      </c>
      <c r="I86" s="433" t="str">
        <f t="shared" ref="I86:I112" si="71">IF($C86="","",IF(H86=1,$E86*$E$6,$D86))</f>
        <v/>
      </c>
      <c r="J86" s="433" t="str">
        <f t="shared" si="57"/>
        <v/>
      </c>
      <c r="K86" s="434" t="str">
        <f t="shared" ref="K86:K112" si="72">IF($C86="","",IF(J86&lt;$E86*$E$6,1,0))</f>
        <v/>
      </c>
      <c r="L86" s="434" t="str">
        <f t="shared" ref="L86:L112" si="73">IF($C86="","",IF(K86+$F86=2,1,0))</f>
        <v/>
      </c>
      <c r="M86" s="435" t="str">
        <f t="shared" ref="M86:M112" si="74">IF($C86="","",IF(L86=1,$E86*$E$6,$I86))</f>
        <v/>
      </c>
      <c r="N86" s="435" t="str">
        <f t="shared" si="58"/>
        <v/>
      </c>
      <c r="O86" s="434" t="str">
        <f t="shared" ref="O86:O112" si="75">IF($C86="","",IF(N86&lt;$E86*$E$6,1,0))</f>
        <v/>
      </c>
      <c r="P86" s="434" t="str">
        <f t="shared" ref="P86:P112" si="76">IF($C86="","",IF(O86+$F86=2,1,0))</f>
        <v/>
      </c>
      <c r="Q86" s="435" t="str">
        <f t="shared" ref="Q86:Q112" si="77">IF($C86="","",IF(P86=1,$E86*$E$6,$M86))</f>
        <v/>
      </c>
      <c r="R86" s="435" t="str">
        <f t="shared" si="59"/>
        <v/>
      </c>
      <c r="S86" s="434" t="str">
        <f t="shared" ref="S86:S112" si="78">IF($C86="","",IF(R86&lt;$E86*$E$6,1,0))</f>
        <v/>
      </c>
      <c r="T86" s="434" t="str">
        <f t="shared" ref="T86:T112" si="79">IF($C86="","",IF(S86+$F86=2,1,0))</f>
        <v/>
      </c>
      <c r="U86" s="435" t="str">
        <f t="shared" ref="U86:U112" si="80">IF($C86="","",IF(T86=1,$E86*$E$6,R86))</f>
        <v/>
      </c>
      <c r="V86" s="435" t="str">
        <f t="shared" si="60"/>
        <v/>
      </c>
      <c r="W86" s="434" t="str">
        <f t="shared" ref="W86:W112" si="81">IF($C86="","",IF(V86&lt;$E86*$E$6,1,0))</f>
        <v/>
      </c>
      <c r="X86" s="434" t="str">
        <f t="shared" ref="X86:X112" si="82">IF($C86="","",IF(W86+$F86=2,1,0))</f>
        <v/>
      </c>
      <c r="Y86" s="435" t="str">
        <f t="shared" ref="Y86:Y112" si="83">IF($C86="","",IF(X86=1,$E86*$E$6,V86))</f>
        <v/>
      </c>
      <c r="Z86" s="435" t="str">
        <f t="shared" si="61"/>
        <v/>
      </c>
      <c r="AA86" s="434" t="str">
        <f t="shared" ref="AA86:AA112" si="84">IF($C86="","",IF(Z86&lt;$E86*$E$6,1,0))</f>
        <v/>
      </c>
      <c r="AB86" s="434" t="str">
        <f t="shared" ref="AB86:AB112" si="85">IF($C86="","",IF(AA86+$F86=2,1,0))</f>
        <v/>
      </c>
      <c r="AC86" s="435" t="str">
        <f t="shared" ref="AC86:AC112" si="86">IF($C86="","",IF(AB86=1,$E86*$E$6,Z86))</f>
        <v/>
      </c>
      <c r="AD86" s="435" t="str">
        <f t="shared" si="62"/>
        <v/>
      </c>
      <c r="AE86" s="434" t="str">
        <f t="shared" ref="AE86:AE112" si="87">IF($C86="","",IF(AD86&lt;$E86*$E$6,1,0))</f>
        <v/>
      </c>
      <c r="AF86" s="434" t="str">
        <f t="shared" ref="AF86:AF112" si="88">IF($C86="","",IF(AE86+$F86=2,1,0))</f>
        <v/>
      </c>
      <c r="AG86" s="435" t="str">
        <f t="shared" ref="AG86:AG112" si="89">IF($C86="","",IF(AF86=1,$E86*$E$6,AD86))</f>
        <v/>
      </c>
      <c r="AH86" s="435" t="str">
        <f t="shared" si="63"/>
        <v/>
      </c>
      <c r="AI86" s="434" t="str">
        <f t="shared" ref="AI86:AI112" si="90">IF($C86="","",IF(AH86&lt;$E86*$E$6,1,0))</f>
        <v/>
      </c>
      <c r="AJ86" s="434" t="str">
        <f t="shared" ref="AJ86:AJ112" si="91">IF($C86="","",IF(AI86+$F86=2,1,0))</f>
        <v/>
      </c>
      <c r="AK86" s="435" t="str">
        <f t="shared" ref="AK86:AK112" si="92">IF($C86="","",IF(AJ86=1,$E86*$E$6,AH86))</f>
        <v/>
      </c>
      <c r="AL86" s="435" t="str">
        <f t="shared" si="64"/>
        <v/>
      </c>
      <c r="AM86" s="434" t="str">
        <f t="shared" ref="AM86:AM112" si="93">IF($C86="","",IF(AL86&lt;$E86*$E$6,1,0))</f>
        <v/>
      </c>
      <c r="AN86" s="434" t="str">
        <f t="shared" ref="AN86:AN112" si="94">IF($C86="","",IF(AM86+$F86=2,1,0))</f>
        <v/>
      </c>
      <c r="AO86" s="435" t="str">
        <f t="shared" ref="AO86:AO112" si="95">IF($C86="","",IF(AN86=1,$E86*$E$6,AL86))</f>
        <v/>
      </c>
      <c r="AP86" s="435" t="str">
        <f t="shared" si="65"/>
        <v/>
      </c>
      <c r="AQ86" s="434" t="str">
        <f t="shared" ref="AQ86:AQ112" si="96">IF($C86="","",IF(OR(AP86&lt;$E86*$E$6,AN86=1,AJ86=1,AF86=1,AB86=1,X86=1,T86=1,P86=1,L86=1,H86=1),1,0))</f>
        <v/>
      </c>
      <c r="AR86" s="434" t="str">
        <f t="shared" ref="AR86:AR112" si="97">IF($C86="","",IF(AQ86+$F86=2,1,0))</f>
        <v/>
      </c>
      <c r="AS86" s="435" t="str">
        <f t="shared" ref="AS86:AS112" si="98">IF($C86="","",IF(AR86=1,$E86*$E$6,AP86))</f>
        <v/>
      </c>
      <c r="AT86" s="435" t="str">
        <f t="shared" si="66"/>
        <v/>
      </c>
      <c r="AU86" s="436" t="str">
        <f t="shared" si="67"/>
        <v/>
      </c>
      <c r="AV86" s="151" t="str">
        <f t="shared" ref="AV86:AV112" si="99">IF(C86="","",IFERROR(AU86*$C$2,$BA$1))</f>
        <v/>
      </c>
      <c r="BA86" s="18" t="str">
        <f t="shared" ref="BA86:BB132" si="100">IF($C86="","",BA$20)</f>
        <v/>
      </c>
      <c r="BB86" s="18" t="str">
        <f t="shared" si="100"/>
        <v/>
      </c>
      <c r="BD86" s="630">
        <f t="shared" ref="BD86:BD113" si="101">IF(F86="",0,IF(ISERROR(MATCH(F86,$BA$20:$BB$20,0)),0,1))</f>
        <v>0</v>
      </c>
    </row>
    <row r="87" spans="2:56" x14ac:dyDescent="0.25">
      <c r="B87" s="73">
        <f t="shared" si="68"/>
        <v>67</v>
      </c>
      <c r="C87" s="424" t="str">
        <f>ייצוב!C87</f>
        <v>שרון וזנה</v>
      </c>
      <c r="D87" s="139">
        <f>IF(ייצוב!K87="","",ייצוב!K87)</f>
        <v>9.5696385697543081E-3</v>
      </c>
      <c r="E87" s="139">
        <f>IF(ייצוב!G87="","",ייצוב!G87)</f>
        <v>9.6187329007710771E-3</v>
      </c>
      <c r="F87" s="634">
        <f>'סיכום לועדה- הזנת נתונים'!G87</f>
        <v>0</v>
      </c>
      <c r="G87" s="146">
        <f t="shared" si="69"/>
        <v>0</v>
      </c>
      <c r="H87" s="432">
        <f t="shared" si="70"/>
        <v>0</v>
      </c>
      <c r="I87" s="433">
        <f t="shared" si="71"/>
        <v>9.5696385697543081E-3</v>
      </c>
      <c r="J87" s="433">
        <f t="shared" si="57"/>
        <v>9.569473785225267E-3</v>
      </c>
      <c r="K87" s="434">
        <f t="shared" si="72"/>
        <v>0</v>
      </c>
      <c r="L87" s="434">
        <f t="shared" si="73"/>
        <v>0</v>
      </c>
      <c r="M87" s="435">
        <f t="shared" si="74"/>
        <v>9.5696385697543081E-3</v>
      </c>
      <c r="N87" s="435">
        <f t="shared" si="58"/>
        <v>9.5694748523906473E-3</v>
      </c>
      <c r="O87" s="434">
        <f t="shared" si="75"/>
        <v>0</v>
      </c>
      <c r="P87" s="434">
        <f t="shared" si="76"/>
        <v>0</v>
      </c>
      <c r="Q87" s="435">
        <f t="shared" si="77"/>
        <v>9.5696385697543081E-3</v>
      </c>
      <c r="R87" s="435">
        <f t="shared" si="59"/>
        <v>9.569473785225267E-3</v>
      </c>
      <c r="S87" s="434">
        <f t="shared" si="78"/>
        <v>0</v>
      </c>
      <c r="T87" s="434">
        <f t="shared" si="79"/>
        <v>0</v>
      </c>
      <c r="U87" s="435">
        <f t="shared" si="80"/>
        <v>9.569473785225267E-3</v>
      </c>
      <c r="V87" s="435">
        <f t="shared" si="60"/>
        <v>9.5694737852252652E-3</v>
      </c>
      <c r="W87" s="434">
        <f t="shared" si="81"/>
        <v>0</v>
      </c>
      <c r="X87" s="434">
        <f t="shared" si="82"/>
        <v>0</v>
      </c>
      <c r="Y87" s="435">
        <f t="shared" si="83"/>
        <v>9.5694737852252652E-3</v>
      </c>
      <c r="Z87" s="435">
        <f t="shared" si="61"/>
        <v>9.5694737852252652E-3</v>
      </c>
      <c r="AA87" s="434">
        <f t="shared" si="84"/>
        <v>0</v>
      </c>
      <c r="AB87" s="434">
        <f t="shared" si="85"/>
        <v>0</v>
      </c>
      <c r="AC87" s="435">
        <f t="shared" si="86"/>
        <v>9.5694737852252652E-3</v>
      </c>
      <c r="AD87" s="435">
        <f t="shared" si="62"/>
        <v>9.5694737852252652E-3</v>
      </c>
      <c r="AE87" s="434">
        <f t="shared" si="87"/>
        <v>0</v>
      </c>
      <c r="AF87" s="434">
        <f t="shared" si="88"/>
        <v>0</v>
      </c>
      <c r="AG87" s="435">
        <f t="shared" si="89"/>
        <v>9.5694737852252652E-3</v>
      </c>
      <c r="AH87" s="435">
        <f t="shared" si="63"/>
        <v>9.5694737852252652E-3</v>
      </c>
      <c r="AI87" s="434">
        <f t="shared" si="90"/>
        <v>0</v>
      </c>
      <c r="AJ87" s="434">
        <f t="shared" si="91"/>
        <v>0</v>
      </c>
      <c r="AK87" s="435">
        <f t="shared" si="92"/>
        <v>9.5694737852252652E-3</v>
      </c>
      <c r="AL87" s="435">
        <f t="shared" si="64"/>
        <v>9.5694737852252652E-3</v>
      </c>
      <c r="AM87" s="434">
        <f t="shared" si="93"/>
        <v>0</v>
      </c>
      <c r="AN87" s="434">
        <f t="shared" si="94"/>
        <v>0</v>
      </c>
      <c r="AO87" s="435">
        <f t="shared" si="95"/>
        <v>9.5694737852252652E-3</v>
      </c>
      <c r="AP87" s="435">
        <f t="shared" si="65"/>
        <v>9.5694737852252652E-3</v>
      </c>
      <c r="AQ87" s="434">
        <f t="shared" si="96"/>
        <v>0</v>
      </c>
      <c r="AR87" s="434">
        <f t="shared" si="97"/>
        <v>0</v>
      </c>
      <c r="AS87" s="435">
        <f t="shared" si="98"/>
        <v>9.5694737852252652E-3</v>
      </c>
      <c r="AT87" s="435">
        <f t="shared" si="66"/>
        <v>9.5694737852252652E-3</v>
      </c>
      <c r="AU87" s="436">
        <f t="shared" si="67"/>
        <v>9.569473785225267E-3</v>
      </c>
      <c r="AV87" s="151">
        <f t="shared" si="99"/>
        <v>77347.798210162524</v>
      </c>
      <c r="BA87" s="18">
        <f t="shared" si="100"/>
        <v>0</v>
      </c>
      <c r="BB87" s="18">
        <f t="shared" si="100"/>
        <v>1</v>
      </c>
      <c r="BD87" s="630">
        <f t="shared" si="101"/>
        <v>1</v>
      </c>
    </row>
    <row r="88" spans="2:56" x14ac:dyDescent="0.25">
      <c r="B88" s="73">
        <f t="shared" si="68"/>
        <v>68</v>
      </c>
      <c r="C88" s="424" t="str">
        <f>ייצוב!C88</f>
        <v>שרונה פלורסהיים</v>
      </c>
      <c r="D88" s="139">
        <f>IF(ייצוב!K88="","",ייצוב!K88)</f>
        <v>1.7591337386752431E-2</v>
      </c>
      <c r="E88" s="139">
        <f>IF(ייצוב!G88="","",ייצוב!G88)</f>
        <v>1.8623259782613574E-2</v>
      </c>
      <c r="F88" s="634">
        <f>'סיכום לועדה- הזנת נתונים'!G88</f>
        <v>0</v>
      </c>
      <c r="G88" s="146">
        <f t="shared" si="69"/>
        <v>0</v>
      </c>
      <c r="H88" s="432">
        <f t="shared" si="70"/>
        <v>0</v>
      </c>
      <c r="I88" s="433">
        <f t="shared" si="71"/>
        <v>1.7591337386752431E-2</v>
      </c>
      <c r="J88" s="433">
        <f t="shared" si="57"/>
        <v>1.759103447246519E-2</v>
      </c>
      <c r="K88" s="434">
        <f t="shared" si="72"/>
        <v>0</v>
      </c>
      <c r="L88" s="434">
        <f t="shared" si="73"/>
        <v>0</v>
      </c>
      <c r="M88" s="435">
        <f t="shared" si="74"/>
        <v>1.7591337386752431E-2</v>
      </c>
      <c r="N88" s="435">
        <f t="shared" si="58"/>
        <v>1.7591036434176296E-2</v>
      </c>
      <c r="O88" s="434">
        <f t="shared" si="75"/>
        <v>0</v>
      </c>
      <c r="P88" s="434">
        <f t="shared" si="76"/>
        <v>0</v>
      </c>
      <c r="Q88" s="435">
        <f t="shared" si="77"/>
        <v>1.7591337386752431E-2</v>
      </c>
      <c r="R88" s="435">
        <f t="shared" si="59"/>
        <v>1.759103447246519E-2</v>
      </c>
      <c r="S88" s="434">
        <f t="shared" si="78"/>
        <v>0</v>
      </c>
      <c r="T88" s="434">
        <f t="shared" si="79"/>
        <v>0</v>
      </c>
      <c r="U88" s="435">
        <f t="shared" si="80"/>
        <v>1.759103447246519E-2</v>
      </c>
      <c r="V88" s="435">
        <f t="shared" si="60"/>
        <v>1.7591034472465187E-2</v>
      </c>
      <c r="W88" s="434">
        <f t="shared" si="81"/>
        <v>0</v>
      </c>
      <c r="X88" s="434">
        <f t="shared" si="82"/>
        <v>0</v>
      </c>
      <c r="Y88" s="435">
        <f t="shared" si="83"/>
        <v>1.7591034472465187E-2</v>
      </c>
      <c r="Z88" s="435">
        <f t="shared" si="61"/>
        <v>1.7591034472465187E-2</v>
      </c>
      <c r="AA88" s="434">
        <f t="shared" si="84"/>
        <v>0</v>
      </c>
      <c r="AB88" s="434">
        <f t="shared" si="85"/>
        <v>0</v>
      </c>
      <c r="AC88" s="435">
        <f t="shared" si="86"/>
        <v>1.7591034472465187E-2</v>
      </c>
      <c r="AD88" s="435">
        <f t="shared" si="62"/>
        <v>1.7591034472465187E-2</v>
      </c>
      <c r="AE88" s="434">
        <f t="shared" si="87"/>
        <v>0</v>
      </c>
      <c r="AF88" s="434">
        <f t="shared" si="88"/>
        <v>0</v>
      </c>
      <c r="AG88" s="435">
        <f t="shared" si="89"/>
        <v>1.7591034472465187E-2</v>
      </c>
      <c r="AH88" s="435">
        <f t="shared" si="63"/>
        <v>1.7591034472465187E-2</v>
      </c>
      <c r="AI88" s="434">
        <f t="shared" si="90"/>
        <v>0</v>
      </c>
      <c r="AJ88" s="434">
        <f t="shared" si="91"/>
        <v>0</v>
      </c>
      <c r="AK88" s="435">
        <f t="shared" si="92"/>
        <v>1.7591034472465187E-2</v>
      </c>
      <c r="AL88" s="435">
        <f t="shared" si="64"/>
        <v>1.7591034472465187E-2</v>
      </c>
      <c r="AM88" s="434">
        <f t="shared" si="93"/>
        <v>0</v>
      </c>
      <c r="AN88" s="434">
        <f t="shared" si="94"/>
        <v>0</v>
      </c>
      <c r="AO88" s="435">
        <f t="shared" si="95"/>
        <v>1.7591034472465187E-2</v>
      </c>
      <c r="AP88" s="435">
        <f t="shared" si="65"/>
        <v>1.7591034472465187E-2</v>
      </c>
      <c r="AQ88" s="434">
        <f t="shared" si="96"/>
        <v>0</v>
      </c>
      <c r="AR88" s="434">
        <f t="shared" si="97"/>
        <v>0</v>
      </c>
      <c r="AS88" s="435">
        <f t="shared" si="98"/>
        <v>1.7591034472465187E-2</v>
      </c>
      <c r="AT88" s="435">
        <f t="shared" si="66"/>
        <v>1.7591034472465183E-2</v>
      </c>
      <c r="AU88" s="436">
        <f t="shared" si="67"/>
        <v>1.7591034472465187E-2</v>
      </c>
      <c r="AV88" s="151">
        <f t="shared" si="99"/>
        <v>142184.1801568006</v>
      </c>
      <c r="BA88" s="18">
        <f t="shared" si="100"/>
        <v>0</v>
      </c>
      <c r="BB88" s="18">
        <f t="shared" si="100"/>
        <v>1</v>
      </c>
      <c r="BD88" s="630">
        <f t="shared" si="101"/>
        <v>1</v>
      </c>
    </row>
    <row r="89" spans="2:56" x14ac:dyDescent="0.25">
      <c r="B89" s="73">
        <f t="shared" si="68"/>
        <v>69</v>
      </c>
      <c r="C89" s="424" t="str">
        <f>ייצוב!C89</f>
        <v>תמי ליבוביץ</v>
      </c>
      <c r="D89" s="139">
        <f>IF(ייצוב!K89="","",ייצוב!K89)</f>
        <v>7.5228158439055543E-3</v>
      </c>
      <c r="E89" s="139">
        <f>IF(ייצוב!G89="","",ייצוב!G89)</f>
        <v>8.1136443497666338E-3</v>
      </c>
      <c r="F89" s="634">
        <f>'סיכום לועדה- הזנת נתונים'!G89</f>
        <v>0</v>
      </c>
      <c r="G89" s="146">
        <f t="shared" si="69"/>
        <v>0</v>
      </c>
      <c r="H89" s="432">
        <f t="shared" si="70"/>
        <v>0</v>
      </c>
      <c r="I89" s="433">
        <f t="shared" si="71"/>
        <v>7.5228158439055543E-3</v>
      </c>
      <c r="J89" s="433">
        <f t="shared" si="57"/>
        <v>7.5226863046698898E-3</v>
      </c>
      <c r="K89" s="434">
        <f t="shared" si="72"/>
        <v>0</v>
      </c>
      <c r="L89" s="434">
        <f t="shared" si="73"/>
        <v>0</v>
      </c>
      <c r="M89" s="435">
        <f t="shared" si="74"/>
        <v>7.5228158439055543E-3</v>
      </c>
      <c r="N89" s="435">
        <f t="shared" si="58"/>
        <v>7.5226871435823085E-3</v>
      </c>
      <c r="O89" s="434">
        <f t="shared" si="75"/>
        <v>0</v>
      </c>
      <c r="P89" s="434">
        <f t="shared" si="76"/>
        <v>0</v>
      </c>
      <c r="Q89" s="435">
        <f t="shared" si="77"/>
        <v>7.5228158439055543E-3</v>
      </c>
      <c r="R89" s="435">
        <f t="shared" si="59"/>
        <v>7.5226863046698898E-3</v>
      </c>
      <c r="S89" s="434">
        <f t="shared" si="78"/>
        <v>0</v>
      </c>
      <c r="T89" s="434">
        <f t="shared" si="79"/>
        <v>0</v>
      </c>
      <c r="U89" s="435">
        <f t="shared" si="80"/>
        <v>7.5226863046698898E-3</v>
      </c>
      <c r="V89" s="435">
        <f t="shared" si="60"/>
        <v>7.5226863046698881E-3</v>
      </c>
      <c r="W89" s="434">
        <f t="shared" si="81"/>
        <v>0</v>
      </c>
      <c r="X89" s="434">
        <f t="shared" si="82"/>
        <v>0</v>
      </c>
      <c r="Y89" s="435">
        <f t="shared" si="83"/>
        <v>7.5226863046698881E-3</v>
      </c>
      <c r="Z89" s="435">
        <f t="shared" si="61"/>
        <v>7.5226863046698881E-3</v>
      </c>
      <c r="AA89" s="434">
        <f t="shared" si="84"/>
        <v>0</v>
      </c>
      <c r="AB89" s="434">
        <f t="shared" si="85"/>
        <v>0</v>
      </c>
      <c r="AC89" s="435">
        <f t="shared" si="86"/>
        <v>7.5226863046698881E-3</v>
      </c>
      <c r="AD89" s="435">
        <f t="shared" si="62"/>
        <v>7.5226863046698881E-3</v>
      </c>
      <c r="AE89" s="434">
        <f t="shared" si="87"/>
        <v>0</v>
      </c>
      <c r="AF89" s="434">
        <f t="shared" si="88"/>
        <v>0</v>
      </c>
      <c r="AG89" s="435">
        <f t="shared" si="89"/>
        <v>7.5226863046698881E-3</v>
      </c>
      <c r="AH89" s="435">
        <f t="shared" si="63"/>
        <v>7.5226863046698881E-3</v>
      </c>
      <c r="AI89" s="434">
        <f t="shared" si="90"/>
        <v>0</v>
      </c>
      <c r="AJ89" s="434">
        <f t="shared" si="91"/>
        <v>0</v>
      </c>
      <c r="AK89" s="435">
        <f t="shared" si="92"/>
        <v>7.5226863046698881E-3</v>
      </c>
      <c r="AL89" s="435">
        <f t="shared" si="64"/>
        <v>7.5226863046698881E-3</v>
      </c>
      <c r="AM89" s="434">
        <f t="shared" si="93"/>
        <v>0</v>
      </c>
      <c r="AN89" s="434">
        <f t="shared" si="94"/>
        <v>0</v>
      </c>
      <c r="AO89" s="435">
        <f t="shared" si="95"/>
        <v>7.5226863046698881E-3</v>
      </c>
      <c r="AP89" s="435">
        <f t="shared" si="65"/>
        <v>7.5226863046698881E-3</v>
      </c>
      <c r="AQ89" s="434">
        <f t="shared" si="96"/>
        <v>0</v>
      </c>
      <c r="AR89" s="434">
        <f t="shared" si="97"/>
        <v>0</v>
      </c>
      <c r="AS89" s="435">
        <f t="shared" si="98"/>
        <v>7.5226863046698881E-3</v>
      </c>
      <c r="AT89" s="435">
        <f t="shared" si="66"/>
        <v>7.5226863046698872E-3</v>
      </c>
      <c r="AU89" s="436">
        <f t="shared" si="67"/>
        <v>7.5226863046698889E-3</v>
      </c>
      <c r="AV89" s="151">
        <f t="shared" si="99"/>
        <v>60804.09804667881</v>
      </c>
      <c r="BA89" s="18">
        <f t="shared" si="100"/>
        <v>0</v>
      </c>
      <c r="BB89" s="18">
        <f t="shared" si="100"/>
        <v>1</v>
      </c>
      <c r="BD89" s="630">
        <f t="shared" si="101"/>
        <v>1</v>
      </c>
    </row>
    <row r="90" spans="2:56" x14ac:dyDescent="0.25">
      <c r="B90" s="73">
        <f t="shared" si="68"/>
        <v>70</v>
      </c>
      <c r="C90" s="424" t="str">
        <f>ייצוב!C90</f>
        <v>תמר בורר</v>
      </c>
      <c r="D90" s="139">
        <f>IF(ייצוב!K90="","",ייצוב!K90)</f>
        <v>8.7104385327045966E-3</v>
      </c>
      <c r="E90" s="139">
        <f>IF(ייצוב!G90="","",ייצוב!G90)</f>
        <v>1.0041799801838367E-2</v>
      </c>
      <c r="F90" s="634">
        <f>'סיכום לועדה- הזנת נתונים'!G90</f>
        <v>0</v>
      </c>
      <c r="G90" s="146">
        <f t="shared" si="69"/>
        <v>0</v>
      </c>
      <c r="H90" s="432">
        <f t="shared" si="70"/>
        <v>0</v>
      </c>
      <c r="I90" s="433">
        <f t="shared" si="71"/>
        <v>8.7104385327045966E-3</v>
      </c>
      <c r="J90" s="433">
        <f t="shared" si="57"/>
        <v>8.7102885431829553E-3</v>
      </c>
      <c r="K90" s="434">
        <f t="shared" si="72"/>
        <v>0</v>
      </c>
      <c r="L90" s="434">
        <f t="shared" si="73"/>
        <v>0</v>
      </c>
      <c r="M90" s="435">
        <f t="shared" si="74"/>
        <v>8.7104385327045966E-3</v>
      </c>
      <c r="N90" s="435">
        <f t="shared" si="58"/>
        <v>8.7102895145340035E-3</v>
      </c>
      <c r="O90" s="434">
        <f t="shared" si="75"/>
        <v>0</v>
      </c>
      <c r="P90" s="434">
        <f t="shared" si="76"/>
        <v>0</v>
      </c>
      <c r="Q90" s="435">
        <f t="shared" si="77"/>
        <v>8.7104385327045966E-3</v>
      </c>
      <c r="R90" s="435">
        <f t="shared" si="59"/>
        <v>8.7102885431829553E-3</v>
      </c>
      <c r="S90" s="434">
        <f t="shared" si="78"/>
        <v>0</v>
      </c>
      <c r="T90" s="434">
        <f t="shared" si="79"/>
        <v>0</v>
      </c>
      <c r="U90" s="435">
        <f t="shared" si="80"/>
        <v>8.7102885431829553E-3</v>
      </c>
      <c r="V90" s="435">
        <f t="shared" si="60"/>
        <v>8.7102885431829535E-3</v>
      </c>
      <c r="W90" s="434">
        <f t="shared" si="81"/>
        <v>0</v>
      </c>
      <c r="X90" s="434">
        <f t="shared" si="82"/>
        <v>0</v>
      </c>
      <c r="Y90" s="435">
        <f t="shared" si="83"/>
        <v>8.7102885431829535E-3</v>
      </c>
      <c r="Z90" s="435">
        <f t="shared" si="61"/>
        <v>8.7102885431829535E-3</v>
      </c>
      <c r="AA90" s="434">
        <f t="shared" si="84"/>
        <v>0</v>
      </c>
      <c r="AB90" s="434">
        <f t="shared" si="85"/>
        <v>0</v>
      </c>
      <c r="AC90" s="435">
        <f t="shared" si="86"/>
        <v>8.7102885431829535E-3</v>
      </c>
      <c r="AD90" s="435">
        <f t="shared" si="62"/>
        <v>8.7102885431829535E-3</v>
      </c>
      <c r="AE90" s="434">
        <f t="shared" si="87"/>
        <v>0</v>
      </c>
      <c r="AF90" s="434">
        <f t="shared" si="88"/>
        <v>0</v>
      </c>
      <c r="AG90" s="435">
        <f t="shared" si="89"/>
        <v>8.7102885431829535E-3</v>
      </c>
      <c r="AH90" s="435">
        <f t="shared" si="63"/>
        <v>8.7102885431829535E-3</v>
      </c>
      <c r="AI90" s="434">
        <f t="shared" si="90"/>
        <v>0</v>
      </c>
      <c r="AJ90" s="434">
        <f t="shared" si="91"/>
        <v>0</v>
      </c>
      <c r="AK90" s="435">
        <f t="shared" si="92"/>
        <v>8.7102885431829535E-3</v>
      </c>
      <c r="AL90" s="435">
        <f t="shared" si="64"/>
        <v>8.7102885431829535E-3</v>
      </c>
      <c r="AM90" s="434">
        <f t="shared" si="93"/>
        <v>0</v>
      </c>
      <c r="AN90" s="434">
        <f t="shared" si="94"/>
        <v>0</v>
      </c>
      <c r="AO90" s="435">
        <f t="shared" si="95"/>
        <v>8.7102885431829535E-3</v>
      </c>
      <c r="AP90" s="435">
        <f t="shared" si="65"/>
        <v>8.7102885431829535E-3</v>
      </c>
      <c r="AQ90" s="434">
        <f t="shared" si="96"/>
        <v>0</v>
      </c>
      <c r="AR90" s="434">
        <f t="shared" si="97"/>
        <v>0</v>
      </c>
      <c r="AS90" s="435">
        <f t="shared" si="98"/>
        <v>8.7102885431829535E-3</v>
      </c>
      <c r="AT90" s="435">
        <f t="shared" si="66"/>
        <v>8.7102885431829535E-3</v>
      </c>
      <c r="AU90" s="436">
        <f t="shared" si="67"/>
        <v>8.7102885431829553E-3</v>
      </c>
      <c r="AV90" s="151">
        <f t="shared" si="99"/>
        <v>70403.206666451631</v>
      </c>
      <c r="BA90" s="18">
        <f t="shared" si="100"/>
        <v>0</v>
      </c>
      <c r="BB90" s="18">
        <f t="shared" si="100"/>
        <v>1</v>
      </c>
      <c r="BD90" s="630">
        <f t="shared" si="101"/>
        <v>1</v>
      </c>
    </row>
    <row r="91" spans="2:56" ht="18.75" customHeight="1" x14ac:dyDescent="0.25">
      <c r="B91" s="73">
        <f t="shared" si="68"/>
        <v>71</v>
      </c>
      <c r="C91" s="424" t="str">
        <f>ייצוב!C91</f>
        <v>תמי ורונן יצחקי</v>
      </c>
      <c r="D91" s="139">
        <f>IF(ייצוב!K91="","",ייצוב!K91)</f>
        <v>1.1520456165278208E-2</v>
      </c>
      <c r="E91" s="139">
        <f>IF(ייצוב!G91="","",ייצוב!G91)</f>
        <v>1.2119249689200931E-2</v>
      </c>
      <c r="F91" s="634">
        <f>'סיכום לועדה- הזנת נתונים'!G91</f>
        <v>1</v>
      </c>
      <c r="G91" s="146">
        <f t="shared" si="69"/>
        <v>0</v>
      </c>
      <c r="H91" s="432">
        <f t="shared" si="70"/>
        <v>0</v>
      </c>
      <c r="I91" s="433">
        <f t="shared" si="71"/>
        <v>1.1520456165278208E-2</v>
      </c>
      <c r="J91" s="433">
        <f t="shared" si="57"/>
        <v>1.1520257788617511E-2</v>
      </c>
      <c r="K91" s="434">
        <f t="shared" si="72"/>
        <v>0</v>
      </c>
      <c r="L91" s="434">
        <f t="shared" si="73"/>
        <v>0</v>
      </c>
      <c r="M91" s="435">
        <f t="shared" si="74"/>
        <v>1.1520456165278208E-2</v>
      </c>
      <c r="N91" s="435">
        <f t="shared" si="58"/>
        <v>1.1520259073329771E-2</v>
      </c>
      <c r="O91" s="434">
        <f t="shared" si="75"/>
        <v>0</v>
      </c>
      <c r="P91" s="434">
        <f t="shared" si="76"/>
        <v>0</v>
      </c>
      <c r="Q91" s="435">
        <f t="shared" si="77"/>
        <v>1.1520456165278208E-2</v>
      </c>
      <c r="R91" s="435">
        <f t="shared" si="59"/>
        <v>1.1520257788617511E-2</v>
      </c>
      <c r="S91" s="434">
        <f t="shared" si="78"/>
        <v>0</v>
      </c>
      <c r="T91" s="434">
        <f t="shared" si="79"/>
        <v>0</v>
      </c>
      <c r="U91" s="435">
        <f t="shared" si="80"/>
        <v>1.1520257788617511E-2</v>
      </c>
      <c r="V91" s="435">
        <f t="shared" si="60"/>
        <v>1.1520257788617509E-2</v>
      </c>
      <c r="W91" s="434">
        <f t="shared" si="81"/>
        <v>0</v>
      </c>
      <c r="X91" s="434">
        <f t="shared" si="82"/>
        <v>0</v>
      </c>
      <c r="Y91" s="435">
        <f t="shared" si="83"/>
        <v>1.1520257788617509E-2</v>
      </c>
      <c r="Z91" s="435">
        <f t="shared" si="61"/>
        <v>1.1520257788617509E-2</v>
      </c>
      <c r="AA91" s="434">
        <f t="shared" si="84"/>
        <v>0</v>
      </c>
      <c r="AB91" s="434">
        <f t="shared" si="85"/>
        <v>0</v>
      </c>
      <c r="AC91" s="435">
        <f t="shared" si="86"/>
        <v>1.1520257788617509E-2</v>
      </c>
      <c r="AD91" s="435">
        <f t="shared" si="62"/>
        <v>1.1520257788617509E-2</v>
      </c>
      <c r="AE91" s="434">
        <f t="shared" si="87"/>
        <v>0</v>
      </c>
      <c r="AF91" s="434">
        <f t="shared" si="88"/>
        <v>0</v>
      </c>
      <c r="AG91" s="435">
        <f t="shared" si="89"/>
        <v>1.1520257788617509E-2</v>
      </c>
      <c r="AH91" s="435">
        <f t="shared" si="63"/>
        <v>1.1520257788617509E-2</v>
      </c>
      <c r="AI91" s="434">
        <f t="shared" si="90"/>
        <v>0</v>
      </c>
      <c r="AJ91" s="434">
        <f t="shared" si="91"/>
        <v>0</v>
      </c>
      <c r="AK91" s="435">
        <f t="shared" si="92"/>
        <v>1.1520257788617509E-2</v>
      </c>
      <c r="AL91" s="435">
        <f t="shared" si="64"/>
        <v>1.1520257788617509E-2</v>
      </c>
      <c r="AM91" s="434">
        <f t="shared" si="93"/>
        <v>0</v>
      </c>
      <c r="AN91" s="434">
        <f t="shared" si="94"/>
        <v>0</v>
      </c>
      <c r="AO91" s="435">
        <f t="shared" si="95"/>
        <v>1.1520257788617509E-2</v>
      </c>
      <c r="AP91" s="435">
        <f t="shared" si="65"/>
        <v>1.1520257788617509E-2</v>
      </c>
      <c r="AQ91" s="434">
        <f t="shared" si="96"/>
        <v>0</v>
      </c>
      <c r="AR91" s="434">
        <f t="shared" si="97"/>
        <v>0</v>
      </c>
      <c r="AS91" s="435">
        <f t="shared" si="98"/>
        <v>1.1520257788617509E-2</v>
      </c>
      <c r="AT91" s="435">
        <f t="shared" si="66"/>
        <v>1.1520257788617507E-2</v>
      </c>
      <c r="AU91" s="436">
        <f t="shared" si="67"/>
        <v>1.1520257788617509E-2</v>
      </c>
      <c r="AV91" s="151">
        <f t="shared" si="99"/>
        <v>93115.524924557205</v>
      </c>
      <c r="BA91" s="18">
        <f t="shared" si="100"/>
        <v>0</v>
      </c>
      <c r="BB91" s="18">
        <f t="shared" si="100"/>
        <v>1</v>
      </c>
      <c r="BD91" s="630">
        <f t="shared" si="101"/>
        <v>1</v>
      </c>
    </row>
    <row r="92" spans="2:56" x14ac:dyDescent="0.25">
      <c r="B92" s="73">
        <f t="shared" si="68"/>
        <v>72</v>
      </c>
      <c r="C92" s="424" t="str">
        <f>ייצוב!C92</f>
        <v>רננה רז</v>
      </c>
      <c r="D92" s="139">
        <f>IF(ייצוב!K92="","",ייצוב!K92)</f>
        <v>2.280811545153745E-2</v>
      </c>
      <c r="E92" s="139">
        <f>IF(ייצוב!G92="","",ייצוב!G92)</f>
        <v>2.4535372220991669E-2</v>
      </c>
      <c r="F92" s="634">
        <f>'סיכום לועדה- הזנת נתונים'!G92</f>
        <v>0</v>
      </c>
      <c r="G92" s="146">
        <f t="shared" si="69"/>
        <v>0</v>
      </c>
      <c r="H92" s="432">
        <f t="shared" si="70"/>
        <v>0</v>
      </c>
      <c r="I92" s="433">
        <f t="shared" si="71"/>
        <v>2.280811545153745E-2</v>
      </c>
      <c r="J92" s="433">
        <f t="shared" si="57"/>
        <v>2.2807722706865263E-2</v>
      </c>
      <c r="K92" s="434">
        <f t="shared" si="72"/>
        <v>0</v>
      </c>
      <c r="L92" s="434">
        <f t="shared" si="73"/>
        <v>0</v>
      </c>
      <c r="M92" s="435">
        <f t="shared" si="74"/>
        <v>2.280811545153745E-2</v>
      </c>
      <c r="N92" s="435">
        <f t="shared" si="58"/>
        <v>2.2807725250329265E-2</v>
      </c>
      <c r="O92" s="434">
        <f t="shared" si="75"/>
        <v>0</v>
      </c>
      <c r="P92" s="434">
        <f t="shared" si="76"/>
        <v>0</v>
      </c>
      <c r="Q92" s="435">
        <f t="shared" si="77"/>
        <v>2.280811545153745E-2</v>
      </c>
      <c r="R92" s="435">
        <f t="shared" si="59"/>
        <v>2.2807722706865263E-2</v>
      </c>
      <c r="S92" s="434">
        <f t="shared" si="78"/>
        <v>0</v>
      </c>
      <c r="T92" s="434">
        <f t="shared" si="79"/>
        <v>0</v>
      </c>
      <c r="U92" s="435">
        <f t="shared" si="80"/>
        <v>2.2807722706865263E-2</v>
      </c>
      <c r="V92" s="435">
        <f t="shared" si="60"/>
        <v>2.280772270686526E-2</v>
      </c>
      <c r="W92" s="434">
        <f t="shared" si="81"/>
        <v>0</v>
      </c>
      <c r="X92" s="434">
        <f t="shared" si="82"/>
        <v>0</v>
      </c>
      <c r="Y92" s="435">
        <f t="shared" si="83"/>
        <v>2.280772270686526E-2</v>
      </c>
      <c r="Z92" s="435">
        <f t="shared" si="61"/>
        <v>2.280772270686526E-2</v>
      </c>
      <c r="AA92" s="434">
        <f t="shared" si="84"/>
        <v>0</v>
      </c>
      <c r="AB92" s="434">
        <f t="shared" si="85"/>
        <v>0</v>
      </c>
      <c r="AC92" s="435">
        <f t="shared" si="86"/>
        <v>2.280772270686526E-2</v>
      </c>
      <c r="AD92" s="435">
        <f t="shared" si="62"/>
        <v>2.280772270686526E-2</v>
      </c>
      <c r="AE92" s="434">
        <f t="shared" si="87"/>
        <v>0</v>
      </c>
      <c r="AF92" s="434">
        <f t="shared" si="88"/>
        <v>0</v>
      </c>
      <c r="AG92" s="435">
        <f t="shared" si="89"/>
        <v>2.280772270686526E-2</v>
      </c>
      <c r="AH92" s="435">
        <f t="shared" si="63"/>
        <v>2.280772270686526E-2</v>
      </c>
      <c r="AI92" s="434">
        <f t="shared" si="90"/>
        <v>0</v>
      </c>
      <c r="AJ92" s="434">
        <f t="shared" si="91"/>
        <v>0</v>
      </c>
      <c r="AK92" s="435">
        <f t="shared" si="92"/>
        <v>2.280772270686526E-2</v>
      </c>
      <c r="AL92" s="435">
        <f t="shared" si="64"/>
        <v>2.280772270686526E-2</v>
      </c>
      <c r="AM92" s="434">
        <f t="shared" si="93"/>
        <v>0</v>
      </c>
      <c r="AN92" s="434">
        <f t="shared" si="94"/>
        <v>0</v>
      </c>
      <c r="AO92" s="435">
        <f t="shared" si="95"/>
        <v>2.280772270686526E-2</v>
      </c>
      <c r="AP92" s="435">
        <f t="shared" si="65"/>
        <v>2.280772270686526E-2</v>
      </c>
      <c r="AQ92" s="434">
        <f t="shared" si="96"/>
        <v>0</v>
      </c>
      <c r="AR92" s="434">
        <f t="shared" si="97"/>
        <v>0</v>
      </c>
      <c r="AS92" s="435">
        <f t="shared" si="98"/>
        <v>2.280772270686526E-2</v>
      </c>
      <c r="AT92" s="435">
        <f t="shared" si="66"/>
        <v>2.2807722706865256E-2</v>
      </c>
      <c r="AU92" s="436">
        <f t="shared" si="67"/>
        <v>2.280772270686526E-2</v>
      </c>
      <c r="AV92" s="151">
        <f t="shared" si="99"/>
        <v>184349.44001703308</v>
      </c>
      <c r="BA92" s="18">
        <f t="shared" si="100"/>
        <v>0</v>
      </c>
      <c r="BB92" s="18">
        <f t="shared" si="100"/>
        <v>1</v>
      </c>
      <c r="BD92" s="630">
        <f t="shared" si="101"/>
        <v>1</v>
      </c>
    </row>
    <row r="93" spans="2:56" x14ac:dyDescent="0.25">
      <c r="B93" s="73">
        <f t="shared" si="68"/>
        <v>73</v>
      </c>
      <c r="C93" s="424" t="str">
        <f>ייצוב!C93</f>
        <v>רתם תשח</v>
      </c>
      <c r="D93" s="139">
        <f>IF(ייצוב!K93="","",ייצוב!K93)</f>
        <v>4.7061167599843634E-3</v>
      </c>
      <c r="E93" s="139">
        <f>IF(ייצוב!G93="","",ייצוב!G93)</f>
        <v>4.9953574842712834E-3</v>
      </c>
      <c r="F93" s="634">
        <f>'סיכום לועדה- הזנת נתונים'!G93</f>
        <v>0</v>
      </c>
      <c r="G93" s="146">
        <f t="shared" si="69"/>
        <v>0</v>
      </c>
      <c r="H93" s="432">
        <f t="shared" si="70"/>
        <v>0</v>
      </c>
      <c r="I93" s="433">
        <f t="shared" si="71"/>
        <v>4.7061167599843634E-3</v>
      </c>
      <c r="J93" s="433">
        <f t="shared" si="57"/>
        <v>4.7060357229391026E-3</v>
      </c>
      <c r="K93" s="434">
        <f t="shared" si="72"/>
        <v>0</v>
      </c>
      <c r="L93" s="434">
        <f t="shared" si="73"/>
        <v>0</v>
      </c>
      <c r="M93" s="435">
        <f t="shared" si="74"/>
        <v>4.7061167599843634E-3</v>
      </c>
      <c r="N93" s="435">
        <f t="shared" si="58"/>
        <v>4.7060362477452222E-3</v>
      </c>
      <c r="O93" s="434">
        <f t="shared" si="75"/>
        <v>0</v>
      </c>
      <c r="P93" s="434">
        <f t="shared" si="76"/>
        <v>0</v>
      </c>
      <c r="Q93" s="435">
        <f t="shared" si="77"/>
        <v>4.7061167599843634E-3</v>
      </c>
      <c r="R93" s="435">
        <f t="shared" si="59"/>
        <v>4.7060357229391026E-3</v>
      </c>
      <c r="S93" s="434">
        <f t="shared" si="78"/>
        <v>0</v>
      </c>
      <c r="T93" s="434">
        <f t="shared" si="79"/>
        <v>0</v>
      </c>
      <c r="U93" s="435">
        <f t="shared" si="80"/>
        <v>4.7060357229391026E-3</v>
      </c>
      <c r="V93" s="435">
        <f t="shared" si="60"/>
        <v>4.7060357229391017E-3</v>
      </c>
      <c r="W93" s="434">
        <f t="shared" si="81"/>
        <v>0</v>
      </c>
      <c r="X93" s="434">
        <f t="shared" si="82"/>
        <v>0</v>
      </c>
      <c r="Y93" s="435">
        <f t="shared" si="83"/>
        <v>4.7060357229391017E-3</v>
      </c>
      <c r="Z93" s="435">
        <f t="shared" si="61"/>
        <v>4.7060357229391017E-3</v>
      </c>
      <c r="AA93" s="434">
        <f t="shared" si="84"/>
        <v>0</v>
      </c>
      <c r="AB93" s="434">
        <f t="shared" si="85"/>
        <v>0</v>
      </c>
      <c r="AC93" s="435">
        <f t="shared" si="86"/>
        <v>4.7060357229391017E-3</v>
      </c>
      <c r="AD93" s="435">
        <f t="shared" si="62"/>
        <v>4.7060357229391017E-3</v>
      </c>
      <c r="AE93" s="434">
        <f t="shared" si="87"/>
        <v>0</v>
      </c>
      <c r="AF93" s="434">
        <f t="shared" si="88"/>
        <v>0</v>
      </c>
      <c r="AG93" s="435">
        <f t="shared" si="89"/>
        <v>4.7060357229391017E-3</v>
      </c>
      <c r="AH93" s="435">
        <f t="shared" si="63"/>
        <v>4.7060357229391017E-3</v>
      </c>
      <c r="AI93" s="434">
        <f t="shared" si="90"/>
        <v>0</v>
      </c>
      <c r="AJ93" s="434">
        <f t="shared" si="91"/>
        <v>0</v>
      </c>
      <c r="AK93" s="435">
        <f t="shared" si="92"/>
        <v>4.7060357229391017E-3</v>
      </c>
      <c r="AL93" s="435">
        <f t="shared" si="64"/>
        <v>4.7060357229391017E-3</v>
      </c>
      <c r="AM93" s="434">
        <f t="shared" si="93"/>
        <v>0</v>
      </c>
      <c r="AN93" s="434">
        <f t="shared" si="94"/>
        <v>0</v>
      </c>
      <c r="AO93" s="435">
        <f t="shared" si="95"/>
        <v>4.7060357229391017E-3</v>
      </c>
      <c r="AP93" s="435">
        <f t="shared" si="65"/>
        <v>4.7060357229391017E-3</v>
      </c>
      <c r="AQ93" s="434">
        <f t="shared" si="96"/>
        <v>0</v>
      </c>
      <c r="AR93" s="434">
        <f t="shared" si="97"/>
        <v>0</v>
      </c>
      <c r="AS93" s="435">
        <f t="shared" si="98"/>
        <v>4.7060357229391017E-3</v>
      </c>
      <c r="AT93" s="435">
        <f t="shared" si="66"/>
        <v>4.7060357229391017E-3</v>
      </c>
      <c r="AU93" s="436">
        <f t="shared" si="67"/>
        <v>4.7060357229391026E-3</v>
      </c>
      <c r="AV93" s="151">
        <f t="shared" si="99"/>
        <v>38037.776124086151</v>
      </c>
      <c r="BA93" s="18">
        <f t="shared" si="100"/>
        <v>0</v>
      </c>
      <c r="BB93" s="18">
        <f t="shared" si="100"/>
        <v>1</v>
      </c>
      <c r="BD93" s="630">
        <f t="shared" si="101"/>
        <v>1</v>
      </c>
    </row>
    <row r="94" spans="2:56" x14ac:dyDescent="0.25">
      <c r="B94" s="73" t="str">
        <f t="shared" si="68"/>
        <v/>
      </c>
      <c r="C94" s="424" t="str">
        <f>ייצוב!C94</f>
        <v/>
      </c>
      <c r="D94" s="139" t="str">
        <f>IF(ייצוב!K94="","",ייצוב!K94)</f>
        <v/>
      </c>
      <c r="E94" s="139" t="str">
        <f>IF(ייצוב!G94="","",ייצוב!G94)</f>
        <v/>
      </c>
      <c r="F94" s="634" t="str">
        <f>'סיכום לועדה- הזנת נתונים'!G94</f>
        <v/>
      </c>
      <c r="G94" s="146" t="str">
        <f t="shared" si="69"/>
        <v/>
      </c>
      <c r="H94" s="432" t="str">
        <f t="shared" si="70"/>
        <v/>
      </c>
      <c r="I94" s="433" t="str">
        <f t="shared" si="71"/>
        <v/>
      </c>
      <c r="J94" s="433" t="str">
        <f t="shared" si="57"/>
        <v/>
      </c>
      <c r="K94" s="434" t="str">
        <f t="shared" si="72"/>
        <v/>
      </c>
      <c r="L94" s="434" t="str">
        <f t="shared" si="73"/>
        <v/>
      </c>
      <c r="M94" s="435" t="str">
        <f t="shared" si="74"/>
        <v/>
      </c>
      <c r="N94" s="435" t="str">
        <f t="shared" si="58"/>
        <v/>
      </c>
      <c r="O94" s="434" t="str">
        <f t="shared" si="75"/>
        <v/>
      </c>
      <c r="P94" s="434" t="str">
        <f t="shared" si="76"/>
        <v/>
      </c>
      <c r="Q94" s="435" t="str">
        <f t="shared" si="77"/>
        <v/>
      </c>
      <c r="R94" s="435" t="str">
        <f t="shared" si="59"/>
        <v/>
      </c>
      <c r="S94" s="434" t="str">
        <f t="shared" si="78"/>
        <v/>
      </c>
      <c r="T94" s="434" t="str">
        <f t="shared" si="79"/>
        <v/>
      </c>
      <c r="U94" s="435" t="str">
        <f t="shared" si="80"/>
        <v/>
      </c>
      <c r="V94" s="435" t="str">
        <f t="shared" si="60"/>
        <v/>
      </c>
      <c r="W94" s="434" t="str">
        <f t="shared" si="81"/>
        <v/>
      </c>
      <c r="X94" s="434" t="str">
        <f t="shared" si="82"/>
        <v/>
      </c>
      <c r="Y94" s="435" t="str">
        <f t="shared" si="83"/>
        <v/>
      </c>
      <c r="Z94" s="435" t="str">
        <f t="shared" si="61"/>
        <v/>
      </c>
      <c r="AA94" s="434" t="str">
        <f t="shared" si="84"/>
        <v/>
      </c>
      <c r="AB94" s="434" t="str">
        <f t="shared" si="85"/>
        <v/>
      </c>
      <c r="AC94" s="435" t="str">
        <f t="shared" si="86"/>
        <v/>
      </c>
      <c r="AD94" s="435" t="str">
        <f t="shared" si="62"/>
        <v/>
      </c>
      <c r="AE94" s="434" t="str">
        <f t="shared" si="87"/>
        <v/>
      </c>
      <c r="AF94" s="434" t="str">
        <f t="shared" si="88"/>
        <v/>
      </c>
      <c r="AG94" s="435" t="str">
        <f t="shared" si="89"/>
        <v/>
      </c>
      <c r="AH94" s="435" t="str">
        <f t="shared" si="63"/>
        <v/>
      </c>
      <c r="AI94" s="434" t="str">
        <f t="shared" si="90"/>
        <v/>
      </c>
      <c r="AJ94" s="434" t="str">
        <f t="shared" si="91"/>
        <v/>
      </c>
      <c r="AK94" s="435" t="str">
        <f t="shared" si="92"/>
        <v/>
      </c>
      <c r="AL94" s="435" t="str">
        <f t="shared" si="64"/>
        <v/>
      </c>
      <c r="AM94" s="434" t="str">
        <f t="shared" si="93"/>
        <v/>
      </c>
      <c r="AN94" s="434" t="str">
        <f t="shared" si="94"/>
        <v/>
      </c>
      <c r="AO94" s="435" t="str">
        <f t="shared" si="95"/>
        <v/>
      </c>
      <c r="AP94" s="435" t="str">
        <f t="shared" si="65"/>
        <v/>
      </c>
      <c r="AQ94" s="434" t="str">
        <f t="shared" si="96"/>
        <v/>
      </c>
      <c r="AR94" s="434" t="str">
        <f t="shared" si="97"/>
        <v/>
      </c>
      <c r="AS94" s="435" t="str">
        <f t="shared" si="98"/>
        <v/>
      </c>
      <c r="AT94" s="435" t="str">
        <f t="shared" si="66"/>
        <v/>
      </c>
      <c r="AU94" s="436" t="str">
        <f t="shared" si="67"/>
        <v/>
      </c>
      <c r="AV94" s="151" t="str">
        <f t="shared" si="99"/>
        <v/>
      </c>
      <c r="BA94" s="18" t="str">
        <f t="shared" si="100"/>
        <v/>
      </c>
      <c r="BB94" s="18" t="str">
        <f t="shared" si="100"/>
        <v/>
      </c>
      <c r="BD94" s="630">
        <f t="shared" si="101"/>
        <v>0</v>
      </c>
    </row>
    <row r="95" spans="2:56" x14ac:dyDescent="0.25">
      <c r="B95" s="73" t="str">
        <f t="shared" si="68"/>
        <v/>
      </c>
      <c r="C95" s="424" t="str">
        <f>ייצוב!C95</f>
        <v/>
      </c>
      <c r="D95" s="139" t="str">
        <f>IF(ייצוב!K95="","",ייצוב!K95)</f>
        <v/>
      </c>
      <c r="E95" s="139" t="str">
        <f>IF(ייצוב!G95="","",ייצוב!G95)</f>
        <v/>
      </c>
      <c r="F95" s="634" t="str">
        <f>'סיכום לועדה- הזנת נתונים'!G95</f>
        <v/>
      </c>
      <c r="G95" s="146" t="str">
        <f t="shared" si="69"/>
        <v/>
      </c>
      <c r="H95" s="432" t="str">
        <f t="shared" si="70"/>
        <v/>
      </c>
      <c r="I95" s="433" t="str">
        <f t="shared" si="71"/>
        <v/>
      </c>
      <c r="J95" s="433" t="str">
        <f t="shared" si="57"/>
        <v/>
      </c>
      <c r="K95" s="434" t="str">
        <f t="shared" si="72"/>
        <v/>
      </c>
      <c r="L95" s="434" t="str">
        <f t="shared" si="73"/>
        <v/>
      </c>
      <c r="M95" s="435" t="str">
        <f t="shared" si="74"/>
        <v/>
      </c>
      <c r="N95" s="435" t="str">
        <f t="shared" si="58"/>
        <v/>
      </c>
      <c r="O95" s="434" t="str">
        <f t="shared" si="75"/>
        <v/>
      </c>
      <c r="P95" s="434" t="str">
        <f t="shared" si="76"/>
        <v/>
      </c>
      <c r="Q95" s="435" t="str">
        <f t="shared" si="77"/>
        <v/>
      </c>
      <c r="R95" s="435" t="str">
        <f t="shared" si="59"/>
        <v/>
      </c>
      <c r="S95" s="434" t="str">
        <f t="shared" si="78"/>
        <v/>
      </c>
      <c r="T95" s="434" t="str">
        <f t="shared" si="79"/>
        <v/>
      </c>
      <c r="U95" s="435" t="str">
        <f t="shared" si="80"/>
        <v/>
      </c>
      <c r="V95" s="435" t="str">
        <f t="shared" si="60"/>
        <v/>
      </c>
      <c r="W95" s="434" t="str">
        <f t="shared" si="81"/>
        <v/>
      </c>
      <c r="X95" s="434" t="str">
        <f t="shared" si="82"/>
        <v/>
      </c>
      <c r="Y95" s="435" t="str">
        <f t="shared" si="83"/>
        <v/>
      </c>
      <c r="Z95" s="435" t="str">
        <f t="shared" si="61"/>
        <v/>
      </c>
      <c r="AA95" s="434" t="str">
        <f t="shared" si="84"/>
        <v/>
      </c>
      <c r="AB95" s="434" t="str">
        <f t="shared" si="85"/>
        <v/>
      </c>
      <c r="AC95" s="435" t="str">
        <f t="shared" si="86"/>
        <v/>
      </c>
      <c r="AD95" s="435" t="str">
        <f t="shared" si="62"/>
        <v/>
      </c>
      <c r="AE95" s="434" t="str">
        <f t="shared" si="87"/>
        <v/>
      </c>
      <c r="AF95" s="434" t="str">
        <f t="shared" si="88"/>
        <v/>
      </c>
      <c r="AG95" s="435" t="str">
        <f t="shared" si="89"/>
        <v/>
      </c>
      <c r="AH95" s="435" t="str">
        <f t="shared" si="63"/>
        <v/>
      </c>
      <c r="AI95" s="434" t="str">
        <f t="shared" si="90"/>
        <v/>
      </c>
      <c r="AJ95" s="434" t="str">
        <f t="shared" si="91"/>
        <v/>
      </c>
      <c r="AK95" s="435" t="str">
        <f t="shared" si="92"/>
        <v/>
      </c>
      <c r="AL95" s="435" t="str">
        <f t="shared" si="64"/>
        <v/>
      </c>
      <c r="AM95" s="434" t="str">
        <f t="shared" si="93"/>
        <v/>
      </c>
      <c r="AN95" s="434" t="str">
        <f t="shared" si="94"/>
        <v/>
      </c>
      <c r="AO95" s="435" t="str">
        <f t="shared" si="95"/>
        <v/>
      </c>
      <c r="AP95" s="435" t="str">
        <f t="shared" si="65"/>
        <v/>
      </c>
      <c r="AQ95" s="434" t="str">
        <f t="shared" si="96"/>
        <v/>
      </c>
      <c r="AR95" s="434" t="str">
        <f t="shared" si="97"/>
        <v/>
      </c>
      <c r="AS95" s="435" t="str">
        <f t="shared" si="98"/>
        <v/>
      </c>
      <c r="AT95" s="435" t="str">
        <f t="shared" si="66"/>
        <v/>
      </c>
      <c r="AU95" s="436" t="str">
        <f t="shared" si="67"/>
        <v/>
      </c>
      <c r="AV95" s="151" t="str">
        <f t="shared" si="99"/>
        <v/>
      </c>
      <c r="BA95" s="18" t="str">
        <f t="shared" si="100"/>
        <v/>
      </c>
      <c r="BB95" s="18" t="str">
        <f t="shared" si="100"/>
        <v/>
      </c>
      <c r="BD95" s="630">
        <f t="shared" si="101"/>
        <v>0</v>
      </c>
    </row>
    <row r="96" spans="2:56" x14ac:dyDescent="0.25">
      <c r="B96" s="73">
        <f t="shared" si="68"/>
        <v>76</v>
      </c>
      <c r="C96" s="424" t="str">
        <f>ייצוב!C96</f>
        <v>שרון שגיא - פלמנקו</v>
      </c>
      <c r="D96" s="139">
        <f>IF(ייצוב!K96="","",ייצוב!K96)</f>
        <v>3.0491550199611986E-2</v>
      </c>
      <c r="E96" s="139">
        <f>IF(ייצוב!G96="","",ייצוב!G96)</f>
        <v>2.7680983532203378E-2</v>
      </c>
      <c r="F96" s="634">
        <f>'סיכום לועדה- הזנת נתונים'!G96</f>
        <v>1</v>
      </c>
      <c r="G96" s="146">
        <f t="shared" si="69"/>
        <v>0</v>
      </c>
      <c r="H96" s="432">
        <f t="shared" si="70"/>
        <v>0</v>
      </c>
      <c r="I96" s="433">
        <f t="shared" si="71"/>
        <v>3.0491550199611986E-2</v>
      </c>
      <c r="J96" s="433">
        <f t="shared" si="57"/>
        <v>3.0491025149924602E-2</v>
      </c>
      <c r="K96" s="434">
        <f t="shared" si="72"/>
        <v>0</v>
      </c>
      <c r="L96" s="434">
        <f t="shared" si="73"/>
        <v>0</v>
      </c>
      <c r="M96" s="435">
        <f t="shared" si="74"/>
        <v>3.0491550199611986E-2</v>
      </c>
      <c r="N96" s="435">
        <f t="shared" si="58"/>
        <v>3.0491028550212563E-2</v>
      </c>
      <c r="O96" s="434">
        <f t="shared" si="75"/>
        <v>0</v>
      </c>
      <c r="P96" s="434">
        <f t="shared" si="76"/>
        <v>0</v>
      </c>
      <c r="Q96" s="435">
        <f t="shared" si="77"/>
        <v>3.0491550199611986E-2</v>
      </c>
      <c r="R96" s="435">
        <f t="shared" si="59"/>
        <v>3.0491025149924602E-2</v>
      </c>
      <c r="S96" s="434">
        <f t="shared" si="78"/>
        <v>0</v>
      </c>
      <c r="T96" s="434">
        <f t="shared" si="79"/>
        <v>0</v>
      </c>
      <c r="U96" s="435">
        <f t="shared" si="80"/>
        <v>3.0491025149924602E-2</v>
      </c>
      <c r="V96" s="435">
        <f t="shared" si="60"/>
        <v>3.0491025149924595E-2</v>
      </c>
      <c r="W96" s="434">
        <f t="shared" si="81"/>
        <v>0</v>
      </c>
      <c r="X96" s="434">
        <f t="shared" si="82"/>
        <v>0</v>
      </c>
      <c r="Y96" s="435">
        <f t="shared" si="83"/>
        <v>3.0491025149924595E-2</v>
      </c>
      <c r="Z96" s="435">
        <f t="shared" si="61"/>
        <v>3.0491025149924595E-2</v>
      </c>
      <c r="AA96" s="434">
        <f t="shared" si="84"/>
        <v>0</v>
      </c>
      <c r="AB96" s="434">
        <f t="shared" si="85"/>
        <v>0</v>
      </c>
      <c r="AC96" s="435">
        <f t="shared" si="86"/>
        <v>3.0491025149924595E-2</v>
      </c>
      <c r="AD96" s="435">
        <f t="shared" si="62"/>
        <v>3.0491025149924595E-2</v>
      </c>
      <c r="AE96" s="434">
        <f t="shared" si="87"/>
        <v>0</v>
      </c>
      <c r="AF96" s="434">
        <f t="shared" si="88"/>
        <v>0</v>
      </c>
      <c r="AG96" s="435">
        <f t="shared" si="89"/>
        <v>3.0491025149924595E-2</v>
      </c>
      <c r="AH96" s="435">
        <f t="shared" si="63"/>
        <v>3.0491025149924595E-2</v>
      </c>
      <c r="AI96" s="434">
        <f t="shared" si="90"/>
        <v>0</v>
      </c>
      <c r="AJ96" s="434">
        <f t="shared" si="91"/>
        <v>0</v>
      </c>
      <c r="AK96" s="435">
        <f t="shared" si="92"/>
        <v>3.0491025149924595E-2</v>
      </c>
      <c r="AL96" s="435">
        <f t="shared" si="64"/>
        <v>3.0491025149924595E-2</v>
      </c>
      <c r="AM96" s="434">
        <f t="shared" si="93"/>
        <v>0</v>
      </c>
      <c r="AN96" s="434">
        <f t="shared" si="94"/>
        <v>0</v>
      </c>
      <c r="AO96" s="435">
        <f t="shared" si="95"/>
        <v>3.0491025149924595E-2</v>
      </c>
      <c r="AP96" s="435">
        <f t="shared" si="65"/>
        <v>3.0491025149924595E-2</v>
      </c>
      <c r="AQ96" s="434">
        <f t="shared" si="96"/>
        <v>0</v>
      </c>
      <c r="AR96" s="434">
        <f t="shared" si="97"/>
        <v>0</v>
      </c>
      <c r="AS96" s="435">
        <f t="shared" si="98"/>
        <v>3.0491025149924595E-2</v>
      </c>
      <c r="AT96" s="435">
        <f t="shared" si="66"/>
        <v>3.0491025149924592E-2</v>
      </c>
      <c r="AU96" s="436">
        <f t="shared" si="67"/>
        <v>3.0491025149924599E-2</v>
      </c>
      <c r="AV96" s="151">
        <f t="shared" si="99"/>
        <v>246451.76040490516</v>
      </c>
      <c r="BA96" s="18">
        <f t="shared" si="100"/>
        <v>0</v>
      </c>
      <c r="BB96" s="18">
        <f t="shared" si="100"/>
        <v>1</v>
      </c>
      <c r="BD96" s="630">
        <f t="shared" si="101"/>
        <v>1</v>
      </c>
    </row>
    <row r="97" spans="2:56" x14ac:dyDescent="0.25">
      <c r="B97" s="73" t="str">
        <f t="shared" si="68"/>
        <v/>
      </c>
      <c r="C97" s="424" t="str">
        <f>ייצוב!C97</f>
        <v/>
      </c>
      <c r="D97" s="139" t="str">
        <f>IF(ייצוב!K97="","",ייצוב!K97)</f>
        <v/>
      </c>
      <c r="E97" s="139" t="str">
        <f>IF(ייצוב!G97="","",ייצוב!G97)</f>
        <v/>
      </c>
      <c r="F97" s="634" t="str">
        <f>'סיכום לועדה- הזנת נתונים'!G97</f>
        <v/>
      </c>
      <c r="G97" s="146" t="str">
        <f t="shared" si="69"/>
        <v/>
      </c>
      <c r="H97" s="432" t="str">
        <f t="shared" si="70"/>
        <v/>
      </c>
      <c r="I97" s="433" t="str">
        <f t="shared" si="71"/>
        <v/>
      </c>
      <c r="J97" s="433" t="str">
        <f t="shared" si="57"/>
        <v/>
      </c>
      <c r="K97" s="434" t="str">
        <f t="shared" si="72"/>
        <v/>
      </c>
      <c r="L97" s="434" t="str">
        <f t="shared" si="73"/>
        <v/>
      </c>
      <c r="M97" s="435" t="str">
        <f t="shared" si="74"/>
        <v/>
      </c>
      <c r="N97" s="435" t="str">
        <f t="shared" si="58"/>
        <v/>
      </c>
      <c r="O97" s="434" t="str">
        <f t="shared" si="75"/>
        <v/>
      </c>
      <c r="P97" s="434" t="str">
        <f t="shared" si="76"/>
        <v/>
      </c>
      <c r="Q97" s="435" t="str">
        <f t="shared" si="77"/>
        <v/>
      </c>
      <c r="R97" s="435" t="str">
        <f t="shared" si="59"/>
        <v/>
      </c>
      <c r="S97" s="434" t="str">
        <f t="shared" si="78"/>
        <v/>
      </c>
      <c r="T97" s="434" t="str">
        <f t="shared" si="79"/>
        <v/>
      </c>
      <c r="U97" s="435" t="str">
        <f t="shared" si="80"/>
        <v/>
      </c>
      <c r="V97" s="435" t="str">
        <f t="shared" si="60"/>
        <v/>
      </c>
      <c r="W97" s="434" t="str">
        <f t="shared" si="81"/>
        <v/>
      </c>
      <c r="X97" s="434" t="str">
        <f t="shared" si="82"/>
        <v/>
      </c>
      <c r="Y97" s="435" t="str">
        <f t="shared" si="83"/>
        <v/>
      </c>
      <c r="Z97" s="435" t="str">
        <f t="shared" si="61"/>
        <v/>
      </c>
      <c r="AA97" s="434" t="str">
        <f t="shared" si="84"/>
        <v/>
      </c>
      <c r="AB97" s="434" t="str">
        <f t="shared" si="85"/>
        <v/>
      </c>
      <c r="AC97" s="435" t="str">
        <f t="shared" si="86"/>
        <v/>
      </c>
      <c r="AD97" s="435" t="str">
        <f t="shared" si="62"/>
        <v/>
      </c>
      <c r="AE97" s="434" t="str">
        <f t="shared" si="87"/>
        <v/>
      </c>
      <c r="AF97" s="434" t="str">
        <f t="shared" si="88"/>
        <v/>
      </c>
      <c r="AG97" s="435" t="str">
        <f t="shared" si="89"/>
        <v/>
      </c>
      <c r="AH97" s="435" t="str">
        <f t="shared" si="63"/>
        <v/>
      </c>
      <c r="AI97" s="434" t="str">
        <f t="shared" si="90"/>
        <v/>
      </c>
      <c r="AJ97" s="434" t="str">
        <f t="shared" si="91"/>
        <v/>
      </c>
      <c r="AK97" s="435" t="str">
        <f t="shared" si="92"/>
        <v/>
      </c>
      <c r="AL97" s="435" t="str">
        <f t="shared" si="64"/>
        <v/>
      </c>
      <c r="AM97" s="434" t="str">
        <f t="shared" si="93"/>
        <v/>
      </c>
      <c r="AN97" s="434" t="str">
        <f t="shared" si="94"/>
        <v/>
      </c>
      <c r="AO97" s="435" t="str">
        <f t="shared" si="95"/>
        <v/>
      </c>
      <c r="AP97" s="435" t="str">
        <f t="shared" si="65"/>
        <v/>
      </c>
      <c r="AQ97" s="434" t="str">
        <f t="shared" si="96"/>
        <v/>
      </c>
      <c r="AR97" s="434" t="str">
        <f t="shared" si="97"/>
        <v/>
      </c>
      <c r="AS97" s="435" t="str">
        <f t="shared" si="98"/>
        <v/>
      </c>
      <c r="AT97" s="435" t="str">
        <f t="shared" si="66"/>
        <v/>
      </c>
      <c r="AU97" s="436" t="str">
        <f t="shared" si="67"/>
        <v/>
      </c>
      <c r="AV97" s="151" t="str">
        <f t="shared" si="99"/>
        <v/>
      </c>
      <c r="BA97" s="18" t="str">
        <f t="shared" si="100"/>
        <v/>
      </c>
      <c r="BB97" s="18" t="str">
        <f t="shared" si="100"/>
        <v/>
      </c>
      <c r="BD97" s="630">
        <f t="shared" si="101"/>
        <v>0</v>
      </c>
    </row>
    <row r="98" spans="2:56" x14ac:dyDescent="0.25">
      <c r="B98" s="73">
        <f t="shared" si="68"/>
        <v>78</v>
      </c>
      <c r="C98" s="424" t="str">
        <f>ייצוב!C98</f>
        <v>אוליביה קורט מסה</v>
      </c>
      <c r="D98" s="139">
        <f>IF(ייצוב!K98="","",ייצוב!K98)</f>
        <v>1.2195718405165297E-2</v>
      </c>
      <c r="E98" s="139">
        <f>IF(ייצוב!G98="","",ייצוב!G98)</f>
        <v>0</v>
      </c>
      <c r="F98" s="634">
        <f>'סיכום לועדה- הזנת נתונים'!G98</f>
        <v>1</v>
      </c>
      <c r="G98" s="146">
        <f t="shared" si="69"/>
        <v>0</v>
      </c>
      <c r="H98" s="432">
        <f t="shared" si="70"/>
        <v>0</v>
      </c>
      <c r="I98" s="433">
        <f t="shared" si="71"/>
        <v>1.2195718405165297E-2</v>
      </c>
      <c r="J98" s="433">
        <f t="shared" si="57"/>
        <v>1.2195508400816743E-2</v>
      </c>
      <c r="K98" s="434">
        <f t="shared" si="72"/>
        <v>0</v>
      </c>
      <c r="L98" s="434">
        <f t="shared" si="73"/>
        <v>0</v>
      </c>
      <c r="M98" s="435">
        <f t="shared" si="74"/>
        <v>1.2195718405165297E-2</v>
      </c>
      <c r="N98" s="435">
        <f t="shared" si="58"/>
        <v>1.2195509760831376E-2</v>
      </c>
      <c r="O98" s="434">
        <f t="shared" si="75"/>
        <v>0</v>
      </c>
      <c r="P98" s="434">
        <f t="shared" si="76"/>
        <v>0</v>
      </c>
      <c r="Q98" s="435">
        <f t="shared" si="77"/>
        <v>1.2195718405165297E-2</v>
      </c>
      <c r="R98" s="435">
        <f t="shared" si="59"/>
        <v>1.2195508400816743E-2</v>
      </c>
      <c r="S98" s="434">
        <f t="shared" si="78"/>
        <v>0</v>
      </c>
      <c r="T98" s="434">
        <f t="shared" si="79"/>
        <v>0</v>
      </c>
      <c r="U98" s="435">
        <f t="shared" si="80"/>
        <v>1.2195508400816743E-2</v>
      </c>
      <c r="V98" s="435">
        <f t="shared" si="60"/>
        <v>1.219550840081674E-2</v>
      </c>
      <c r="W98" s="434">
        <f t="shared" si="81"/>
        <v>0</v>
      </c>
      <c r="X98" s="434">
        <f t="shared" si="82"/>
        <v>0</v>
      </c>
      <c r="Y98" s="435">
        <f t="shared" si="83"/>
        <v>1.219550840081674E-2</v>
      </c>
      <c r="Z98" s="435">
        <f t="shared" si="61"/>
        <v>1.219550840081674E-2</v>
      </c>
      <c r="AA98" s="434">
        <f t="shared" si="84"/>
        <v>0</v>
      </c>
      <c r="AB98" s="434">
        <f t="shared" si="85"/>
        <v>0</v>
      </c>
      <c r="AC98" s="435">
        <f t="shared" si="86"/>
        <v>1.219550840081674E-2</v>
      </c>
      <c r="AD98" s="435">
        <f t="shared" si="62"/>
        <v>1.219550840081674E-2</v>
      </c>
      <c r="AE98" s="434">
        <f t="shared" si="87"/>
        <v>0</v>
      </c>
      <c r="AF98" s="434">
        <f t="shared" si="88"/>
        <v>0</v>
      </c>
      <c r="AG98" s="435">
        <f t="shared" si="89"/>
        <v>1.219550840081674E-2</v>
      </c>
      <c r="AH98" s="435">
        <f t="shared" si="63"/>
        <v>1.219550840081674E-2</v>
      </c>
      <c r="AI98" s="434">
        <f t="shared" si="90"/>
        <v>0</v>
      </c>
      <c r="AJ98" s="434">
        <f t="shared" si="91"/>
        <v>0</v>
      </c>
      <c r="AK98" s="435">
        <f t="shared" si="92"/>
        <v>1.219550840081674E-2</v>
      </c>
      <c r="AL98" s="435">
        <f t="shared" si="64"/>
        <v>1.219550840081674E-2</v>
      </c>
      <c r="AM98" s="434">
        <f t="shared" si="93"/>
        <v>0</v>
      </c>
      <c r="AN98" s="434">
        <f t="shared" si="94"/>
        <v>0</v>
      </c>
      <c r="AO98" s="435">
        <f t="shared" si="95"/>
        <v>1.219550840081674E-2</v>
      </c>
      <c r="AP98" s="435">
        <f t="shared" si="65"/>
        <v>1.219550840081674E-2</v>
      </c>
      <c r="AQ98" s="434">
        <f t="shared" si="96"/>
        <v>0</v>
      </c>
      <c r="AR98" s="434">
        <f t="shared" si="97"/>
        <v>0</v>
      </c>
      <c r="AS98" s="435">
        <f t="shared" si="98"/>
        <v>1.219550840081674E-2</v>
      </c>
      <c r="AT98" s="435">
        <f t="shared" si="66"/>
        <v>1.2195508400816738E-2</v>
      </c>
      <c r="AU98" s="436">
        <f t="shared" si="67"/>
        <v>1.2195508400816742E-2</v>
      </c>
      <c r="AV98" s="151">
        <f t="shared" si="99"/>
        <v>98573.416263819134</v>
      </c>
      <c r="BA98" s="18">
        <f t="shared" si="100"/>
        <v>0</v>
      </c>
      <c r="BB98" s="18">
        <f t="shared" si="100"/>
        <v>1</v>
      </c>
      <c r="BD98" s="630">
        <f t="shared" si="101"/>
        <v>1</v>
      </c>
    </row>
    <row r="99" spans="2:56" x14ac:dyDescent="0.25">
      <c r="B99" s="73" t="str">
        <f t="shared" si="68"/>
        <v/>
      </c>
      <c r="C99" s="424" t="str">
        <f>ייצוב!C99</f>
        <v/>
      </c>
      <c r="D99" s="139" t="str">
        <f>IF(ייצוב!K99="","",ייצוב!K99)</f>
        <v/>
      </c>
      <c r="E99" s="139" t="str">
        <f>IF(ייצוב!G99="","",ייצוב!G99)</f>
        <v/>
      </c>
      <c r="F99" s="634" t="str">
        <f>'סיכום לועדה- הזנת נתונים'!G99</f>
        <v/>
      </c>
      <c r="G99" s="146" t="str">
        <f t="shared" si="69"/>
        <v/>
      </c>
      <c r="H99" s="432" t="str">
        <f t="shared" si="70"/>
        <v/>
      </c>
      <c r="I99" s="433" t="str">
        <f t="shared" si="71"/>
        <v/>
      </c>
      <c r="J99" s="433" t="str">
        <f t="shared" si="57"/>
        <v/>
      </c>
      <c r="K99" s="434" t="str">
        <f t="shared" si="72"/>
        <v/>
      </c>
      <c r="L99" s="434" t="str">
        <f t="shared" si="73"/>
        <v/>
      </c>
      <c r="M99" s="435" t="str">
        <f t="shared" si="74"/>
        <v/>
      </c>
      <c r="N99" s="435" t="str">
        <f t="shared" si="58"/>
        <v/>
      </c>
      <c r="O99" s="434" t="str">
        <f t="shared" si="75"/>
        <v/>
      </c>
      <c r="P99" s="434" t="str">
        <f t="shared" si="76"/>
        <v/>
      </c>
      <c r="Q99" s="435" t="str">
        <f t="shared" si="77"/>
        <v/>
      </c>
      <c r="R99" s="435" t="str">
        <f t="shared" si="59"/>
        <v/>
      </c>
      <c r="S99" s="434" t="str">
        <f t="shared" si="78"/>
        <v/>
      </c>
      <c r="T99" s="434" t="str">
        <f t="shared" si="79"/>
        <v/>
      </c>
      <c r="U99" s="435" t="str">
        <f t="shared" si="80"/>
        <v/>
      </c>
      <c r="V99" s="435" t="str">
        <f t="shared" si="60"/>
        <v/>
      </c>
      <c r="W99" s="434" t="str">
        <f t="shared" si="81"/>
        <v/>
      </c>
      <c r="X99" s="434" t="str">
        <f t="shared" si="82"/>
        <v/>
      </c>
      <c r="Y99" s="435" t="str">
        <f t="shared" si="83"/>
        <v/>
      </c>
      <c r="Z99" s="435" t="str">
        <f t="shared" si="61"/>
        <v/>
      </c>
      <c r="AA99" s="434" t="str">
        <f t="shared" si="84"/>
        <v/>
      </c>
      <c r="AB99" s="434" t="str">
        <f t="shared" si="85"/>
        <v/>
      </c>
      <c r="AC99" s="435" t="str">
        <f t="shared" si="86"/>
        <v/>
      </c>
      <c r="AD99" s="435" t="str">
        <f t="shared" si="62"/>
        <v/>
      </c>
      <c r="AE99" s="434" t="str">
        <f t="shared" si="87"/>
        <v/>
      </c>
      <c r="AF99" s="434" t="str">
        <f t="shared" si="88"/>
        <v/>
      </c>
      <c r="AG99" s="435" t="str">
        <f t="shared" si="89"/>
        <v/>
      </c>
      <c r="AH99" s="435" t="str">
        <f t="shared" si="63"/>
        <v/>
      </c>
      <c r="AI99" s="434" t="str">
        <f t="shared" si="90"/>
        <v/>
      </c>
      <c r="AJ99" s="434" t="str">
        <f t="shared" si="91"/>
        <v/>
      </c>
      <c r="AK99" s="435" t="str">
        <f t="shared" si="92"/>
        <v/>
      </c>
      <c r="AL99" s="435" t="str">
        <f t="shared" si="64"/>
        <v/>
      </c>
      <c r="AM99" s="434" t="str">
        <f t="shared" si="93"/>
        <v/>
      </c>
      <c r="AN99" s="434" t="str">
        <f t="shared" si="94"/>
        <v/>
      </c>
      <c r="AO99" s="435" t="str">
        <f t="shared" si="95"/>
        <v/>
      </c>
      <c r="AP99" s="435" t="str">
        <f t="shared" si="65"/>
        <v/>
      </c>
      <c r="AQ99" s="434" t="str">
        <f t="shared" si="96"/>
        <v/>
      </c>
      <c r="AR99" s="434" t="str">
        <f t="shared" si="97"/>
        <v/>
      </c>
      <c r="AS99" s="435" t="str">
        <f t="shared" si="98"/>
        <v/>
      </c>
      <c r="AT99" s="435" t="str">
        <f t="shared" si="66"/>
        <v/>
      </c>
      <c r="AU99" s="436" t="str">
        <f t="shared" si="67"/>
        <v/>
      </c>
      <c r="AV99" s="151" t="str">
        <f t="shared" si="99"/>
        <v/>
      </c>
      <c r="BA99" s="18" t="str">
        <f t="shared" si="100"/>
        <v/>
      </c>
      <c r="BB99" s="18" t="str">
        <f t="shared" si="100"/>
        <v/>
      </c>
      <c r="BD99" s="630">
        <f t="shared" si="101"/>
        <v>0</v>
      </c>
    </row>
    <row r="100" spans="2:56" x14ac:dyDescent="0.25">
      <c r="B100" s="73" t="str">
        <f t="shared" si="68"/>
        <v/>
      </c>
      <c r="C100" s="424" t="str">
        <f>ייצוב!C100</f>
        <v/>
      </c>
      <c r="D100" s="139" t="str">
        <f>IF(ייצוב!K100="","",ייצוב!K100)</f>
        <v/>
      </c>
      <c r="E100" s="139" t="str">
        <f>IF(ייצוב!G100="","",ייצוב!G100)</f>
        <v/>
      </c>
      <c r="F100" s="634" t="str">
        <f>'סיכום לועדה- הזנת נתונים'!G100</f>
        <v/>
      </c>
      <c r="G100" s="146" t="str">
        <f t="shared" si="69"/>
        <v/>
      </c>
      <c r="H100" s="432" t="str">
        <f t="shared" si="70"/>
        <v/>
      </c>
      <c r="I100" s="433" t="str">
        <f t="shared" si="71"/>
        <v/>
      </c>
      <c r="J100" s="433" t="str">
        <f t="shared" si="57"/>
        <v/>
      </c>
      <c r="K100" s="434" t="str">
        <f t="shared" si="72"/>
        <v/>
      </c>
      <c r="L100" s="434" t="str">
        <f t="shared" si="73"/>
        <v/>
      </c>
      <c r="M100" s="435" t="str">
        <f t="shared" si="74"/>
        <v/>
      </c>
      <c r="N100" s="435" t="str">
        <f t="shared" si="58"/>
        <v/>
      </c>
      <c r="O100" s="434" t="str">
        <f t="shared" si="75"/>
        <v/>
      </c>
      <c r="P100" s="434" t="str">
        <f t="shared" si="76"/>
        <v/>
      </c>
      <c r="Q100" s="435" t="str">
        <f t="shared" si="77"/>
        <v/>
      </c>
      <c r="R100" s="435" t="str">
        <f t="shared" si="59"/>
        <v/>
      </c>
      <c r="S100" s="434" t="str">
        <f t="shared" si="78"/>
        <v/>
      </c>
      <c r="T100" s="434" t="str">
        <f t="shared" si="79"/>
        <v/>
      </c>
      <c r="U100" s="435" t="str">
        <f t="shared" si="80"/>
        <v/>
      </c>
      <c r="V100" s="435" t="str">
        <f t="shared" si="60"/>
        <v/>
      </c>
      <c r="W100" s="434" t="str">
        <f t="shared" si="81"/>
        <v/>
      </c>
      <c r="X100" s="434" t="str">
        <f t="shared" si="82"/>
        <v/>
      </c>
      <c r="Y100" s="435" t="str">
        <f t="shared" si="83"/>
        <v/>
      </c>
      <c r="Z100" s="435" t="str">
        <f t="shared" si="61"/>
        <v/>
      </c>
      <c r="AA100" s="434" t="str">
        <f t="shared" si="84"/>
        <v/>
      </c>
      <c r="AB100" s="434" t="str">
        <f t="shared" si="85"/>
        <v/>
      </c>
      <c r="AC100" s="435" t="str">
        <f t="shared" si="86"/>
        <v/>
      </c>
      <c r="AD100" s="435" t="str">
        <f t="shared" si="62"/>
        <v/>
      </c>
      <c r="AE100" s="434" t="str">
        <f t="shared" si="87"/>
        <v/>
      </c>
      <c r="AF100" s="434" t="str">
        <f t="shared" si="88"/>
        <v/>
      </c>
      <c r="AG100" s="435" t="str">
        <f t="shared" si="89"/>
        <v/>
      </c>
      <c r="AH100" s="435" t="str">
        <f t="shared" si="63"/>
        <v/>
      </c>
      <c r="AI100" s="434" t="str">
        <f t="shared" si="90"/>
        <v/>
      </c>
      <c r="AJ100" s="434" t="str">
        <f t="shared" si="91"/>
        <v/>
      </c>
      <c r="AK100" s="435" t="str">
        <f t="shared" si="92"/>
        <v/>
      </c>
      <c r="AL100" s="435" t="str">
        <f t="shared" si="64"/>
        <v/>
      </c>
      <c r="AM100" s="434" t="str">
        <f t="shared" si="93"/>
        <v/>
      </c>
      <c r="AN100" s="434" t="str">
        <f t="shared" si="94"/>
        <v/>
      </c>
      <c r="AO100" s="435" t="str">
        <f t="shared" si="95"/>
        <v/>
      </c>
      <c r="AP100" s="435" t="str">
        <f t="shared" si="65"/>
        <v/>
      </c>
      <c r="AQ100" s="434" t="str">
        <f t="shared" si="96"/>
        <v/>
      </c>
      <c r="AR100" s="434" t="str">
        <f t="shared" si="97"/>
        <v/>
      </c>
      <c r="AS100" s="435" t="str">
        <f t="shared" si="98"/>
        <v/>
      </c>
      <c r="AT100" s="435" t="str">
        <f t="shared" si="66"/>
        <v/>
      </c>
      <c r="AU100" s="436" t="str">
        <f t="shared" si="67"/>
        <v/>
      </c>
      <c r="AV100" s="151" t="str">
        <f t="shared" si="99"/>
        <v/>
      </c>
      <c r="BA100" s="18" t="str">
        <f t="shared" si="100"/>
        <v/>
      </c>
      <c r="BB100" s="18" t="str">
        <f t="shared" si="100"/>
        <v/>
      </c>
      <c r="BD100" s="630">
        <f t="shared" si="101"/>
        <v>0</v>
      </c>
    </row>
    <row r="101" spans="2:56" x14ac:dyDescent="0.25">
      <c r="B101" s="73">
        <f t="shared" si="68"/>
        <v>81</v>
      </c>
      <c r="C101" s="424" t="str">
        <f>ייצוב!C101</f>
        <v>דגה פדר</v>
      </c>
      <c r="D101" s="139">
        <f>IF(ייצוב!K101="","",ייצוב!K101)</f>
        <v>4.3454105484691955E-3</v>
      </c>
      <c r="E101" s="139">
        <f>IF(ייצוב!G101="","",ייצוב!G101)</f>
        <v>4.6591480000221759E-3</v>
      </c>
      <c r="F101" s="634">
        <f>'סיכום לועדה- הזנת נתונים'!G101</f>
        <v>1</v>
      </c>
      <c r="G101" s="146">
        <f t="shared" si="69"/>
        <v>0</v>
      </c>
      <c r="H101" s="432">
        <f t="shared" si="70"/>
        <v>0</v>
      </c>
      <c r="I101" s="433">
        <f t="shared" si="71"/>
        <v>4.3454105484691955E-3</v>
      </c>
      <c r="J101" s="433">
        <f t="shared" si="57"/>
        <v>4.345335722609733E-3</v>
      </c>
      <c r="K101" s="434">
        <f t="shared" si="72"/>
        <v>0</v>
      </c>
      <c r="L101" s="434">
        <f t="shared" si="73"/>
        <v>0</v>
      </c>
      <c r="M101" s="435">
        <f t="shared" si="74"/>
        <v>4.3454105484691955E-3</v>
      </c>
      <c r="N101" s="435">
        <f t="shared" si="58"/>
        <v>4.3453362071914307E-3</v>
      </c>
      <c r="O101" s="434">
        <f t="shared" si="75"/>
        <v>0</v>
      </c>
      <c r="P101" s="434">
        <f t="shared" si="76"/>
        <v>0</v>
      </c>
      <c r="Q101" s="435">
        <f t="shared" si="77"/>
        <v>4.3454105484691955E-3</v>
      </c>
      <c r="R101" s="435">
        <f t="shared" si="59"/>
        <v>4.345335722609733E-3</v>
      </c>
      <c r="S101" s="434">
        <f t="shared" si="78"/>
        <v>0</v>
      </c>
      <c r="T101" s="434">
        <f t="shared" si="79"/>
        <v>0</v>
      </c>
      <c r="U101" s="435">
        <f t="shared" si="80"/>
        <v>4.345335722609733E-3</v>
      </c>
      <c r="V101" s="435">
        <f t="shared" si="60"/>
        <v>4.3453357226097321E-3</v>
      </c>
      <c r="W101" s="434">
        <f t="shared" si="81"/>
        <v>0</v>
      </c>
      <c r="X101" s="434">
        <f t="shared" si="82"/>
        <v>0</v>
      </c>
      <c r="Y101" s="435">
        <f t="shared" si="83"/>
        <v>4.3453357226097321E-3</v>
      </c>
      <c r="Z101" s="435">
        <f t="shared" si="61"/>
        <v>4.3453357226097321E-3</v>
      </c>
      <c r="AA101" s="434">
        <f t="shared" si="84"/>
        <v>0</v>
      </c>
      <c r="AB101" s="434">
        <f t="shared" si="85"/>
        <v>0</v>
      </c>
      <c r="AC101" s="435">
        <f t="shared" si="86"/>
        <v>4.3453357226097321E-3</v>
      </c>
      <c r="AD101" s="435">
        <f t="shared" si="62"/>
        <v>4.3453357226097321E-3</v>
      </c>
      <c r="AE101" s="434">
        <f t="shared" si="87"/>
        <v>0</v>
      </c>
      <c r="AF101" s="434">
        <f t="shared" si="88"/>
        <v>0</v>
      </c>
      <c r="AG101" s="435">
        <f t="shared" si="89"/>
        <v>4.3453357226097321E-3</v>
      </c>
      <c r="AH101" s="435">
        <f t="shared" si="63"/>
        <v>4.3453357226097321E-3</v>
      </c>
      <c r="AI101" s="434">
        <f t="shared" si="90"/>
        <v>0</v>
      </c>
      <c r="AJ101" s="434">
        <f t="shared" si="91"/>
        <v>0</v>
      </c>
      <c r="AK101" s="435">
        <f t="shared" si="92"/>
        <v>4.3453357226097321E-3</v>
      </c>
      <c r="AL101" s="435">
        <f t="shared" si="64"/>
        <v>4.3453357226097321E-3</v>
      </c>
      <c r="AM101" s="434">
        <f t="shared" si="93"/>
        <v>0</v>
      </c>
      <c r="AN101" s="434">
        <f t="shared" si="94"/>
        <v>0</v>
      </c>
      <c r="AO101" s="435">
        <f t="shared" si="95"/>
        <v>4.3453357226097321E-3</v>
      </c>
      <c r="AP101" s="435">
        <f t="shared" si="65"/>
        <v>4.3453357226097321E-3</v>
      </c>
      <c r="AQ101" s="434">
        <f t="shared" si="96"/>
        <v>0</v>
      </c>
      <c r="AR101" s="434">
        <f t="shared" si="97"/>
        <v>0</v>
      </c>
      <c r="AS101" s="435">
        <f t="shared" si="98"/>
        <v>4.3453357226097321E-3</v>
      </c>
      <c r="AT101" s="435">
        <f t="shared" si="66"/>
        <v>4.3453357226097312E-3</v>
      </c>
      <c r="AU101" s="436">
        <f t="shared" si="67"/>
        <v>4.3453357226097321E-3</v>
      </c>
      <c r="AV101" s="151">
        <f t="shared" si="99"/>
        <v>35122.32314662393</v>
      </c>
      <c r="BA101" s="18">
        <f t="shared" si="100"/>
        <v>0</v>
      </c>
      <c r="BB101" s="18">
        <f t="shared" si="100"/>
        <v>1</v>
      </c>
      <c r="BD101" s="630">
        <f t="shared" si="101"/>
        <v>1</v>
      </c>
    </row>
    <row r="102" spans="2:56" x14ac:dyDescent="0.25">
      <c r="B102" s="73">
        <f t="shared" si="68"/>
        <v>82</v>
      </c>
      <c r="C102" s="424" t="str">
        <f>ייצוב!C102</f>
        <v>דנה חפוטה</v>
      </c>
      <c r="D102" s="139">
        <f>IF(ייצוב!K102="","",ייצוב!K102)</f>
        <v>6.265494560702219E-3</v>
      </c>
      <c r="E102" s="139">
        <f>IF(ייצוב!G102="","",ייצוב!G102)</f>
        <v>5.329190929762446E-3</v>
      </c>
      <c r="F102" s="634">
        <f>'סיכום לועדה- הזנת נתונים'!G102</f>
        <v>1</v>
      </c>
      <c r="G102" s="146">
        <f t="shared" si="69"/>
        <v>0</v>
      </c>
      <c r="H102" s="432">
        <f t="shared" si="70"/>
        <v>0</v>
      </c>
      <c r="I102" s="433">
        <f t="shared" si="71"/>
        <v>6.265494560702219E-3</v>
      </c>
      <c r="J102" s="433">
        <f t="shared" si="57"/>
        <v>6.265386671928482E-3</v>
      </c>
      <c r="K102" s="434">
        <f t="shared" si="72"/>
        <v>0</v>
      </c>
      <c r="L102" s="434">
        <f t="shared" si="73"/>
        <v>0</v>
      </c>
      <c r="M102" s="435">
        <f t="shared" si="74"/>
        <v>6.265494560702219E-3</v>
      </c>
      <c r="N102" s="435">
        <f t="shared" si="58"/>
        <v>6.2653873706297793E-3</v>
      </c>
      <c r="O102" s="434">
        <f t="shared" si="75"/>
        <v>0</v>
      </c>
      <c r="P102" s="434">
        <f t="shared" si="76"/>
        <v>0</v>
      </c>
      <c r="Q102" s="435">
        <f t="shared" si="77"/>
        <v>6.265494560702219E-3</v>
      </c>
      <c r="R102" s="435">
        <f t="shared" si="59"/>
        <v>6.265386671928482E-3</v>
      </c>
      <c r="S102" s="434">
        <f t="shared" si="78"/>
        <v>0</v>
      </c>
      <c r="T102" s="434">
        <f t="shared" si="79"/>
        <v>0</v>
      </c>
      <c r="U102" s="435">
        <f t="shared" si="80"/>
        <v>6.265386671928482E-3</v>
      </c>
      <c r="V102" s="435">
        <f t="shared" si="60"/>
        <v>6.2653866719284803E-3</v>
      </c>
      <c r="W102" s="434">
        <f t="shared" si="81"/>
        <v>0</v>
      </c>
      <c r="X102" s="434">
        <f t="shared" si="82"/>
        <v>0</v>
      </c>
      <c r="Y102" s="435">
        <f t="shared" si="83"/>
        <v>6.2653866719284803E-3</v>
      </c>
      <c r="Z102" s="435">
        <f t="shared" si="61"/>
        <v>6.2653866719284803E-3</v>
      </c>
      <c r="AA102" s="434">
        <f t="shared" si="84"/>
        <v>0</v>
      </c>
      <c r="AB102" s="434">
        <f t="shared" si="85"/>
        <v>0</v>
      </c>
      <c r="AC102" s="435">
        <f t="shared" si="86"/>
        <v>6.2653866719284803E-3</v>
      </c>
      <c r="AD102" s="435">
        <f t="shared" si="62"/>
        <v>6.2653866719284803E-3</v>
      </c>
      <c r="AE102" s="434">
        <f t="shared" si="87"/>
        <v>0</v>
      </c>
      <c r="AF102" s="434">
        <f t="shared" si="88"/>
        <v>0</v>
      </c>
      <c r="AG102" s="435">
        <f t="shared" si="89"/>
        <v>6.2653866719284803E-3</v>
      </c>
      <c r="AH102" s="435">
        <f t="shared" si="63"/>
        <v>6.2653866719284803E-3</v>
      </c>
      <c r="AI102" s="434">
        <f t="shared" si="90"/>
        <v>0</v>
      </c>
      <c r="AJ102" s="434">
        <f t="shared" si="91"/>
        <v>0</v>
      </c>
      <c r="AK102" s="435">
        <f t="shared" si="92"/>
        <v>6.2653866719284803E-3</v>
      </c>
      <c r="AL102" s="435">
        <f t="shared" si="64"/>
        <v>6.2653866719284803E-3</v>
      </c>
      <c r="AM102" s="434">
        <f t="shared" si="93"/>
        <v>0</v>
      </c>
      <c r="AN102" s="434">
        <f t="shared" si="94"/>
        <v>0</v>
      </c>
      <c r="AO102" s="435">
        <f t="shared" si="95"/>
        <v>6.2653866719284803E-3</v>
      </c>
      <c r="AP102" s="435">
        <f t="shared" si="65"/>
        <v>6.2653866719284803E-3</v>
      </c>
      <c r="AQ102" s="434">
        <f t="shared" si="96"/>
        <v>0</v>
      </c>
      <c r="AR102" s="434">
        <f t="shared" si="97"/>
        <v>0</v>
      </c>
      <c r="AS102" s="435">
        <f t="shared" si="98"/>
        <v>6.2653866719284803E-3</v>
      </c>
      <c r="AT102" s="435">
        <f t="shared" si="66"/>
        <v>6.2653866719284794E-3</v>
      </c>
      <c r="AU102" s="436">
        <f t="shared" si="67"/>
        <v>6.2653866719284811E-3</v>
      </c>
      <c r="AV102" s="151">
        <f t="shared" si="99"/>
        <v>50641.641837943338</v>
      </c>
      <c r="BA102" s="18">
        <f t="shared" si="100"/>
        <v>0</v>
      </c>
      <c r="BB102" s="18">
        <f t="shared" si="100"/>
        <v>1</v>
      </c>
      <c r="BD102" s="630">
        <f t="shared" si="101"/>
        <v>1</v>
      </c>
    </row>
    <row r="103" spans="2:56" x14ac:dyDescent="0.25">
      <c r="B103" s="73" t="str">
        <f t="shared" si="68"/>
        <v/>
      </c>
      <c r="C103" s="424" t="str">
        <f>ייצוב!C103</f>
        <v/>
      </c>
      <c r="D103" s="139" t="str">
        <f>IF(ייצוב!K103="","",ייצוב!K103)</f>
        <v/>
      </c>
      <c r="E103" s="139" t="str">
        <f>IF(ייצוב!G103="","",ייצוב!G103)</f>
        <v/>
      </c>
      <c r="F103" s="634" t="str">
        <f>'סיכום לועדה- הזנת נתונים'!G103</f>
        <v/>
      </c>
      <c r="G103" s="146" t="str">
        <f t="shared" si="69"/>
        <v/>
      </c>
      <c r="H103" s="432" t="str">
        <f t="shared" si="70"/>
        <v/>
      </c>
      <c r="I103" s="433" t="str">
        <f t="shared" si="71"/>
        <v/>
      </c>
      <c r="J103" s="433" t="str">
        <f t="shared" si="57"/>
        <v/>
      </c>
      <c r="K103" s="434" t="str">
        <f t="shared" si="72"/>
        <v/>
      </c>
      <c r="L103" s="434" t="str">
        <f t="shared" si="73"/>
        <v/>
      </c>
      <c r="M103" s="435" t="str">
        <f t="shared" si="74"/>
        <v/>
      </c>
      <c r="N103" s="435" t="str">
        <f t="shared" si="58"/>
        <v/>
      </c>
      <c r="O103" s="434" t="str">
        <f t="shared" si="75"/>
        <v/>
      </c>
      <c r="P103" s="434" t="str">
        <f t="shared" si="76"/>
        <v/>
      </c>
      <c r="Q103" s="435" t="str">
        <f t="shared" si="77"/>
        <v/>
      </c>
      <c r="R103" s="435" t="str">
        <f t="shared" si="59"/>
        <v/>
      </c>
      <c r="S103" s="434" t="str">
        <f t="shared" si="78"/>
        <v/>
      </c>
      <c r="T103" s="434" t="str">
        <f t="shared" si="79"/>
        <v/>
      </c>
      <c r="U103" s="435" t="str">
        <f t="shared" si="80"/>
        <v/>
      </c>
      <c r="V103" s="435" t="str">
        <f t="shared" si="60"/>
        <v/>
      </c>
      <c r="W103" s="434" t="str">
        <f t="shared" si="81"/>
        <v/>
      </c>
      <c r="X103" s="434" t="str">
        <f t="shared" si="82"/>
        <v/>
      </c>
      <c r="Y103" s="435" t="str">
        <f t="shared" si="83"/>
        <v/>
      </c>
      <c r="Z103" s="435" t="str">
        <f t="shared" si="61"/>
        <v/>
      </c>
      <c r="AA103" s="434" t="str">
        <f t="shared" si="84"/>
        <v/>
      </c>
      <c r="AB103" s="434" t="str">
        <f t="shared" si="85"/>
        <v/>
      </c>
      <c r="AC103" s="435" t="str">
        <f t="shared" si="86"/>
        <v/>
      </c>
      <c r="AD103" s="435" t="str">
        <f t="shared" si="62"/>
        <v/>
      </c>
      <c r="AE103" s="434" t="str">
        <f t="shared" si="87"/>
        <v/>
      </c>
      <c r="AF103" s="434" t="str">
        <f t="shared" si="88"/>
        <v/>
      </c>
      <c r="AG103" s="435" t="str">
        <f t="shared" si="89"/>
        <v/>
      </c>
      <c r="AH103" s="435" t="str">
        <f t="shared" si="63"/>
        <v/>
      </c>
      <c r="AI103" s="434" t="str">
        <f t="shared" si="90"/>
        <v/>
      </c>
      <c r="AJ103" s="434" t="str">
        <f t="shared" si="91"/>
        <v/>
      </c>
      <c r="AK103" s="435" t="str">
        <f t="shared" si="92"/>
        <v/>
      </c>
      <c r="AL103" s="435" t="str">
        <f t="shared" si="64"/>
        <v/>
      </c>
      <c r="AM103" s="434" t="str">
        <f t="shared" si="93"/>
        <v/>
      </c>
      <c r="AN103" s="434" t="str">
        <f t="shared" si="94"/>
        <v/>
      </c>
      <c r="AO103" s="435" t="str">
        <f t="shared" si="95"/>
        <v/>
      </c>
      <c r="AP103" s="435" t="str">
        <f t="shared" si="65"/>
        <v/>
      </c>
      <c r="AQ103" s="434" t="str">
        <f t="shared" si="96"/>
        <v/>
      </c>
      <c r="AR103" s="434" t="str">
        <f t="shared" si="97"/>
        <v/>
      </c>
      <c r="AS103" s="435" t="str">
        <f t="shared" si="98"/>
        <v/>
      </c>
      <c r="AT103" s="435" t="str">
        <f t="shared" si="66"/>
        <v/>
      </c>
      <c r="AU103" s="436" t="str">
        <f t="shared" si="67"/>
        <v/>
      </c>
      <c r="AV103" s="151" t="str">
        <f t="shared" si="99"/>
        <v/>
      </c>
      <c r="BA103" s="18" t="str">
        <f t="shared" si="100"/>
        <v/>
      </c>
      <c r="BB103" s="18" t="str">
        <f t="shared" si="100"/>
        <v/>
      </c>
      <c r="BD103" s="630">
        <f t="shared" si="101"/>
        <v>0</v>
      </c>
    </row>
    <row r="104" spans="2:56" x14ac:dyDescent="0.25">
      <c r="B104" s="73" t="str">
        <f t="shared" si="68"/>
        <v/>
      </c>
      <c r="C104" s="424" t="str">
        <f>ייצוב!C104</f>
        <v/>
      </c>
      <c r="D104" s="139" t="str">
        <f>IF(ייצוב!K104="","",ייצוב!K104)</f>
        <v/>
      </c>
      <c r="E104" s="139" t="str">
        <f>IF(ייצוב!G104="","",ייצוב!G104)</f>
        <v/>
      </c>
      <c r="F104" s="634" t="str">
        <f>'סיכום לועדה- הזנת נתונים'!G104</f>
        <v/>
      </c>
      <c r="G104" s="146" t="str">
        <f t="shared" si="69"/>
        <v/>
      </c>
      <c r="H104" s="432" t="str">
        <f t="shared" si="70"/>
        <v/>
      </c>
      <c r="I104" s="433" t="str">
        <f t="shared" si="71"/>
        <v/>
      </c>
      <c r="J104" s="433" t="str">
        <f t="shared" si="57"/>
        <v/>
      </c>
      <c r="K104" s="434" t="str">
        <f t="shared" si="72"/>
        <v/>
      </c>
      <c r="L104" s="434" t="str">
        <f t="shared" si="73"/>
        <v/>
      </c>
      <c r="M104" s="435" t="str">
        <f t="shared" si="74"/>
        <v/>
      </c>
      <c r="N104" s="435" t="str">
        <f t="shared" si="58"/>
        <v/>
      </c>
      <c r="O104" s="434" t="str">
        <f t="shared" si="75"/>
        <v/>
      </c>
      <c r="P104" s="434" t="str">
        <f t="shared" si="76"/>
        <v/>
      </c>
      <c r="Q104" s="435" t="str">
        <f t="shared" si="77"/>
        <v/>
      </c>
      <c r="R104" s="435" t="str">
        <f t="shared" si="59"/>
        <v/>
      </c>
      <c r="S104" s="434" t="str">
        <f t="shared" si="78"/>
        <v/>
      </c>
      <c r="T104" s="434" t="str">
        <f t="shared" si="79"/>
        <v/>
      </c>
      <c r="U104" s="435" t="str">
        <f t="shared" si="80"/>
        <v/>
      </c>
      <c r="V104" s="435" t="str">
        <f t="shared" si="60"/>
        <v/>
      </c>
      <c r="W104" s="434" t="str">
        <f t="shared" si="81"/>
        <v/>
      </c>
      <c r="X104" s="434" t="str">
        <f t="shared" si="82"/>
        <v/>
      </c>
      <c r="Y104" s="435" t="str">
        <f t="shared" si="83"/>
        <v/>
      </c>
      <c r="Z104" s="435" t="str">
        <f t="shared" si="61"/>
        <v/>
      </c>
      <c r="AA104" s="434" t="str">
        <f t="shared" si="84"/>
        <v/>
      </c>
      <c r="AB104" s="434" t="str">
        <f t="shared" si="85"/>
        <v/>
      </c>
      <c r="AC104" s="435" t="str">
        <f t="shared" si="86"/>
        <v/>
      </c>
      <c r="AD104" s="435" t="str">
        <f t="shared" si="62"/>
        <v/>
      </c>
      <c r="AE104" s="434" t="str">
        <f t="shared" si="87"/>
        <v/>
      </c>
      <c r="AF104" s="434" t="str">
        <f t="shared" si="88"/>
        <v/>
      </c>
      <c r="AG104" s="435" t="str">
        <f t="shared" si="89"/>
        <v/>
      </c>
      <c r="AH104" s="435" t="str">
        <f t="shared" si="63"/>
        <v/>
      </c>
      <c r="AI104" s="434" t="str">
        <f t="shared" si="90"/>
        <v/>
      </c>
      <c r="AJ104" s="434" t="str">
        <f t="shared" si="91"/>
        <v/>
      </c>
      <c r="AK104" s="435" t="str">
        <f t="shared" si="92"/>
        <v/>
      </c>
      <c r="AL104" s="435" t="str">
        <f t="shared" si="64"/>
        <v/>
      </c>
      <c r="AM104" s="434" t="str">
        <f t="shared" si="93"/>
        <v/>
      </c>
      <c r="AN104" s="434" t="str">
        <f t="shared" si="94"/>
        <v/>
      </c>
      <c r="AO104" s="435" t="str">
        <f t="shared" si="95"/>
        <v/>
      </c>
      <c r="AP104" s="435" t="str">
        <f t="shared" si="65"/>
        <v/>
      </c>
      <c r="AQ104" s="434" t="str">
        <f t="shared" si="96"/>
        <v/>
      </c>
      <c r="AR104" s="434" t="str">
        <f t="shared" si="97"/>
        <v/>
      </c>
      <c r="AS104" s="435" t="str">
        <f t="shared" si="98"/>
        <v/>
      </c>
      <c r="AT104" s="435" t="str">
        <f t="shared" si="66"/>
        <v/>
      </c>
      <c r="AU104" s="436" t="str">
        <f t="shared" si="67"/>
        <v/>
      </c>
      <c r="AV104" s="151" t="str">
        <f t="shared" si="99"/>
        <v/>
      </c>
      <c r="BA104" s="18" t="str">
        <f t="shared" si="100"/>
        <v/>
      </c>
      <c r="BB104" s="18" t="str">
        <f t="shared" si="100"/>
        <v/>
      </c>
      <c r="BD104" s="630">
        <f t="shared" si="101"/>
        <v>0</v>
      </c>
    </row>
    <row r="105" spans="2:56" x14ac:dyDescent="0.25">
      <c r="B105" s="73">
        <f t="shared" si="68"/>
        <v>85</v>
      </c>
      <c r="C105" s="424" t="str">
        <f>ייצוב!C105</f>
        <v>יענק'לה פילצר</v>
      </c>
      <c r="D105" s="139">
        <f>IF(ייצוב!K105="","",ייצוב!K105)</f>
        <v>1.8254353444481765E-2</v>
      </c>
      <c r="E105" s="139">
        <f>IF(ייצוב!G105="","",ייצוב!G105)</f>
        <v>1.5640407126321046E-2</v>
      </c>
      <c r="F105" s="634">
        <f>'סיכום לועדה- הזנת נתונים'!G105</f>
        <v>1</v>
      </c>
      <c r="G105" s="146">
        <f t="shared" si="69"/>
        <v>0</v>
      </c>
      <c r="H105" s="432">
        <f t="shared" si="70"/>
        <v>0</v>
      </c>
      <c r="I105" s="433">
        <f t="shared" si="71"/>
        <v>1.8254353444481765E-2</v>
      </c>
      <c r="J105" s="433">
        <f t="shared" si="57"/>
        <v>1.8254039113379979E-2</v>
      </c>
      <c r="K105" s="434">
        <f t="shared" si="72"/>
        <v>0</v>
      </c>
      <c r="L105" s="434">
        <f t="shared" si="73"/>
        <v>0</v>
      </c>
      <c r="M105" s="435">
        <f t="shared" si="74"/>
        <v>1.8254353444481765E-2</v>
      </c>
      <c r="N105" s="435">
        <f t="shared" si="58"/>
        <v>1.8254041149027816E-2</v>
      </c>
      <c r="O105" s="434">
        <f t="shared" si="75"/>
        <v>0</v>
      </c>
      <c r="P105" s="434">
        <f t="shared" si="76"/>
        <v>0</v>
      </c>
      <c r="Q105" s="435">
        <f t="shared" si="77"/>
        <v>1.8254353444481765E-2</v>
      </c>
      <c r="R105" s="435">
        <f t="shared" si="59"/>
        <v>1.8254039113379979E-2</v>
      </c>
      <c r="S105" s="434">
        <f t="shared" si="78"/>
        <v>0</v>
      </c>
      <c r="T105" s="434">
        <f t="shared" si="79"/>
        <v>0</v>
      </c>
      <c r="U105" s="435">
        <f t="shared" si="80"/>
        <v>1.8254039113379979E-2</v>
      </c>
      <c r="V105" s="435">
        <f t="shared" si="60"/>
        <v>1.8254039113379975E-2</v>
      </c>
      <c r="W105" s="434">
        <f t="shared" si="81"/>
        <v>0</v>
      </c>
      <c r="X105" s="434">
        <f t="shared" si="82"/>
        <v>0</v>
      </c>
      <c r="Y105" s="435">
        <f t="shared" si="83"/>
        <v>1.8254039113379975E-2</v>
      </c>
      <c r="Z105" s="435">
        <f t="shared" si="61"/>
        <v>1.8254039113379975E-2</v>
      </c>
      <c r="AA105" s="434">
        <f t="shared" si="84"/>
        <v>0</v>
      </c>
      <c r="AB105" s="434">
        <f t="shared" si="85"/>
        <v>0</v>
      </c>
      <c r="AC105" s="435">
        <f t="shared" si="86"/>
        <v>1.8254039113379975E-2</v>
      </c>
      <c r="AD105" s="435">
        <f t="shared" si="62"/>
        <v>1.8254039113379975E-2</v>
      </c>
      <c r="AE105" s="434">
        <f t="shared" si="87"/>
        <v>0</v>
      </c>
      <c r="AF105" s="434">
        <f t="shared" si="88"/>
        <v>0</v>
      </c>
      <c r="AG105" s="435">
        <f t="shared" si="89"/>
        <v>1.8254039113379975E-2</v>
      </c>
      <c r="AH105" s="435">
        <f t="shared" si="63"/>
        <v>1.8254039113379975E-2</v>
      </c>
      <c r="AI105" s="434">
        <f t="shared" si="90"/>
        <v>0</v>
      </c>
      <c r="AJ105" s="434">
        <f t="shared" si="91"/>
        <v>0</v>
      </c>
      <c r="AK105" s="435">
        <f t="shared" si="92"/>
        <v>1.8254039113379975E-2</v>
      </c>
      <c r="AL105" s="435">
        <f t="shared" si="64"/>
        <v>1.8254039113379975E-2</v>
      </c>
      <c r="AM105" s="434">
        <f t="shared" si="93"/>
        <v>0</v>
      </c>
      <c r="AN105" s="434">
        <f t="shared" si="94"/>
        <v>0</v>
      </c>
      <c r="AO105" s="435">
        <f t="shared" si="95"/>
        <v>1.8254039113379975E-2</v>
      </c>
      <c r="AP105" s="435">
        <f t="shared" si="65"/>
        <v>1.8254039113379975E-2</v>
      </c>
      <c r="AQ105" s="434">
        <f t="shared" si="96"/>
        <v>0</v>
      </c>
      <c r="AR105" s="434">
        <f t="shared" si="97"/>
        <v>0</v>
      </c>
      <c r="AS105" s="435">
        <f t="shared" si="98"/>
        <v>1.8254039113379975E-2</v>
      </c>
      <c r="AT105" s="435">
        <f t="shared" si="66"/>
        <v>1.8254039113379972E-2</v>
      </c>
      <c r="AU105" s="436">
        <f t="shared" si="67"/>
        <v>1.8254039113379975E-2</v>
      </c>
      <c r="AV105" s="151">
        <f t="shared" si="99"/>
        <v>147543.09020021959</v>
      </c>
      <c r="BA105" s="18">
        <f t="shared" si="100"/>
        <v>0</v>
      </c>
      <c r="BB105" s="18">
        <f t="shared" si="100"/>
        <v>1</v>
      </c>
      <c r="BD105" s="630">
        <f t="shared" si="101"/>
        <v>1</v>
      </c>
    </row>
    <row r="106" spans="2:56" x14ac:dyDescent="0.25">
      <c r="B106" s="73">
        <f t="shared" si="68"/>
        <v>86</v>
      </c>
      <c r="C106" s="424" t="str">
        <f>ייצוב!C106</f>
        <v>ענבל פינטו</v>
      </c>
      <c r="D106" s="139">
        <f>IF(ייצוב!K106="","",ייצוב!K106)</f>
        <v>1.2968008761512585E-2</v>
      </c>
      <c r="E106" s="139">
        <f>IF(ייצוב!G106="","",ייצוב!G106)</f>
        <v>1.375752841280347E-2</v>
      </c>
      <c r="F106" s="634">
        <f>'סיכום לועדה- הזנת נתונים'!G106</f>
        <v>1</v>
      </c>
      <c r="G106" s="146">
        <f t="shared" si="69"/>
        <v>0</v>
      </c>
      <c r="H106" s="432">
        <f t="shared" si="70"/>
        <v>0</v>
      </c>
      <c r="I106" s="433">
        <f t="shared" si="71"/>
        <v>1.2968008761512585E-2</v>
      </c>
      <c r="J106" s="433">
        <f t="shared" si="57"/>
        <v>1.296778545869913E-2</v>
      </c>
      <c r="K106" s="434">
        <f t="shared" si="72"/>
        <v>0</v>
      </c>
      <c r="L106" s="434">
        <f t="shared" si="73"/>
        <v>0</v>
      </c>
      <c r="M106" s="435">
        <f t="shared" si="74"/>
        <v>1.2968008761512585E-2</v>
      </c>
      <c r="N106" s="435">
        <f t="shared" si="58"/>
        <v>1.2967786904836296E-2</v>
      </c>
      <c r="O106" s="434">
        <f t="shared" si="75"/>
        <v>0</v>
      </c>
      <c r="P106" s="434">
        <f t="shared" si="76"/>
        <v>0</v>
      </c>
      <c r="Q106" s="435">
        <f t="shared" si="77"/>
        <v>1.2968008761512585E-2</v>
      </c>
      <c r="R106" s="435">
        <f t="shared" si="59"/>
        <v>1.296778545869913E-2</v>
      </c>
      <c r="S106" s="434">
        <f t="shared" si="78"/>
        <v>0</v>
      </c>
      <c r="T106" s="434">
        <f t="shared" si="79"/>
        <v>0</v>
      </c>
      <c r="U106" s="435">
        <f t="shared" si="80"/>
        <v>1.296778545869913E-2</v>
      </c>
      <c r="V106" s="435">
        <f t="shared" si="60"/>
        <v>1.2967785458699126E-2</v>
      </c>
      <c r="W106" s="434">
        <f t="shared" si="81"/>
        <v>0</v>
      </c>
      <c r="X106" s="434">
        <f t="shared" si="82"/>
        <v>0</v>
      </c>
      <c r="Y106" s="435">
        <f t="shared" si="83"/>
        <v>1.2967785458699126E-2</v>
      </c>
      <c r="Z106" s="435">
        <f t="shared" si="61"/>
        <v>1.2967785458699126E-2</v>
      </c>
      <c r="AA106" s="434">
        <f t="shared" si="84"/>
        <v>0</v>
      </c>
      <c r="AB106" s="434">
        <f t="shared" si="85"/>
        <v>0</v>
      </c>
      <c r="AC106" s="435">
        <f t="shared" si="86"/>
        <v>1.2967785458699126E-2</v>
      </c>
      <c r="AD106" s="435">
        <f t="shared" si="62"/>
        <v>1.2967785458699126E-2</v>
      </c>
      <c r="AE106" s="434">
        <f t="shared" si="87"/>
        <v>0</v>
      </c>
      <c r="AF106" s="434">
        <f t="shared" si="88"/>
        <v>0</v>
      </c>
      <c r="AG106" s="435">
        <f t="shared" si="89"/>
        <v>1.2967785458699126E-2</v>
      </c>
      <c r="AH106" s="435">
        <f t="shared" si="63"/>
        <v>1.2967785458699126E-2</v>
      </c>
      <c r="AI106" s="434">
        <f t="shared" si="90"/>
        <v>0</v>
      </c>
      <c r="AJ106" s="434">
        <f t="shared" si="91"/>
        <v>0</v>
      </c>
      <c r="AK106" s="435">
        <f t="shared" si="92"/>
        <v>1.2967785458699126E-2</v>
      </c>
      <c r="AL106" s="435">
        <f t="shared" si="64"/>
        <v>1.2967785458699126E-2</v>
      </c>
      <c r="AM106" s="434">
        <f t="shared" si="93"/>
        <v>0</v>
      </c>
      <c r="AN106" s="434">
        <f t="shared" si="94"/>
        <v>0</v>
      </c>
      <c r="AO106" s="435">
        <f t="shared" si="95"/>
        <v>1.2967785458699126E-2</v>
      </c>
      <c r="AP106" s="435">
        <f t="shared" si="65"/>
        <v>1.2967785458699126E-2</v>
      </c>
      <c r="AQ106" s="434">
        <f t="shared" si="96"/>
        <v>0</v>
      </c>
      <c r="AR106" s="434">
        <f t="shared" si="97"/>
        <v>0</v>
      </c>
      <c r="AS106" s="435">
        <f t="shared" si="98"/>
        <v>1.2967785458699126E-2</v>
      </c>
      <c r="AT106" s="435">
        <f t="shared" si="66"/>
        <v>1.2967785458699125E-2</v>
      </c>
      <c r="AU106" s="436">
        <f t="shared" si="67"/>
        <v>1.2967785458699128E-2</v>
      </c>
      <c r="AV106" s="151">
        <f t="shared" si="99"/>
        <v>104815.5494652968</v>
      </c>
      <c r="BA106" s="18">
        <f t="shared" si="100"/>
        <v>0</v>
      </c>
      <c r="BB106" s="18">
        <f t="shared" si="100"/>
        <v>1</v>
      </c>
      <c r="BD106" s="630">
        <f t="shared" si="101"/>
        <v>1</v>
      </c>
    </row>
    <row r="107" spans="2:56" x14ac:dyDescent="0.25">
      <c r="B107" s="73">
        <f t="shared" si="68"/>
        <v>87</v>
      </c>
      <c r="C107" s="424" t="str">
        <f>ייצוב!C107</f>
        <v>רוני חדש</v>
      </c>
      <c r="D107" s="139">
        <f>IF(ייצוב!K107="","",ייצוב!K107)</f>
        <v>1.2361731161112E-2</v>
      </c>
      <c r="E107" s="139">
        <f>IF(ייצוב!G107="","",ייצוב!G107)</f>
        <v>1.500706079517569E-2</v>
      </c>
      <c r="F107" s="634">
        <f>'סיכום לועדה- הזנת נתונים'!G107</f>
        <v>1</v>
      </c>
      <c r="G107" s="146">
        <f t="shared" si="69"/>
        <v>0</v>
      </c>
      <c r="H107" s="432">
        <f t="shared" si="70"/>
        <v>0</v>
      </c>
      <c r="I107" s="433">
        <f t="shared" si="71"/>
        <v>1.2361731161112E-2</v>
      </c>
      <c r="J107" s="433">
        <f t="shared" si="57"/>
        <v>1.2361518298104408E-2</v>
      </c>
      <c r="K107" s="434">
        <f t="shared" si="72"/>
        <v>0</v>
      </c>
      <c r="L107" s="434">
        <f t="shared" si="73"/>
        <v>0</v>
      </c>
      <c r="M107" s="435">
        <f t="shared" si="74"/>
        <v>1.2361731161112E-2</v>
      </c>
      <c r="N107" s="435">
        <f t="shared" si="58"/>
        <v>1.2361519676632076E-2</v>
      </c>
      <c r="O107" s="434">
        <f t="shared" si="75"/>
        <v>0</v>
      </c>
      <c r="P107" s="434">
        <f t="shared" si="76"/>
        <v>0</v>
      </c>
      <c r="Q107" s="435">
        <f t="shared" si="77"/>
        <v>1.2361731161112E-2</v>
      </c>
      <c r="R107" s="435">
        <f t="shared" si="59"/>
        <v>1.2361518298104408E-2</v>
      </c>
      <c r="S107" s="434">
        <f t="shared" si="78"/>
        <v>0</v>
      </c>
      <c r="T107" s="434">
        <f t="shared" si="79"/>
        <v>0</v>
      </c>
      <c r="U107" s="435">
        <f t="shared" si="80"/>
        <v>1.2361518298104408E-2</v>
      </c>
      <c r="V107" s="435">
        <f t="shared" si="60"/>
        <v>1.2361518298104404E-2</v>
      </c>
      <c r="W107" s="434">
        <f t="shared" si="81"/>
        <v>0</v>
      </c>
      <c r="X107" s="434">
        <f t="shared" si="82"/>
        <v>0</v>
      </c>
      <c r="Y107" s="435">
        <f t="shared" si="83"/>
        <v>1.2361518298104404E-2</v>
      </c>
      <c r="Z107" s="435">
        <f t="shared" si="61"/>
        <v>1.2361518298104404E-2</v>
      </c>
      <c r="AA107" s="434">
        <f t="shared" si="84"/>
        <v>0</v>
      </c>
      <c r="AB107" s="434">
        <f t="shared" si="85"/>
        <v>0</v>
      </c>
      <c r="AC107" s="435">
        <f t="shared" si="86"/>
        <v>1.2361518298104404E-2</v>
      </c>
      <c r="AD107" s="435">
        <f t="shared" si="62"/>
        <v>1.2361518298104404E-2</v>
      </c>
      <c r="AE107" s="434">
        <f t="shared" si="87"/>
        <v>0</v>
      </c>
      <c r="AF107" s="434">
        <f t="shared" si="88"/>
        <v>0</v>
      </c>
      <c r="AG107" s="435">
        <f t="shared" si="89"/>
        <v>1.2361518298104404E-2</v>
      </c>
      <c r="AH107" s="435">
        <f t="shared" si="63"/>
        <v>1.2361518298104404E-2</v>
      </c>
      <c r="AI107" s="434">
        <f t="shared" si="90"/>
        <v>0</v>
      </c>
      <c r="AJ107" s="434">
        <f t="shared" si="91"/>
        <v>0</v>
      </c>
      <c r="AK107" s="435">
        <f t="shared" si="92"/>
        <v>1.2361518298104404E-2</v>
      </c>
      <c r="AL107" s="435">
        <f t="shared" si="64"/>
        <v>1.2361518298104404E-2</v>
      </c>
      <c r="AM107" s="434">
        <f t="shared" si="93"/>
        <v>0</v>
      </c>
      <c r="AN107" s="434">
        <f t="shared" si="94"/>
        <v>0</v>
      </c>
      <c r="AO107" s="435">
        <f t="shared" si="95"/>
        <v>1.2361518298104404E-2</v>
      </c>
      <c r="AP107" s="435">
        <f t="shared" si="65"/>
        <v>1.2361518298104404E-2</v>
      </c>
      <c r="AQ107" s="434">
        <f t="shared" si="96"/>
        <v>0</v>
      </c>
      <c r="AR107" s="434">
        <f t="shared" si="97"/>
        <v>0</v>
      </c>
      <c r="AS107" s="435">
        <f t="shared" si="98"/>
        <v>1.2361518298104404E-2</v>
      </c>
      <c r="AT107" s="435">
        <f t="shared" si="66"/>
        <v>1.2361518298104402E-2</v>
      </c>
      <c r="AU107" s="436">
        <f t="shared" si="67"/>
        <v>1.2361518298104406E-2</v>
      </c>
      <c r="AV107" s="151">
        <f t="shared" si="99"/>
        <v>99915.235085259555</v>
      </c>
      <c r="BA107" s="18">
        <f t="shared" si="100"/>
        <v>0</v>
      </c>
      <c r="BB107" s="18">
        <f t="shared" si="100"/>
        <v>1</v>
      </c>
      <c r="BD107" s="630">
        <f t="shared" si="101"/>
        <v>1</v>
      </c>
    </row>
    <row r="108" spans="2:56" x14ac:dyDescent="0.25">
      <c r="B108" s="73">
        <f t="shared" si="68"/>
        <v>88</v>
      </c>
      <c r="C108" s="424" t="str">
        <f>ייצוב!C108</f>
        <v>שחר בנימיני</v>
      </c>
      <c r="D108" s="139">
        <f>IF(ייצוב!K108="","",ייצוב!K108)</f>
        <v>1.3017054909801542E-2</v>
      </c>
      <c r="E108" s="139">
        <f>IF(ייצוב!G108="","",ייצוב!G108)</f>
        <v>1.4228908101948958E-2</v>
      </c>
      <c r="F108" s="634">
        <f>'סיכום לועדה- הזנת נתונים'!G108</f>
        <v>1</v>
      </c>
      <c r="G108" s="146">
        <f t="shared" si="69"/>
        <v>0</v>
      </c>
      <c r="H108" s="432">
        <f t="shared" si="70"/>
        <v>0</v>
      </c>
      <c r="I108" s="433">
        <f t="shared" si="71"/>
        <v>1.3017054909801542E-2</v>
      </c>
      <c r="J108" s="433">
        <f t="shared" si="57"/>
        <v>1.301683076243723E-2</v>
      </c>
      <c r="K108" s="434">
        <f t="shared" si="72"/>
        <v>0</v>
      </c>
      <c r="L108" s="434">
        <f t="shared" si="73"/>
        <v>0</v>
      </c>
      <c r="M108" s="435">
        <f t="shared" si="74"/>
        <v>1.3017054909801542E-2</v>
      </c>
      <c r="N108" s="435">
        <f t="shared" si="58"/>
        <v>1.3016832214043815E-2</v>
      </c>
      <c r="O108" s="434">
        <f t="shared" si="75"/>
        <v>0</v>
      </c>
      <c r="P108" s="434">
        <f t="shared" si="76"/>
        <v>0</v>
      </c>
      <c r="Q108" s="435">
        <f t="shared" si="77"/>
        <v>1.3017054909801542E-2</v>
      </c>
      <c r="R108" s="435">
        <f t="shared" si="59"/>
        <v>1.301683076243723E-2</v>
      </c>
      <c r="S108" s="434">
        <f t="shared" si="78"/>
        <v>0</v>
      </c>
      <c r="T108" s="434">
        <f t="shared" si="79"/>
        <v>0</v>
      </c>
      <c r="U108" s="435">
        <f t="shared" si="80"/>
        <v>1.301683076243723E-2</v>
      </c>
      <c r="V108" s="435">
        <f t="shared" si="60"/>
        <v>1.3016830762437226E-2</v>
      </c>
      <c r="W108" s="434">
        <f t="shared" si="81"/>
        <v>0</v>
      </c>
      <c r="X108" s="434">
        <f t="shared" si="82"/>
        <v>0</v>
      </c>
      <c r="Y108" s="435">
        <f t="shared" si="83"/>
        <v>1.3016830762437226E-2</v>
      </c>
      <c r="Z108" s="435">
        <f t="shared" si="61"/>
        <v>1.3016830762437226E-2</v>
      </c>
      <c r="AA108" s="434">
        <f t="shared" si="84"/>
        <v>0</v>
      </c>
      <c r="AB108" s="434">
        <f t="shared" si="85"/>
        <v>0</v>
      </c>
      <c r="AC108" s="435">
        <f t="shared" si="86"/>
        <v>1.3016830762437226E-2</v>
      </c>
      <c r="AD108" s="435">
        <f t="shared" si="62"/>
        <v>1.3016830762437226E-2</v>
      </c>
      <c r="AE108" s="434">
        <f t="shared" si="87"/>
        <v>0</v>
      </c>
      <c r="AF108" s="434">
        <f t="shared" si="88"/>
        <v>0</v>
      </c>
      <c r="AG108" s="435">
        <f t="shared" si="89"/>
        <v>1.3016830762437226E-2</v>
      </c>
      <c r="AH108" s="435">
        <f t="shared" si="63"/>
        <v>1.3016830762437226E-2</v>
      </c>
      <c r="AI108" s="434">
        <f t="shared" si="90"/>
        <v>0</v>
      </c>
      <c r="AJ108" s="434">
        <f t="shared" si="91"/>
        <v>0</v>
      </c>
      <c r="AK108" s="435">
        <f t="shared" si="92"/>
        <v>1.3016830762437226E-2</v>
      </c>
      <c r="AL108" s="435">
        <f t="shared" si="64"/>
        <v>1.3016830762437226E-2</v>
      </c>
      <c r="AM108" s="434">
        <f t="shared" si="93"/>
        <v>0</v>
      </c>
      <c r="AN108" s="434">
        <f t="shared" si="94"/>
        <v>0</v>
      </c>
      <c r="AO108" s="435">
        <f t="shared" si="95"/>
        <v>1.3016830762437226E-2</v>
      </c>
      <c r="AP108" s="435">
        <f t="shared" si="65"/>
        <v>1.3016830762437226E-2</v>
      </c>
      <c r="AQ108" s="434">
        <f t="shared" si="96"/>
        <v>0</v>
      </c>
      <c r="AR108" s="434">
        <f t="shared" si="97"/>
        <v>0</v>
      </c>
      <c r="AS108" s="435">
        <f t="shared" si="98"/>
        <v>1.3016830762437226E-2</v>
      </c>
      <c r="AT108" s="435">
        <f t="shared" si="66"/>
        <v>1.3016830762437226E-2</v>
      </c>
      <c r="AU108" s="436">
        <f t="shared" si="67"/>
        <v>1.301683076243723E-2</v>
      </c>
      <c r="AV108" s="151">
        <f t="shared" si="99"/>
        <v>105211.97108072019</v>
      </c>
      <c r="BA108" s="18">
        <f t="shared" si="100"/>
        <v>0</v>
      </c>
      <c r="BB108" s="18">
        <f t="shared" si="100"/>
        <v>1</v>
      </c>
      <c r="BD108" s="630">
        <f t="shared" si="101"/>
        <v>1</v>
      </c>
    </row>
    <row r="109" spans="2:56" x14ac:dyDescent="0.25">
      <c r="B109" s="73">
        <f t="shared" si="68"/>
        <v>89</v>
      </c>
      <c r="C109" s="424" t="str">
        <f>ייצוב!C109</f>
        <v>רביד אברבאנל</v>
      </c>
      <c r="D109" s="139">
        <f>IF(ייצוב!K109="","",ייצוב!K109)</f>
        <v>8.0884386237639969E-3</v>
      </c>
      <c r="E109" s="139">
        <f>IF(ייצוב!G109="","",ייצוב!G109)</f>
        <v>7.2131256605057741E-3</v>
      </c>
      <c r="F109" s="634">
        <f>'סיכום לועדה- הזנת נתונים'!G109</f>
        <v>0</v>
      </c>
      <c r="G109" s="146">
        <f t="shared" si="69"/>
        <v>0</v>
      </c>
      <c r="H109" s="432">
        <f t="shared" si="70"/>
        <v>0</v>
      </c>
      <c r="I109" s="433">
        <f t="shared" si="71"/>
        <v>8.0884386237639969E-3</v>
      </c>
      <c r="J109" s="433">
        <f t="shared" si="57"/>
        <v>8.0882993447787353E-3</v>
      </c>
      <c r="K109" s="434">
        <f t="shared" si="72"/>
        <v>0</v>
      </c>
      <c r="L109" s="434">
        <f t="shared" si="73"/>
        <v>0</v>
      </c>
      <c r="M109" s="435">
        <f t="shared" si="74"/>
        <v>8.0884386237639969E-3</v>
      </c>
      <c r="N109" s="435">
        <f t="shared" si="58"/>
        <v>8.0883002467670006E-3</v>
      </c>
      <c r="O109" s="434">
        <f t="shared" si="75"/>
        <v>0</v>
      </c>
      <c r="P109" s="434">
        <f t="shared" si="76"/>
        <v>0</v>
      </c>
      <c r="Q109" s="435">
        <f t="shared" si="77"/>
        <v>8.0884386237639969E-3</v>
      </c>
      <c r="R109" s="435">
        <f t="shared" si="59"/>
        <v>8.0882993447787353E-3</v>
      </c>
      <c r="S109" s="434">
        <f t="shared" si="78"/>
        <v>0</v>
      </c>
      <c r="T109" s="434">
        <f t="shared" si="79"/>
        <v>0</v>
      </c>
      <c r="U109" s="435">
        <f t="shared" si="80"/>
        <v>8.0882993447787353E-3</v>
      </c>
      <c r="V109" s="435">
        <f t="shared" si="60"/>
        <v>8.0882993447787335E-3</v>
      </c>
      <c r="W109" s="434">
        <f t="shared" si="81"/>
        <v>0</v>
      </c>
      <c r="X109" s="434">
        <f t="shared" si="82"/>
        <v>0</v>
      </c>
      <c r="Y109" s="435">
        <f t="shared" si="83"/>
        <v>8.0882993447787335E-3</v>
      </c>
      <c r="Z109" s="435">
        <f t="shared" si="61"/>
        <v>8.0882993447787335E-3</v>
      </c>
      <c r="AA109" s="434">
        <f t="shared" si="84"/>
        <v>0</v>
      </c>
      <c r="AB109" s="434">
        <f t="shared" si="85"/>
        <v>0</v>
      </c>
      <c r="AC109" s="435">
        <f t="shared" si="86"/>
        <v>8.0882993447787335E-3</v>
      </c>
      <c r="AD109" s="435">
        <f t="shared" si="62"/>
        <v>8.0882993447787335E-3</v>
      </c>
      <c r="AE109" s="434">
        <f t="shared" si="87"/>
        <v>0</v>
      </c>
      <c r="AF109" s="434">
        <f t="shared" si="88"/>
        <v>0</v>
      </c>
      <c r="AG109" s="435">
        <f t="shared" si="89"/>
        <v>8.0882993447787335E-3</v>
      </c>
      <c r="AH109" s="435">
        <f t="shared" si="63"/>
        <v>8.0882993447787335E-3</v>
      </c>
      <c r="AI109" s="434">
        <f t="shared" si="90"/>
        <v>0</v>
      </c>
      <c r="AJ109" s="434">
        <f t="shared" si="91"/>
        <v>0</v>
      </c>
      <c r="AK109" s="435">
        <f t="shared" si="92"/>
        <v>8.0882993447787335E-3</v>
      </c>
      <c r="AL109" s="435">
        <f t="shared" si="64"/>
        <v>8.0882993447787335E-3</v>
      </c>
      <c r="AM109" s="434">
        <f t="shared" si="93"/>
        <v>0</v>
      </c>
      <c r="AN109" s="434">
        <f t="shared" si="94"/>
        <v>0</v>
      </c>
      <c r="AO109" s="435">
        <f t="shared" si="95"/>
        <v>8.0882993447787335E-3</v>
      </c>
      <c r="AP109" s="435">
        <f t="shared" si="65"/>
        <v>8.0882993447787335E-3</v>
      </c>
      <c r="AQ109" s="434">
        <f t="shared" si="96"/>
        <v>0</v>
      </c>
      <c r="AR109" s="434">
        <f t="shared" si="97"/>
        <v>0</v>
      </c>
      <c r="AS109" s="435">
        <f t="shared" si="98"/>
        <v>8.0882993447787335E-3</v>
      </c>
      <c r="AT109" s="435">
        <f t="shared" si="66"/>
        <v>8.0882993447787318E-3</v>
      </c>
      <c r="AU109" s="436">
        <f t="shared" si="67"/>
        <v>8.0882993447787335E-3</v>
      </c>
      <c r="AV109" s="151">
        <f t="shared" si="99"/>
        <v>65375.814765201132</v>
      </c>
      <c r="BA109" s="18">
        <f t="shared" si="100"/>
        <v>0</v>
      </c>
      <c r="BB109" s="18">
        <f t="shared" si="100"/>
        <v>1</v>
      </c>
      <c r="BD109" s="630">
        <f t="shared" si="101"/>
        <v>1</v>
      </c>
    </row>
    <row r="110" spans="2:56" x14ac:dyDescent="0.25">
      <c r="B110" s="73">
        <f t="shared" si="68"/>
        <v>90</v>
      </c>
      <c r="C110" s="424" t="str">
        <f>ייצוב!C110</f>
        <v>שרון פרידמן</v>
      </c>
      <c r="D110" s="139">
        <f>IF(ייצוב!K110="","",ייצוב!K110)</f>
        <v>1.0569162232640291E-2</v>
      </c>
      <c r="E110" s="139">
        <f>IF(ייצוב!G110="","",ייצוב!G110)</f>
        <v>6.8469516874759264E-3</v>
      </c>
      <c r="F110" s="634">
        <f>'סיכום לועדה- הזנת נתונים'!G110</f>
        <v>0</v>
      </c>
      <c r="G110" s="146">
        <f t="shared" si="69"/>
        <v>0</v>
      </c>
      <c r="H110" s="432">
        <f t="shared" si="70"/>
        <v>0</v>
      </c>
      <c r="I110" s="433">
        <f t="shared" si="71"/>
        <v>1.0569162232640291E-2</v>
      </c>
      <c r="J110" s="433">
        <f t="shared" si="57"/>
        <v>1.0568980236799154E-2</v>
      </c>
      <c r="K110" s="434">
        <f t="shared" si="72"/>
        <v>0</v>
      </c>
      <c r="L110" s="434">
        <f t="shared" si="73"/>
        <v>0</v>
      </c>
      <c r="M110" s="435">
        <f t="shared" si="74"/>
        <v>1.0569162232640291E-2</v>
      </c>
      <c r="N110" s="435">
        <f t="shared" si="58"/>
        <v>1.0568981415427161E-2</v>
      </c>
      <c r="O110" s="434">
        <f t="shared" si="75"/>
        <v>0</v>
      </c>
      <c r="P110" s="434">
        <f t="shared" si="76"/>
        <v>0</v>
      </c>
      <c r="Q110" s="435">
        <f t="shared" si="77"/>
        <v>1.0569162232640291E-2</v>
      </c>
      <c r="R110" s="435">
        <f t="shared" si="59"/>
        <v>1.0568980236799154E-2</v>
      </c>
      <c r="S110" s="434">
        <f t="shared" si="78"/>
        <v>0</v>
      </c>
      <c r="T110" s="434">
        <f t="shared" si="79"/>
        <v>0</v>
      </c>
      <c r="U110" s="435">
        <f t="shared" si="80"/>
        <v>1.0568980236799154E-2</v>
      </c>
      <c r="V110" s="435">
        <f t="shared" si="60"/>
        <v>1.0568980236799152E-2</v>
      </c>
      <c r="W110" s="434">
        <f t="shared" si="81"/>
        <v>0</v>
      </c>
      <c r="X110" s="434">
        <f t="shared" si="82"/>
        <v>0</v>
      </c>
      <c r="Y110" s="435">
        <f t="shared" si="83"/>
        <v>1.0568980236799152E-2</v>
      </c>
      <c r="Z110" s="435">
        <f t="shared" si="61"/>
        <v>1.0568980236799152E-2</v>
      </c>
      <c r="AA110" s="434">
        <f t="shared" si="84"/>
        <v>0</v>
      </c>
      <c r="AB110" s="434">
        <f t="shared" si="85"/>
        <v>0</v>
      </c>
      <c r="AC110" s="435">
        <f t="shared" si="86"/>
        <v>1.0568980236799152E-2</v>
      </c>
      <c r="AD110" s="435">
        <f t="shared" si="62"/>
        <v>1.0568980236799152E-2</v>
      </c>
      <c r="AE110" s="434">
        <f t="shared" si="87"/>
        <v>0</v>
      </c>
      <c r="AF110" s="434">
        <f t="shared" si="88"/>
        <v>0</v>
      </c>
      <c r="AG110" s="435">
        <f t="shared" si="89"/>
        <v>1.0568980236799152E-2</v>
      </c>
      <c r="AH110" s="435">
        <f t="shared" si="63"/>
        <v>1.0568980236799152E-2</v>
      </c>
      <c r="AI110" s="434">
        <f t="shared" si="90"/>
        <v>0</v>
      </c>
      <c r="AJ110" s="434">
        <f t="shared" si="91"/>
        <v>0</v>
      </c>
      <c r="AK110" s="435">
        <f t="shared" si="92"/>
        <v>1.0568980236799152E-2</v>
      </c>
      <c r="AL110" s="435">
        <f t="shared" si="64"/>
        <v>1.0568980236799152E-2</v>
      </c>
      <c r="AM110" s="434">
        <f t="shared" si="93"/>
        <v>0</v>
      </c>
      <c r="AN110" s="434">
        <f t="shared" si="94"/>
        <v>0</v>
      </c>
      <c r="AO110" s="435">
        <f t="shared" si="95"/>
        <v>1.0568980236799152E-2</v>
      </c>
      <c r="AP110" s="435">
        <f t="shared" si="65"/>
        <v>1.0568980236799152E-2</v>
      </c>
      <c r="AQ110" s="434">
        <f t="shared" si="96"/>
        <v>0</v>
      </c>
      <c r="AR110" s="434">
        <f t="shared" si="97"/>
        <v>0</v>
      </c>
      <c r="AS110" s="435">
        <f t="shared" si="98"/>
        <v>1.0568980236799152E-2</v>
      </c>
      <c r="AT110" s="435">
        <f t="shared" si="66"/>
        <v>1.056898023679915E-2</v>
      </c>
      <c r="AU110" s="436">
        <f t="shared" si="67"/>
        <v>1.0568980236799152E-2</v>
      </c>
      <c r="AV110" s="151">
        <f t="shared" si="99"/>
        <v>85426.572974711657</v>
      </c>
      <c r="BA110" s="18">
        <f t="shared" si="100"/>
        <v>0</v>
      </c>
      <c r="BB110" s="18">
        <f t="shared" si="100"/>
        <v>1</v>
      </c>
      <c r="BD110" s="630">
        <f t="shared" si="101"/>
        <v>1</v>
      </c>
    </row>
    <row r="111" spans="2:56" x14ac:dyDescent="0.25">
      <c r="B111" s="73">
        <f t="shared" si="68"/>
        <v>91</v>
      </c>
      <c r="C111" s="424" t="str">
        <f>ייצוב!C111</f>
        <v>מירב כהן</v>
      </c>
      <c r="D111" s="139">
        <f>IF(ייצוב!K111="","",ייצוב!K111)</f>
        <v>5.126673854207525E-3</v>
      </c>
      <c r="E111" s="139">
        <f>IF(ייצוב!G111="","",ייצוב!G111)</f>
        <v>5.9045883156446047E-3</v>
      </c>
      <c r="F111" s="634">
        <f>'סיכום לועדה- הזנת נתונים'!G111</f>
        <v>1</v>
      </c>
      <c r="G111" s="146">
        <f t="shared" si="69"/>
        <v>0</v>
      </c>
      <c r="H111" s="432">
        <f t="shared" si="70"/>
        <v>0</v>
      </c>
      <c r="I111" s="433">
        <f t="shared" si="71"/>
        <v>5.126673854207525E-3</v>
      </c>
      <c r="J111" s="433">
        <f t="shared" si="57"/>
        <v>5.1265855753733283E-3</v>
      </c>
      <c r="K111" s="434">
        <f t="shared" si="72"/>
        <v>0</v>
      </c>
      <c r="L111" s="434">
        <f t="shared" si="73"/>
        <v>0</v>
      </c>
      <c r="M111" s="435">
        <f t="shared" si="74"/>
        <v>5.126673854207525E-3</v>
      </c>
      <c r="N111" s="435">
        <f t="shared" si="58"/>
        <v>5.1265861470781863E-3</v>
      </c>
      <c r="O111" s="434">
        <f t="shared" si="75"/>
        <v>0</v>
      </c>
      <c r="P111" s="434">
        <f t="shared" si="76"/>
        <v>0</v>
      </c>
      <c r="Q111" s="435">
        <f t="shared" si="77"/>
        <v>5.126673854207525E-3</v>
      </c>
      <c r="R111" s="435">
        <f t="shared" si="59"/>
        <v>5.1265855753733283E-3</v>
      </c>
      <c r="S111" s="434">
        <f t="shared" si="78"/>
        <v>0</v>
      </c>
      <c r="T111" s="434">
        <f t="shared" si="79"/>
        <v>0</v>
      </c>
      <c r="U111" s="435">
        <f t="shared" si="80"/>
        <v>5.1265855753733283E-3</v>
      </c>
      <c r="V111" s="435">
        <f t="shared" si="60"/>
        <v>5.1265855753733275E-3</v>
      </c>
      <c r="W111" s="434">
        <f t="shared" si="81"/>
        <v>0</v>
      </c>
      <c r="X111" s="434">
        <f t="shared" si="82"/>
        <v>0</v>
      </c>
      <c r="Y111" s="435">
        <f t="shared" si="83"/>
        <v>5.1265855753733275E-3</v>
      </c>
      <c r="Z111" s="435">
        <f t="shared" si="61"/>
        <v>5.1265855753733275E-3</v>
      </c>
      <c r="AA111" s="434">
        <f t="shared" si="84"/>
        <v>0</v>
      </c>
      <c r="AB111" s="434">
        <f t="shared" si="85"/>
        <v>0</v>
      </c>
      <c r="AC111" s="435">
        <f t="shared" si="86"/>
        <v>5.1265855753733275E-3</v>
      </c>
      <c r="AD111" s="435">
        <f t="shared" si="62"/>
        <v>5.1265855753733275E-3</v>
      </c>
      <c r="AE111" s="434">
        <f t="shared" si="87"/>
        <v>0</v>
      </c>
      <c r="AF111" s="434">
        <f t="shared" si="88"/>
        <v>0</v>
      </c>
      <c r="AG111" s="435">
        <f t="shared" si="89"/>
        <v>5.1265855753733275E-3</v>
      </c>
      <c r="AH111" s="435">
        <f t="shared" si="63"/>
        <v>5.1265855753733275E-3</v>
      </c>
      <c r="AI111" s="434">
        <f t="shared" si="90"/>
        <v>0</v>
      </c>
      <c r="AJ111" s="434">
        <f t="shared" si="91"/>
        <v>0</v>
      </c>
      <c r="AK111" s="435">
        <f t="shared" si="92"/>
        <v>5.1265855753733275E-3</v>
      </c>
      <c r="AL111" s="435">
        <f t="shared" si="64"/>
        <v>5.1265855753733275E-3</v>
      </c>
      <c r="AM111" s="434">
        <f t="shared" si="93"/>
        <v>0</v>
      </c>
      <c r="AN111" s="434">
        <f t="shared" si="94"/>
        <v>0</v>
      </c>
      <c r="AO111" s="435">
        <f t="shared" si="95"/>
        <v>5.1265855753733275E-3</v>
      </c>
      <c r="AP111" s="435">
        <f t="shared" si="65"/>
        <v>5.1265855753733275E-3</v>
      </c>
      <c r="AQ111" s="434">
        <f t="shared" si="96"/>
        <v>0</v>
      </c>
      <c r="AR111" s="434">
        <f t="shared" si="97"/>
        <v>0</v>
      </c>
      <c r="AS111" s="435">
        <f t="shared" si="98"/>
        <v>5.1265855753733275E-3</v>
      </c>
      <c r="AT111" s="435">
        <f t="shared" si="66"/>
        <v>5.1265855753733266E-3</v>
      </c>
      <c r="AU111" s="436">
        <f t="shared" si="67"/>
        <v>5.1265855753733275E-3</v>
      </c>
      <c r="AV111" s="151">
        <f t="shared" si="99"/>
        <v>41436.98133154682</v>
      </c>
      <c r="BA111" s="18">
        <f t="shared" si="100"/>
        <v>0</v>
      </c>
      <c r="BB111" s="18">
        <f t="shared" si="100"/>
        <v>1</v>
      </c>
      <c r="BD111" s="630">
        <f t="shared" si="101"/>
        <v>1</v>
      </c>
    </row>
    <row r="112" spans="2:56" x14ac:dyDescent="0.25">
      <c r="B112" s="73">
        <f t="shared" si="68"/>
        <v>92</v>
      </c>
      <c r="C112" s="424" t="str">
        <f>ייצוב!C112</f>
        <v>קים טייטלבאום</v>
      </c>
      <c r="D112" s="139">
        <f>IF(ייצוב!K112="","",ייצוב!K112)</f>
        <v>5.8538321915341104E-3</v>
      </c>
      <c r="E112" s="139">
        <f>IF(ייצוב!G112="","",ייצוב!G112)</f>
        <v>6.4663894797451936E-3</v>
      </c>
      <c r="F112" s="634">
        <f>'סיכום לועדה- הזנת נתונים'!G112</f>
        <v>0</v>
      </c>
      <c r="G112" s="146">
        <f t="shared" si="69"/>
        <v>0</v>
      </c>
      <c r="H112" s="432">
        <f t="shared" si="70"/>
        <v>0</v>
      </c>
      <c r="I112" s="433">
        <f t="shared" si="71"/>
        <v>5.8538321915341104E-3</v>
      </c>
      <c r="J112" s="433">
        <f t="shared" si="57"/>
        <v>5.8537313913864623E-3</v>
      </c>
      <c r="K112" s="434">
        <f t="shared" si="72"/>
        <v>0</v>
      </c>
      <c r="L112" s="434">
        <f t="shared" si="73"/>
        <v>0</v>
      </c>
      <c r="M112" s="435">
        <f t="shared" si="74"/>
        <v>5.8538321915341104E-3</v>
      </c>
      <c r="N112" s="435">
        <f t="shared" si="58"/>
        <v>5.8537320441809241E-3</v>
      </c>
      <c r="O112" s="434">
        <f t="shared" si="75"/>
        <v>0</v>
      </c>
      <c r="P112" s="434">
        <f t="shared" si="76"/>
        <v>0</v>
      </c>
      <c r="Q112" s="435">
        <f t="shared" si="77"/>
        <v>5.8538321915341104E-3</v>
      </c>
      <c r="R112" s="435">
        <f t="shared" si="59"/>
        <v>5.8537313913864623E-3</v>
      </c>
      <c r="S112" s="434">
        <f t="shared" si="78"/>
        <v>0</v>
      </c>
      <c r="T112" s="434">
        <f t="shared" si="79"/>
        <v>0</v>
      </c>
      <c r="U112" s="435">
        <f t="shared" si="80"/>
        <v>5.8537313913864623E-3</v>
      </c>
      <c r="V112" s="435">
        <f t="shared" si="60"/>
        <v>5.8537313913864615E-3</v>
      </c>
      <c r="W112" s="434">
        <f t="shared" si="81"/>
        <v>0</v>
      </c>
      <c r="X112" s="434">
        <f t="shared" si="82"/>
        <v>0</v>
      </c>
      <c r="Y112" s="435">
        <f t="shared" si="83"/>
        <v>5.8537313913864615E-3</v>
      </c>
      <c r="Z112" s="435">
        <f t="shared" si="61"/>
        <v>5.8537313913864615E-3</v>
      </c>
      <c r="AA112" s="434">
        <f t="shared" si="84"/>
        <v>0</v>
      </c>
      <c r="AB112" s="434">
        <f t="shared" si="85"/>
        <v>0</v>
      </c>
      <c r="AC112" s="435">
        <f t="shared" si="86"/>
        <v>5.8537313913864615E-3</v>
      </c>
      <c r="AD112" s="435">
        <f t="shared" si="62"/>
        <v>5.8537313913864615E-3</v>
      </c>
      <c r="AE112" s="434">
        <f t="shared" si="87"/>
        <v>0</v>
      </c>
      <c r="AF112" s="434">
        <f t="shared" si="88"/>
        <v>0</v>
      </c>
      <c r="AG112" s="435">
        <f t="shared" si="89"/>
        <v>5.8537313913864615E-3</v>
      </c>
      <c r="AH112" s="435">
        <f t="shared" si="63"/>
        <v>5.8537313913864615E-3</v>
      </c>
      <c r="AI112" s="434">
        <f t="shared" si="90"/>
        <v>0</v>
      </c>
      <c r="AJ112" s="434">
        <f t="shared" si="91"/>
        <v>0</v>
      </c>
      <c r="AK112" s="435">
        <f t="shared" si="92"/>
        <v>5.8537313913864615E-3</v>
      </c>
      <c r="AL112" s="435">
        <f t="shared" si="64"/>
        <v>5.8537313913864615E-3</v>
      </c>
      <c r="AM112" s="434">
        <f t="shared" si="93"/>
        <v>0</v>
      </c>
      <c r="AN112" s="434">
        <f t="shared" si="94"/>
        <v>0</v>
      </c>
      <c r="AO112" s="435">
        <f t="shared" si="95"/>
        <v>5.8537313913864615E-3</v>
      </c>
      <c r="AP112" s="435">
        <f t="shared" si="65"/>
        <v>5.8537313913864615E-3</v>
      </c>
      <c r="AQ112" s="434">
        <f t="shared" si="96"/>
        <v>0</v>
      </c>
      <c r="AR112" s="434">
        <f t="shared" si="97"/>
        <v>0</v>
      </c>
      <c r="AS112" s="435">
        <f t="shared" si="98"/>
        <v>5.8537313913864615E-3</v>
      </c>
      <c r="AT112" s="435">
        <f t="shared" si="66"/>
        <v>5.8537313913864615E-3</v>
      </c>
      <c r="AU112" s="436">
        <f t="shared" si="67"/>
        <v>5.8537313913864623E-3</v>
      </c>
      <c r="AV112" s="151">
        <f t="shared" si="99"/>
        <v>47314.32935596841</v>
      </c>
      <c r="BA112" s="18">
        <f t="shared" si="100"/>
        <v>0</v>
      </c>
      <c r="BB112" s="18">
        <f t="shared" si="100"/>
        <v>1</v>
      </c>
      <c r="BD112" s="630">
        <f t="shared" si="101"/>
        <v>1</v>
      </c>
    </row>
    <row r="113" spans="2:56" x14ac:dyDescent="0.25">
      <c r="B113" s="73" t="str">
        <f t="shared" si="68"/>
        <v/>
      </c>
      <c r="C113" s="424" t="str">
        <f>ייצוב!C113</f>
        <v/>
      </c>
      <c r="D113" s="139" t="str">
        <f>IF(ייצוב!K113="","",ייצוב!K113)</f>
        <v/>
      </c>
      <c r="E113" s="139" t="str">
        <f>IF(ייצוב!G113="","",ייצוב!G113)</f>
        <v/>
      </c>
      <c r="F113" s="634" t="str">
        <f>'סיכום לועדה- הזנת נתונים'!G113</f>
        <v/>
      </c>
      <c r="G113" s="146" t="str">
        <f t="shared" ref="G113:G132" si="102">IF($C113="","",IF(OR(D113="",E113="",BD113&lt;&gt;1),$BA$1,IF($D113&lt;$E113*$E$6,1,0)))</f>
        <v/>
      </c>
      <c r="H113" s="432" t="str">
        <f t="shared" ref="H113:H132" si="103">IF($C113="","",IF(G113+$F113=2,1,0))</f>
        <v/>
      </c>
      <c r="I113" s="433" t="str">
        <f t="shared" ref="I113:I132" si="104">IF($C113="","",IF(H113=1,$E113*$E$6,$D113))</f>
        <v/>
      </c>
      <c r="J113" s="433" t="str">
        <f t="shared" ref="J113:J132" si="105">IF(G113="","",IF(H113=1,I113,I113/SUMIF(H$21:H$132,"&lt;&gt;1",I$21:I$132)*(1-SUMIF(H$21:H$132,"=1",I$21:I$132))))</f>
        <v/>
      </c>
      <c r="K113" s="434" t="str">
        <f t="shared" ref="K113:K132" si="106">IF($C113="","",IF(J113&lt;$E113*$E$6,1,0))</f>
        <v/>
      </c>
      <c r="L113" s="434" t="str">
        <f t="shared" ref="L113:L132" si="107">IF($C113="","",IF(K113+$F113=2,1,0))</f>
        <v/>
      </c>
      <c r="M113" s="435" t="str">
        <f t="shared" ref="M113:M132" si="108">IF($C113="","",IF(L113=1,$E113*$E$6,$I113))</f>
        <v/>
      </c>
      <c r="N113" s="435" t="str">
        <f t="shared" ref="N113:N132" si="109">IF(K113="","",IF(L113=1,M113,M113/SUMIF(L$21:L$132,"&lt;&gt;1",M$21:M$132)*(1-SUMIF(L$21:L$132,"=1",M$21:M$132))))</f>
        <v/>
      </c>
      <c r="O113" s="434" t="str">
        <f t="shared" ref="O113:O132" si="110">IF($C113="","",IF(N113&lt;$E113*$E$6,1,0))</f>
        <v/>
      </c>
      <c r="P113" s="434" t="str">
        <f t="shared" ref="P113:P132" si="111">IF($C113="","",IF(O113+$F113=2,1,0))</f>
        <v/>
      </c>
      <c r="Q113" s="435" t="str">
        <f t="shared" ref="Q113:Q132" si="112">IF($C113="","",IF(P113=1,$E113*$E$6,$M113))</f>
        <v/>
      </c>
      <c r="R113" s="435" t="str">
        <f t="shared" ref="R113:R132" si="113">IF(O113="","",IF(P113=1,Q113,Q113/SUMIF(P$21:P$132,"&lt;&gt;1",Q$21:Q$132)*(1-SUMIF(P$21:P$132,"=1",Q$21:Q$132))))</f>
        <v/>
      </c>
      <c r="S113" s="434" t="str">
        <f t="shared" ref="S113:S132" si="114">IF($C113="","",IF(R113&lt;$E113*$E$6,1,0))</f>
        <v/>
      </c>
      <c r="T113" s="434" t="str">
        <f t="shared" ref="T113:T132" si="115">IF($C113="","",IF(S113+$F113=2,1,0))</f>
        <v/>
      </c>
      <c r="U113" s="435" t="str">
        <f t="shared" ref="U113:U132" si="116">IF($C113="","",IF(T113=1,$E113*$E$6,R113))</f>
        <v/>
      </c>
      <c r="V113" s="435" t="str">
        <f t="shared" ref="V113:V132" si="117">IF(S113="","",IF(T113=1,U113,U113/SUMIF(T$21:T$132,"&lt;&gt;1",U$21:U$132)*(1-SUMIF(T$21:T$132,"=1",U$21:U$132))))</f>
        <v/>
      </c>
      <c r="W113" s="434" t="str">
        <f t="shared" ref="W113:W132" si="118">IF($C113="","",IF(V113&lt;$E113*$E$6,1,0))</f>
        <v/>
      </c>
      <c r="X113" s="434" t="str">
        <f t="shared" ref="X113:X132" si="119">IF($C113="","",IF(W113+$F113=2,1,0))</f>
        <v/>
      </c>
      <c r="Y113" s="435" t="str">
        <f t="shared" ref="Y113:Y132" si="120">IF($C113="","",IF(X113=1,$E113*$E$6,V113))</f>
        <v/>
      </c>
      <c r="Z113" s="435" t="str">
        <f t="shared" ref="Z113:Z132" si="121">IF(W113="","",IF(X113=1,Y113,Y113/SUMIF(X$21:X$132,"&lt;&gt;1",Y$21:Y$132)*(1-SUMIF(X$21:X$132,"=1",Y$21:Y$132))))</f>
        <v/>
      </c>
      <c r="AA113" s="434" t="str">
        <f t="shared" ref="AA113:AA132" si="122">IF($C113="","",IF(Z113&lt;$E113*$E$6,1,0))</f>
        <v/>
      </c>
      <c r="AB113" s="434" t="str">
        <f t="shared" ref="AB113:AB132" si="123">IF($C113="","",IF(AA113+$F113=2,1,0))</f>
        <v/>
      </c>
      <c r="AC113" s="435" t="str">
        <f t="shared" ref="AC113:AC132" si="124">IF($C113="","",IF(AB113=1,$E113*$E$6,Z113))</f>
        <v/>
      </c>
      <c r="AD113" s="435" t="str">
        <f t="shared" ref="AD113:AD132" si="125">IF(AA113="","",IF(AB113=1,AC113,AC113/SUMIF(AB$21:AB$132,"&lt;&gt;1",AC$21:AC$132)*(1-SUMIF(AB$21:AB$132,"=1",AC$21:AC$132))))</f>
        <v/>
      </c>
      <c r="AE113" s="434" t="str">
        <f t="shared" ref="AE113:AE132" si="126">IF($C113="","",IF(AD113&lt;$E113*$E$6,1,0))</f>
        <v/>
      </c>
      <c r="AF113" s="434" t="str">
        <f t="shared" ref="AF113:AF132" si="127">IF($C113="","",IF(AE113+$F113=2,1,0))</f>
        <v/>
      </c>
      <c r="AG113" s="435" t="str">
        <f t="shared" ref="AG113:AG132" si="128">IF($C113="","",IF(AF113=1,$E113*$E$6,AD113))</f>
        <v/>
      </c>
      <c r="AH113" s="435" t="str">
        <f t="shared" ref="AH113:AH132" si="129">IF(AE113="","",IF(AF113=1,AG113,AG113/SUMIF(AF$21:AF$132,"&lt;&gt;1",AG$21:AG$132)*(1-SUMIF(AF$21:AF$132,"=1",AG$21:AG$132))))</f>
        <v/>
      </c>
      <c r="AI113" s="434" t="str">
        <f t="shared" ref="AI113:AI132" si="130">IF($C113="","",IF(AH113&lt;$E113*$E$6,1,0))</f>
        <v/>
      </c>
      <c r="AJ113" s="434" t="str">
        <f t="shared" ref="AJ113:AJ132" si="131">IF($C113="","",IF(AI113+$F113=2,1,0))</f>
        <v/>
      </c>
      <c r="AK113" s="435" t="str">
        <f t="shared" ref="AK113:AK132" si="132">IF($C113="","",IF(AJ113=1,$E113*$E$6,AH113))</f>
        <v/>
      </c>
      <c r="AL113" s="435" t="str">
        <f t="shared" ref="AL113:AL132" si="133">IF(AI113="","",IF(AJ113=1,AK113,AK113/SUMIF(AJ$21:AJ$132,"&lt;&gt;1",AK$21:AK$132)*(1-SUMIF(AJ$21:AJ$132,"=1",AK$21:AK$132))))</f>
        <v/>
      </c>
      <c r="AM113" s="434" t="str">
        <f t="shared" ref="AM113:AM132" si="134">IF($C113="","",IF(AL113&lt;$E113*$E$6,1,0))</f>
        <v/>
      </c>
      <c r="AN113" s="434" t="str">
        <f t="shared" ref="AN113:AN132" si="135">IF($C113="","",IF(AM113+$F113=2,1,0))</f>
        <v/>
      </c>
      <c r="AO113" s="435" t="str">
        <f t="shared" ref="AO113:AO132" si="136">IF($C113="","",IF(AN113=1,$E113*$E$6,AL113))</f>
        <v/>
      </c>
      <c r="AP113" s="435" t="str">
        <f t="shared" ref="AP113:AP132" si="137">IF(AM113="","",IF(AN113=1,AO113,AO113/SUMIF(AN$21:AN$132,"&lt;&gt;1",AO$21:AO$132)*(1-SUMIF(AN$21:AN$132,"=1",AO$21:AO$132))))</f>
        <v/>
      </c>
      <c r="AQ113" s="434" t="str">
        <f t="shared" ref="AQ113:AQ132" si="138">IF($C113="","",IF(OR(AP113&lt;$E113*$E$6,AN113=1,AJ113=1,AF113=1,AB113=1,X113=1,T113=1,P113=1,L113=1,H113=1),1,0))</f>
        <v/>
      </c>
      <c r="AR113" s="434" t="str">
        <f t="shared" ref="AR113:AR132" si="139">IF($C113="","",IF(AQ113+$F113=2,1,0))</f>
        <v/>
      </c>
      <c r="AS113" s="435" t="str">
        <f t="shared" ref="AS113:AS132" si="140">IF($C113="","",IF(AR113=1,$E113*$E$6,AP113))</f>
        <v/>
      </c>
      <c r="AT113" s="435" t="str">
        <f t="shared" ref="AT113:AT132" si="141">IF(AQ113="","",IF(AR113=1,AS113,AS113/SUMIF(AR$21:AR$132,"&lt;&gt;1",AS$21:AS$132)*(1-SUMIF(AR$21:AR$132,"=1",AS$21:AS$132))))</f>
        <v/>
      </c>
      <c r="AU113" s="436" t="str">
        <f t="shared" ref="AU113:AU132" si="142">IF(C113="","",IFERROR(AT113/SUM($AT$21:$AT$132),$BA$1))</f>
        <v/>
      </c>
      <c r="AV113" s="151" t="str">
        <f t="shared" ref="AV113" si="143">IF(C113="","",IFERROR(AU113*$C$2,$BA$1))</f>
        <v/>
      </c>
      <c r="BA113" s="18" t="str">
        <f t="shared" si="100"/>
        <v/>
      </c>
      <c r="BB113" s="18" t="str">
        <f t="shared" si="100"/>
        <v/>
      </c>
      <c r="BD113" s="630">
        <f t="shared" si="101"/>
        <v>0</v>
      </c>
    </row>
    <row r="114" spans="2:56" x14ac:dyDescent="0.25">
      <c r="B114" s="73">
        <f t="shared" si="68"/>
        <v>94</v>
      </c>
      <c r="C114" s="424" t="str">
        <f>ייצוב!C114</f>
        <v>מאי זרחי</v>
      </c>
      <c r="D114" s="139">
        <f>IF(ייצוב!K114="","",ייצוב!K114)</f>
        <v>5.7668637239978509E-3</v>
      </c>
      <c r="E114" s="139">
        <f>IF(ייצוב!G114="","",ייצוב!G114)</f>
        <v>0</v>
      </c>
      <c r="F114" s="634">
        <f>'סיכום לועדה- הזנת נתונים'!G114</f>
        <v>1</v>
      </c>
      <c r="G114" s="146">
        <f t="shared" si="102"/>
        <v>0</v>
      </c>
      <c r="H114" s="432">
        <f t="shared" si="103"/>
        <v>0</v>
      </c>
      <c r="I114" s="433">
        <f t="shared" si="104"/>
        <v>5.7668637239978509E-3</v>
      </c>
      <c r="J114" s="433">
        <f t="shared" si="105"/>
        <v>5.7667644214049801E-3</v>
      </c>
      <c r="K114" s="434">
        <f t="shared" si="106"/>
        <v>0</v>
      </c>
      <c r="L114" s="434">
        <f t="shared" si="107"/>
        <v>0</v>
      </c>
      <c r="M114" s="435">
        <f t="shared" si="108"/>
        <v>5.7668637239978509E-3</v>
      </c>
      <c r="N114" s="435">
        <f t="shared" si="109"/>
        <v>5.7667650645010895E-3</v>
      </c>
      <c r="O114" s="434">
        <f t="shared" si="110"/>
        <v>0</v>
      </c>
      <c r="P114" s="434">
        <f t="shared" si="111"/>
        <v>0</v>
      </c>
      <c r="Q114" s="435">
        <f t="shared" si="112"/>
        <v>5.7668637239978509E-3</v>
      </c>
      <c r="R114" s="435">
        <f t="shared" si="113"/>
        <v>5.7667644214049801E-3</v>
      </c>
      <c r="S114" s="434">
        <f t="shared" si="114"/>
        <v>0</v>
      </c>
      <c r="T114" s="434">
        <f t="shared" si="115"/>
        <v>0</v>
      </c>
      <c r="U114" s="435">
        <f t="shared" si="116"/>
        <v>5.7667644214049801E-3</v>
      </c>
      <c r="V114" s="435">
        <f t="shared" si="117"/>
        <v>5.7667644214049792E-3</v>
      </c>
      <c r="W114" s="434">
        <f t="shared" si="118"/>
        <v>0</v>
      </c>
      <c r="X114" s="434">
        <f t="shared" si="119"/>
        <v>0</v>
      </c>
      <c r="Y114" s="435">
        <f t="shared" si="120"/>
        <v>5.7667644214049792E-3</v>
      </c>
      <c r="Z114" s="435">
        <f t="shared" si="121"/>
        <v>5.7667644214049792E-3</v>
      </c>
      <c r="AA114" s="434">
        <f t="shared" si="122"/>
        <v>0</v>
      </c>
      <c r="AB114" s="434">
        <f t="shared" si="123"/>
        <v>0</v>
      </c>
      <c r="AC114" s="435">
        <f t="shared" si="124"/>
        <v>5.7667644214049792E-3</v>
      </c>
      <c r="AD114" s="435">
        <f t="shared" si="125"/>
        <v>5.7667644214049792E-3</v>
      </c>
      <c r="AE114" s="434">
        <f t="shared" si="126"/>
        <v>0</v>
      </c>
      <c r="AF114" s="434">
        <f t="shared" si="127"/>
        <v>0</v>
      </c>
      <c r="AG114" s="435">
        <f t="shared" si="128"/>
        <v>5.7667644214049792E-3</v>
      </c>
      <c r="AH114" s="435">
        <f t="shared" si="129"/>
        <v>5.7667644214049792E-3</v>
      </c>
      <c r="AI114" s="434">
        <f t="shared" si="130"/>
        <v>0</v>
      </c>
      <c r="AJ114" s="434">
        <f t="shared" si="131"/>
        <v>0</v>
      </c>
      <c r="AK114" s="435">
        <f t="shared" si="132"/>
        <v>5.7667644214049792E-3</v>
      </c>
      <c r="AL114" s="435">
        <f t="shared" si="133"/>
        <v>5.7667644214049792E-3</v>
      </c>
      <c r="AM114" s="434">
        <f t="shared" si="134"/>
        <v>0</v>
      </c>
      <c r="AN114" s="434">
        <f t="shared" si="135"/>
        <v>0</v>
      </c>
      <c r="AO114" s="435">
        <f t="shared" si="136"/>
        <v>5.7667644214049792E-3</v>
      </c>
      <c r="AP114" s="435">
        <f t="shared" si="137"/>
        <v>5.7667644214049792E-3</v>
      </c>
      <c r="AQ114" s="434">
        <f t="shared" si="138"/>
        <v>0</v>
      </c>
      <c r="AR114" s="434">
        <f t="shared" si="139"/>
        <v>0</v>
      </c>
      <c r="AS114" s="435">
        <f t="shared" si="140"/>
        <v>5.7667644214049792E-3</v>
      </c>
      <c r="AT114" s="435">
        <f t="shared" si="141"/>
        <v>5.7667644214049784E-3</v>
      </c>
      <c r="AU114" s="436">
        <f t="shared" si="142"/>
        <v>5.7667644214049792E-3</v>
      </c>
      <c r="AV114" s="151">
        <f t="shared" ref="AV114:AV132" si="144">IF(C114="","",IFERROR(AU114*$C$2,$BA$1))</f>
        <v>46611.395861812998</v>
      </c>
      <c r="BA114" s="18">
        <f t="shared" si="100"/>
        <v>0</v>
      </c>
      <c r="BB114" s="18">
        <f t="shared" si="100"/>
        <v>1</v>
      </c>
      <c r="BD114" s="630">
        <f t="shared" ref="BD114:BD132" si="145">IF(F114="",0,IF(ISERROR(MATCH(F114,$BA$20:$BB$20,0)),0,1))</f>
        <v>1</v>
      </c>
    </row>
    <row r="115" spans="2:56" x14ac:dyDescent="0.25">
      <c r="B115" s="73">
        <f t="shared" si="68"/>
        <v>95</v>
      </c>
      <c r="C115" s="424" t="str">
        <f>ייצוב!C115</f>
        <v>דנה מרכוס</v>
      </c>
      <c r="D115" s="139">
        <f>IF(ייצוב!K115="","",ייצוב!K115)</f>
        <v>6.9545383214159638E-3</v>
      </c>
      <c r="E115" s="139">
        <f>IF(ייצוב!G115="","",ייצוב!G115)</f>
        <v>6.992022053863743E-3</v>
      </c>
      <c r="F115" s="634">
        <f>'סיכום לועדה- הזנת נתונים'!G115</f>
        <v>0</v>
      </c>
      <c r="G115" s="146">
        <f t="shared" si="102"/>
        <v>0</v>
      </c>
      <c r="H115" s="432">
        <f t="shared" si="103"/>
        <v>0</v>
      </c>
      <c r="I115" s="433">
        <f t="shared" si="104"/>
        <v>6.9545383214159638E-3</v>
      </c>
      <c r="J115" s="433">
        <f t="shared" si="105"/>
        <v>6.9544185676432748E-3</v>
      </c>
      <c r="K115" s="434">
        <f t="shared" si="106"/>
        <v>0</v>
      </c>
      <c r="L115" s="434">
        <f t="shared" si="107"/>
        <v>0</v>
      </c>
      <c r="M115" s="435">
        <f t="shared" si="108"/>
        <v>6.9545383214159638E-3</v>
      </c>
      <c r="N115" s="435">
        <f t="shared" si="109"/>
        <v>6.9544193431838016E-3</v>
      </c>
      <c r="O115" s="434">
        <f t="shared" si="110"/>
        <v>0</v>
      </c>
      <c r="P115" s="434">
        <f t="shared" si="111"/>
        <v>0</v>
      </c>
      <c r="Q115" s="435">
        <f t="shared" si="112"/>
        <v>6.9545383214159638E-3</v>
      </c>
      <c r="R115" s="435">
        <f t="shared" si="113"/>
        <v>6.9544185676432748E-3</v>
      </c>
      <c r="S115" s="434">
        <f t="shared" si="114"/>
        <v>0</v>
      </c>
      <c r="T115" s="434">
        <f t="shared" si="115"/>
        <v>0</v>
      </c>
      <c r="U115" s="435">
        <f t="shared" si="116"/>
        <v>6.9544185676432748E-3</v>
      </c>
      <c r="V115" s="435">
        <f t="shared" si="117"/>
        <v>6.9544185676432731E-3</v>
      </c>
      <c r="W115" s="434">
        <f t="shared" si="118"/>
        <v>0</v>
      </c>
      <c r="X115" s="434">
        <f t="shared" si="119"/>
        <v>0</v>
      </c>
      <c r="Y115" s="435">
        <f t="shared" si="120"/>
        <v>6.9544185676432731E-3</v>
      </c>
      <c r="Z115" s="435">
        <f t="shared" si="121"/>
        <v>6.9544185676432731E-3</v>
      </c>
      <c r="AA115" s="434">
        <f t="shared" si="122"/>
        <v>0</v>
      </c>
      <c r="AB115" s="434">
        <f t="shared" si="123"/>
        <v>0</v>
      </c>
      <c r="AC115" s="435">
        <f t="shared" si="124"/>
        <v>6.9544185676432731E-3</v>
      </c>
      <c r="AD115" s="435">
        <f t="shared" si="125"/>
        <v>6.9544185676432731E-3</v>
      </c>
      <c r="AE115" s="434">
        <f t="shared" si="126"/>
        <v>0</v>
      </c>
      <c r="AF115" s="434">
        <f t="shared" si="127"/>
        <v>0</v>
      </c>
      <c r="AG115" s="435">
        <f t="shared" si="128"/>
        <v>6.9544185676432731E-3</v>
      </c>
      <c r="AH115" s="435">
        <f t="shared" si="129"/>
        <v>6.9544185676432731E-3</v>
      </c>
      <c r="AI115" s="434">
        <f t="shared" si="130"/>
        <v>0</v>
      </c>
      <c r="AJ115" s="434">
        <f t="shared" si="131"/>
        <v>0</v>
      </c>
      <c r="AK115" s="435">
        <f t="shared" si="132"/>
        <v>6.9544185676432731E-3</v>
      </c>
      <c r="AL115" s="435">
        <f t="shared" si="133"/>
        <v>6.9544185676432731E-3</v>
      </c>
      <c r="AM115" s="434">
        <f t="shared" si="134"/>
        <v>0</v>
      </c>
      <c r="AN115" s="434">
        <f t="shared" si="135"/>
        <v>0</v>
      </c>
      <c r="AO115" s="435">
        <f t="shared" si="136"/>
        <v>6.9544185676432731E-3</v>
      </c>
      <c r="AP115" s="435">
        <f t="shared" si="137"/>
        <v>6.9544185676432731E-3</v>
      </c>
      <c r="AQ115" s="434">
        <f t="shared" si="138"/>
        <v>0</v>
      </c>
      <c r="AR115" s="434">
        <f t="shared" si="139"/>
        <v>0</v>
      </c>
      <c r="AS115" s="435">
        <f t="shared" si="140"/>
        <v>6.9544185676432731E-3</v>
      </c>
      <c r="AT115" s="435">
        <f t="shared" si="141"/>
        <v>6.9544185676432722E-3</v>
      </c>
      <c r="AU115" s="436">
        <f t="shared" si="142"/>
        <v>6.9544185676432739E-3</v>
      </c>
      <c r="AV115" s="151">
        <f t="shared" si="144"/>
        <v>56210.924039478617</v>
      </c>
      <c r="BA115" s="18">
        <f t="shared" si="100"/>
        <v>0</v>
      </c>
      <c r="BB115" s="18">
        <f t="shared" si="100"/>
        <v>1</v>
      </c>
      <c r="BD115" s="630">
        <f t="shared" si="145"/>
        <v>1</v>
      </c>
    </row>
    <row r="116" spans="2:56" x14ac:dyDescent="0.25">
      <c r="B116" s="73" t="str">
        <f t="shared" si="68"/>
        <v/>
      </c>
      <c r="C116" s="424" t="str">
        <f>ייצוב!C116</f>
        <v/>
      </c>
      <c r="D116" s="139" t="str">
        <f>IF(ייצוב!K116="","",ייצוב!K116)</f>
        <v/>
      </c>
      <c r="E116" s="139" t="str">
        <f>IF(ייצוב!G116="","",ייצוב!G116)</f>
        <v/>
      </c>
      <c r="F116" s="634" t="str">
        <f>'סיכום לועדה- הזנת נתונים'!G116</f>
        <v/>
      </c>
      <c r="G116" s="146" t="str">
        <f t="shared" si="102"/>
        <v/>
      </c>
      <c r="H116" s="432" t="str">
        <f t="shared" si="103"/>
        <v/>
      </c>
      <c r="I116" s="433" t="str">
        <f t="shared" si="104"/>
        <v/>
      </c>
      <c r="J116" s="433" t="str">
        <f t="shared" si="105"/>
        <v/>
      </c>
      <c r="K116" s="434" t="str">
        <f t="shared" si="106"/>
        <v/>
      </c>
      <c r="L116" s="434" t="str">
        <f t="shared" si="107"/>
        <v/>
      </c>
      <c r="M116" s="435" t="str">
        <f t="shared" si="108"/>
        <v/>
      </c>
      <c r="N116" s="435" t="str">
        <f t="shared" si="109"/>
        <v/>
      </c>
      <c r="O116" s="434" t="str">
        <f t="shared" si="110"/>
        <v/>
      </c>
      <c r="P116" s="434" t="str">
        <f t="shared" si="111"/>
        <v/>
      </c>
      <c r="Q116" s="435" t="str">
        <f t="shared" si="112"/>
        <v/>
      </c>
      <c r="R116" s="435" t="str">
        <f t="shared" si="113"/>
        <v/>
      </c>
      <c r="S116" s="434" t="str">
        <f t="shared" si="114"/>
        <v/>
      </c>
      <c r="T116" s="434" t="str">
        <f t="shared" si="115"/>
        <v/>
      </c>
      <c r="U116" s="435" t="str">
        <f t="shared" si="116"/>
        <v/>
      </c>
      <c r="V116" s="435" t="str">
        <f t="shared" si="117"/>
        <v/>
      </c>
      <c r="W116" s="434" t="str">
        <f t="shared" si="118"/>
        <v/>
      </c>
      <c r="X116" s="434" t="str">
        <f t="shared" si="119"/>
        <v/>
      </c>
      <c r="Y116" s="435" t="str">
        <f t="shared" si="120"/>
        <v/>
      </c>
      <c r="Z116" s="435" t="str">
        <f t="shared" si="121"/>
        <v/>
      </c>
      <c r="AA116" s="434" t="str">
        <f t="shared" si="122"/>
        <v/>
      </c>
      <c r="AB116" s="434" t="str">
        <f t="shared" si="123"/>
        <v/>
      </c>
      <c r="AC116" s="435" t="str">
        <f t="shared" si="124"/>
        <v/>
      </c>
      <c r="AD116" s="435" t="str">
        <f t="shared" si="125"/>
        <v/>
      </c>
      <c r="AE116" s="434" t="str">
        <f t="shared" si="126"/>
        <v/>
      </c>
      <c r="AF116" s="434" t="str">
        <f t="shared" si="127"/>
        <v/>
      </c>
      <c r="AG116" s="435" t="str">
        <f t="shared" si="128"/>
        <v/>
      </c>
      <c r="AH116" s="435" t="str">
        <f t="shared" si="129"/>
        <v/>
      </c>
      <c r="AI116" s="434" t="str">
        <f t="shared" si="130"/>
        <v/>
      </c>
      <c r="AJ116" s="434" t="str">
        <f t="shared" si="131"/>
        <v/>
      </c>
      <c r="AK116" s="435" t="str">
        <f t="shared" si="132"/>
        <v/>
      </c>
      <c r="AL116" s="435" t="str">
        <f t="shared" si="133"/>
        <v/>
      </c>
      <c r="AM116" s="434" t="str">
        <f t="shared" si="134"/>
        <v/>
      </c>
      <c r="AN116" s="434" t="str">
        <f t="shared" si="135"/>
        <v/>
      </c>
      <c r="AO116" s="435" t="str">
        <f t="shared" si="136"/>
        <v/>
      </c>
      <c r="AP116" s="435" t="str">
        <f t="shared" si="137"/>
        <v/>
      </c>
      <c r="AQ116" s="434" t="str">
        <f t="shared" si="138"/>
        <v/>
      </c>
      <c r="AR116" s="434" t="str">
        <f t="shared" si="139"/>
        <v/>
      </c>
      <c r="AS116" s="435" t="str">
        <f t="shared" si="140"/>
        <v/>
      </c>
      <c r="AT116" s="435" t="str">
        <f t="shared" si="141"/>
        <v/>
      </c>
      <c r="AU116" s="436" t="str">
        <f t="shared" si="142"/>
        <v/>
      </c>
      <c r="AV116" s="151" t="str">
        <f t="shared" si="144"/>
        <v/>
      </c>
      <c r="BA116" s="18" t="str">
        <f t="shared" si="100"/>
        <v/>
      </c>
      <c r="BB116" s="18" t="str">
        <f t="shared" si="100"/>
        <v/>
      </c>
      <c r="BD116" s="630">
        <f t="shared" si="145"/>
        <v>0</v>
      </c>
    </row>
    <row r="117" spans="2:56" x14ac:dyDescent="0.25">
      <c r="B117" s="73" t="str">
        <f t="shared" si="68"/>
        <v/>
      </c>
      <c r="C117" s="424" t="str">
        <f>ייצוב!C117</f>
        <v/>
      </c>
      <c r="D117" s="139" t="str">
        <f>IF(ייצוב!K117="","",ייצוב!K117)</f>
        <v/>
      </c>
      <c r="E117" s="139" t="str">
        <f>IF(ייצוב!G117="","",ייצוב!G117)</f>
        <v/>
      </c>
      <c r="F117" s="634" t="str">
        <f>'סיכום לועדה- הזנת נתונים'!G117</f>
        <v/>
      </c>
      <c r="G117" s="146" t="str">
        <f t="shared" si="102"/>
        <v/>
      </c>
      <c r="H117" s="432" t="str">
        <f t="shared" si="103"/>
        <v/>
      </c>
      <c r="I117" s="433" t="str">
        <f t="shared" si="104"/>
        <v/>
      </c>
      <c r="J117" s="433" t="str">
        <f t="shared" si="105"/>
        <v/>
      </c>
      <c r="K117" s="434" t="str">
        <f t="shared" si="106"/>
        <v/>
      </c>
      <c r="L117" s="434" t="str">
        <f t="shared" si="107"/>
        <v/>
      </c>
      <c r="M117" s="435" t="str">
        <f t="shared" si="108"/>
        <v/>
      </c>
      <c r="N117" s="435" t="str">
        <f t="shared" si="109"/>
        <v/>
      </c>
      <c r="O117" s="434" t="str">
        <f t="shared" si="110"/>
        <v/>
      </c>
      <c r="P117" s="434" t="str">
        <f t="shared" si="111"/>
        <v/>
      </c>
      <c r="Q117" s="435" t="str">
        <f t="shared" si="112"/>
        <v/>
      </c>
      <c r="R117" s="435" t="str">
        <f t="shared" si="113"/>
        <v/>
      </c>
      <c r="S117" s="434" t="str">
        <f t="shared" si="114"/>
        <v/>
      </c>
      <c r="T117" s="434" t="str">
        <f t="shared" si="115"/>
        <v/>
      </c>
      <c r="U117" s="435" t="str">
        <f t="shared" si="116"/>
        <v/>
      </c>
      <c r="V117" s="435" t="str">
        <f t="shared" si="117"/>
        <v/>
      </c>
      <c r="W117" s="434" t="str">
        <f t="shared" si="118"/>
        <v/>
      </c>
      <c r="X117" s="434" t="str">
        <f t="shared" si="119"/>
        <v/>
      </c>
      <c r="Y117" s="435" t="str">
        <f t="shared" si="120"/>
        <v/>
      </c>
      <c r="Z117" s="435" t="str">
        <f t="shared" si="121"/>
        <v/>
      </c>
      <c r="AA117" s="434" t="str">
        <f t="shared" si="122"/>
        <v/>
      </c>
      <c r="AB117" s="434" t="str">
        <f t="shared" si="123"/>
        <v/>
      </c>
      <c r="AC117" s="435" t="str">
        <f t="shared" si="124"/>
        <v/>
      </c>
      <c r="AD117" s="435" t="str">
        <f t="shared" si="125"/>
        <v/>
      </c>
      <c r="AE117" s="434" t="str">
        <f t="shared" si="126"/>
        <v/>
      </c>
      <c r="AF117" s="434" t="str">
        <f t="shared" si="127"/>
        <v/>
      </c>
      <c r="AG117" s="435" t="str">
        <f t="shared" si="128"/>
        <v/>
      </c>
      <c r="AH117" s="435" t="str">
        <f t="shared" si="129"/>
        <v/>
      </c>
      <c r="AI117" s="434" t="str">
        <f t="shared" si="130"/>
        <v/>
      </c>
      <c r="AJ117" s="434" t="str">
        <f t="shared" si="131"/>
        <v/>
      </c>
      <c r="AK117" s="435" t="str">
        <f t="shared" si="132"/>
        <v/>
      </c>
      <c r="AL117" s="435" t="str">
        <f t="shared" si="133"/>
        <v/>
      </c>
      <c r="AM117" s="434" t="str">
        <f t="shared" si="134"/>
        <v/>
      </c>
      <c r="AN117" s="434" t="str">
        <f t="shared" si="135"/>
        <v/>
      </c>
      <c r="AO117" s="435" t="str">
        <f t="shared" si="136"/>
        <v/>
      </c>
      <c r="AP117" s="435" t="str">
        <f t="shared" si="137"/>
        <v/>
      </c>
      <c r="AQ117" s="434" t="str">
        <f t="shared" si="138"/>
        <v/>
      </c>
      <c r="AR117" s="434" t="str">
        <f t="shared" si="139"/>
        <v/>
      </c>
      <c r="AS117" s="435" t="str">
        <f t="shared" si="140"/>
        <v/>
      </c>
      <c r="AT117" s="435" t="str">
        <f t="shared" si="141"/>
        <v/>
      </c>
      <c r="AU117" s="436" t="str">
        <f t="shared" si="142"/>
        <v/>
      </c>
      <c r="AV117" s="151" t="str">
        <f t="shared" si="144"/>
        <v/>
      </c>
      <c r="BA117" s="18" t="str">
        <f t="shared" si="100"/>
        <v/>
      </c>
      <c r="BB117" s="18" t="str">
        <f t="shared" si="100"/>
        <v/>
      </c>
      <c r="BD117" s="630">
        <f t="shared" si="145"/>
        <v>0</v>
      </c>
    </row>
    <row r="118" spans="2:56" x14ac:dyDescent="0.25">
      <c r="B118" s="73">
        <f t="shared" si="68"/>
        <v>98</v>
      </c>
      <c r="C118" s="424" t="str">
        <f>ייצוב!C118</f>
        <v>שקד מוכיח</v>
      </c>
      <c r="D118" s="139">
        <f>IF(ייצוב!K118="","",ייצוב!K118)</f>
        <v>1.0774022979898131E-2</v>
      </c>
      <c r="E118" s="139">
        <f>IF(ייצוב!G118="","",ייצוב!G118)</f>
        <v>7.2185377487877581E-3</v>
      </c>
      <c r="F118" s="634">
        <f>'סיכום לועדה- הזנת נתונים'!G118</f>
        <v>0</v>
      </c>
      <c r="G118" s="146">
        <f t="shared" si="102"/>
        <v>0</v>
      </c>
      <c r="H118" s="432">
        <f t="shared" si="103"/>
        <v>0</v>
      </c>
      <c r="I118" s="433">
        <f t="shared" si="104"/>
        <v>1.0774022979898131E-2</v>
      </c>
      <c r="J118" s="433">
        <f t="shared" si="105"/>
        <v>1.077383745645441E-2</v>
      </c>
      <c r="K118" s="434">
        <f t="shared" si="106"/>
        <v>0</v>
      </c>
      <c r="L118" s="434">
        <f t="shared" si="107"/>
        <v>0</v>
      </c>
      <c r="M118" s="435">
        <f t="shared" si="108"/>
        <v>1.0774022979898131E-2</v>
      </c>
      <c r="N118" s="435">
        <f t="shared" si="109"/>
        <v>1.0773838657927616E-2</v>
      </c>
      <c r="O118" s="434">
        <f t="shared" si="110"/>
        <v>0</v>
      </c>
      <c r="P118" s="434">
        <f t="shared" si="111"/>
        <v>0</v>
      </c>
      <c r="Q118" s="435">
        <f t="shared" si="112"/>
        <v>1.0774022979898131E-2</v>
      </c>
      <c r="R118" s="435">
        <f t="shared" si="113"/>
        <v>1.077383745645441E-2</v>
      </c>
      <c r="S118" s="434">
        <f t="shared" si="114"/>
        <v>0</v>
      </c>
      <c r="T118" s="434">
        <f t="shared" si="115"/>
        <v>0</v>
      </c>
      <c r="U118" s="435">
        <f t="shared" si="116"/>
        <v>1.077383745645441E-2</v>
      </c>
      <c r="V118" s="435">
        <f t="shared" si="117"/>
        <v>1.0773837456454409E-2</v>
      </c>
      <c r="W118" s="434">
        <f t="shared" si="118"/>
        <v>0</v>
      </c>
      <c r="X118" s="434">
        <f t="shared" si="119"/>
        <v>0</v>
      </c>
      <c r="Y118" s="435">
        <f t="shared" si="120"/>
        <v>1.0773837456454409E-2</v>
      </c>
      <c r="Z118" s="435">
        <f t="shared" si="121"/>
        <v>1.0773837456454409E-2</v>
      </c>
      <c r="AA118" s="434">
        <f t="shared" si="122"/>
        <v>0</v>
      </c>
      <c r="AB118" s="434">
        <f t="shared" si="123"/>
        <v>0</v>
      </c>
      <c r="AC118" s="435">
        <f t="shared" si="124"/>
        <v>1.0773837456454409E-2</v>
      </c>
      <c r="AD118" s="435">
        <f t="shared" si="125"/>
        <v>1.0773837456454409E-2</v>
      </c>
      <c r="AE118" s="434">
        <f t="shared" si="126"/>
        <v>0</v>
      </c>
      <c r="AF118" s="434">
        <f t="shared" si="127"/>
        <v>0</v>
      </c>
      <c r="AG118" s="435">
        <f t="shared" si="128"/>
        <v>1.0773837456454409E-2</v>
      </c>
      <c r="AH118" s="435">
        <f t="shared" si="129"/>
        <v>1.0773837456454409E-2</v>
      </c>
      <c r="AI118" s="434">
        <f t="shared" si="130"/>
        <v>0</v>
      </c>
      <c r="AJ118" s="434">
        <f t="shared" si="131"/>
        <v>0</v>
      </c>
      <c r="AK118" s="435">
        <f t="shared" si="132"/>
        <v>1.0773837456454409E-2</v>
      </c>
      <c r="AL118" s="435">
        <f t="shared" si="133"/>
        <v>1.0773837456454409E-2</v>
      </c>
      <c r="AM118" s="434">
        <f t="shared" si="134"/>
        <v>0</v>
      </c>
      <c r="AN118" s="434">
        <f t="shared" si="135"/>
        <v>0</v>
      </c>
      <c r="AO118" s="435">
        <f t="shared" si="136"/>
        <v>1.0773837456454409E-2</v>
      </c>
      <c r="AP118" s="435">
        <f t="shared" si="137"/>
        <v>1.0773837456454409E-2</v>
      </c>
      <c r="AQ118" s="434">
        <f t="shared" si="138"/>
        <v>0</v>
      </c>
      <c r="AR118" s="434">
        <f t="shared" si="139"/>
        <v>0</v>
      </c>
      <c r="AS118" s="435">
        <f t="shared" si="140"/>
        <v>1.0773837456454409E-2</v>
      </c>
      <c r="AT118" s="435">
        <f t="shared" si="141"/>
        <v>1.0773837456454409E-2</v>
      </c>
      <c r="AU118" s="436">
        <f t="shared" si="142"/>
        <v>1.077383745645441E-2</v>
      </c>
      <c r="AV118" s="151">
        <f t="shared" si="144"/>
        <v>87082.385534881279</v>
      </c>
      <c r="BA118" s="18">
        <f t="shared" si="100"/>
        <v>0</v>
      </c>
      <c r="BB118" s="18">
        <f t="shared" si="100"/>
        <v>1</v>
      </c>
      <c r="BD118" s="630">
        <f t="shared" si="145"/>
        <v>1</v>
      </c>
    </row>
    <row r="119" spans="2:56" x14ac:dyDescent="0.25">
      <c r="B119" s="73">
        <f t="shared" si="68"/>
        <v>99</v>
      </c>
      <c r="C119" s="424" t="str">
        <f>ייצוב!C119</f>
        <v>שרון הללי אסא</v>
      </c>
      <c r="D119" s="139">
        <f>IF(ייצוב!K119="","",ייצוב!K119)</f>
        <v>1.0202408801541244E-2</v>
      </c>
      <c r="E119" s="139">
        <f>IF(ייצוב!G119="","",ייצוב!G119)</f>
        <v>8.3165316592644263E-3</v>
      </c>
      <c r="F119" s="634">
        <f>'סיכום לועדה- הזנת נתונים'!G119</f>
        <v>1</v>
      </c>
      <c r="G119" s="146">
        <f t="shared" si="102"/>
        <v>0</v>
      </c>
      <c r="H119" s="432">
        <f t="shared" si="103"/>
        <v>0</v>
      </c>
      <c r="I119" s="433">
        <f t="shared" si="104"/>
        <v>1.0202408801541244E-2</v>
      </c>
      <c r="J119" s="433">
        <f t="shared" si="105"/>
        <v>1.0202233121016091E-2</v>
      </c>
      <c r="K119" s="434">
        <f t="shared" si="106"/>
        <v>0</v>
      </c>
      <c r="L119" s="434">
        <f t="shared" si="107"/>
        <v>0</v>
      </c>
      <c r="M119" s="435">
        <f t="shared" si="108"/>
        <v>1.0202408801541244E-2</v>
      </c>
      <c r="N119" s="435">
        <f t="shared" si="109"/>
        <v>1.0202234258745318E-2</v>
      </c>
      <c r="O119" s="434">
        <f t="shared" si="110"/>
        <v>0</v>
      </c>
      <c r="P119" s="434">
        <f t="shared" si="111"/>
        <v>0</v>
      </c>
      <c r="Q119" s="435">
        <f t="shared" si="112"/>
        <v>1.0202408801541244E-2</v>
      </c>
      <c r="R119" s="435">
        <f t="shared" si="113"/>
        <v>1.0202233121016091E-2</v>
      </c>
      <c r="S119" s="434">
        <f t="shared" si="114"/>
        <v>0</v>
      </c>
      <c r="T119" s="434">
        <f t="shared" si="115"/>
        <v>0</v>
      </c>
      <c r="U119" s="435">
        <f t="shared" si="116"/>
        <v>1.0202233121016091E-2</v>
      </c>
      <c r="V119" s="435">
        <f t="shared" si="117"/>
        <v>1.0202233121016089E-2</v>
      </c>
      <c r="W119" s="434">
        <f t="shared" si="118"/>
        <v>0</v>
      </c>
      <c r="X119" s="434">
        <f t="shared" si="119"/>
        <v>0</v>
      </c>
      <c r="Y119" s="435">
        <f t="shared" si="120"/>
        <v>1.0202233121016089E-2</v>
      </c>
      <c r="Z119" s="435">
        <f t="shared" si="121"/>
        <v>1.0202233121016089E-2</v>
      </c>
      <c r="AA119" s="434">
        <f t="shared" si="122"/>
        <v>0</v>
      </c>
      <c r="AB119" s="434">
        <f t="shared" si="123"/>
        <v>0</v>
      </c>
      <c r="AC119" s="435">
        <f t="shared" si="124"/>
        <v>1.0202233121016089E-2</v>
      </c>
      <c r="AD119" s="435">
        <f t="shared" si="125"/>
        <v>1.0202233121016089E-2</v>
      </c>
      <c r="AE119" s="434">
        <f t="shared" si="126"/>
        <v>0</v>
      </c>
      <c r="AF119" s="434">
        <f t="shared" si="127"/>
        <v>0</v>
      </c>
      <c r="AG119" s="435">
        <f t="shared" si="128"/>
        <v>1.0202233121016089E-2</v>
      </c>
      <c r="AH119" s="435">
        <f t="shared" si="129"/>
        <v>1.0202233121016089E-2</v>
      </c>
      <c r="AI119" s="434">
        <f t="shared" si="130"/>
        <v>0</v>
      </c>
      <c r="AJ119" s="434">
        <f t="shared" si="131"/>
        <v>0</v>
      </c>
      <c r="AK119" s="435">
        <f t="shared" si="132"/>
        <v>1.0202233121016089E-2</v>
      </c>
      <c r="AL119" s="435">
        <f t="shared" si="133"/>
        <v>1.0202233121016089E-2</v>
      </c>
      <c r="AM119" s="434">
        <f t="shared" si="134"/>
        <v>0</v>
      </c>
      <c r="AN119" s="434">
        <f t="shared" si="135"/>
        <v>0</v>
      </c>
      <c r="AO119" s="435">
        <f t="shared" si="136"/>
        <v>1.0202233121016089E-2</v>
      </c>
      <c r="AP119" s="435">
        <f t="shared" si="137"/>
        <v>1.0202233121016089E-2</v>
      </c>
      <c r="AQ119" s="434">
        <f t="shared" si="138"/>
        <v>0</v>
      </c>
      <c r="AR119" s="434">
        <f t="shared" si="139"/>
        <v>0</v>
      </c>
      <c r="AS119" s="435">
        <f t="shared" si="140"/>
        <v>1.0202233121016089E-2</v>
      </c>
      <c r="AT119" s="435">
        <f t="shared" si="141"/>
        <v>1.0202233121016088E-2</v>
      </c>
      <c r="AU119" s="436">
        <f t="shared" si="142"/>
        <v>1.0202233121016089E-2</v>
      </c>
      <c r="AV119" s="151">
        <f t="shared" si="144"/>
        <v>82462.242590156486</v>
      </c>
      <c r="BA119" s="18">
        <f t="shared" si="100"/>
        <v>0</v>
      </c>
      <c r="BB119" s="18">
        <f t="shared" si="100"/>
        <v>1</v>
      </c>
      <c r="BD119" s="630">
        <f t="shared" si="145"/>
        <v>1</v>
      </c>
    </row>
    <row r="120" spans="2:56" x14ac:dyDescent="0.25">
      <c r="B120" s="73">
        <f t="shared" si="68"/>
        <v>100</v>
      </c>
      <c r="C120" s="424" t="str">
        <f>ייצוב!C120</f>
        <v>להקת ג'אם</v>
      </c>
      <c r="D120" s="139">
        <f>IF(ייצוב!K120="","",ייצוב!K120)</f>
        <v>6.3233003560865053E-3</v>
      </c>
      <c r="E120" s="139">
        <f>IF(ייצוב!G120="","",ייצוב!G120)</f>
        <v>4.6157192916130851E-3</v>
      </c>
      <c r="F120" s="634">
        <f>'סיכום לועדה- הזנת נתונים'!G120</f>
        <v>0</v>
      </c>
      <c r="G120" s="146">
        <f t="shared" si="102"/>
        <v>0</v>
      </c>
      <c r="H120" s="432">
        <f t="shared" si="103"/>
        <v>0</v>
      </c>
      <c r="I120" s="433">
        <f t="shared" si="104"/>
        <v>6.3233003560865053E-3</v>
      </c>
      <c r="J120" s="433">
        <f t="shared" si="105"/>
        <v>6.3231914719250422E-3</v>
      </c>
      <c r="K120" s="434">
        <f t="shared" si="106"/>
        <v>0</v>
      </c>
      <c r="L120" s="434">
        <f t="shared" si="107"/>
        <v>0</v>
      </c>
      <c r="M120" s="435">
        <f t="shared" si="108"/>
        <v>6.3233003560865053E-3</v>
      </c>
      <c r="N120" s="435">
        <f t="shared" si="109"/>
        <v>6.3231921770725971E-3</v>
      </c>
      <c r="O120" s="434">
        <f t="shared" si="110"/>
        <v>0</v>
      </c>
      <c r="P120" s="434">
        <f t="shared" si="111"/>
        <v>0</v>
      </c>
      <c r="Q120" s="435">
        <f t="shared" si="112"/>
        <v>6.3233003560865053E-3</v>
      </c>
      <c r="R120" s="435">
        <f t="shared" si="113"/>
        <v>6.3231914719250422E-3</v>
      </c>
      <c r="S120" s="434">
        <f t="shared" si="114"/>
        <v>0</v>
      </c>
      <c r="T120" s="434">
        <f t="shared" si="115"/>
        <v>0</v>
      </c>
      <c r="U120" s="435">
        <f t="shared" si="116"/>
        <v>6.3231914719250422E-3</v>
      </c>
      <c r="V120" s="435">
        <f t="shared" si="117"/>
        <v>6.3231914719250404E-3</v>
      </c>
      <c r="W120" s="434">
        <f t="shared" si="118"/>
        <v>0</v>
      </c>
      <c r="X120" s="434">
        <f t="shared" si="119"/>
        <v>0</v>
      </c>
      <c r="Y120" s="435">
        <f t="shared" si="120"/>
        <v>6.3231914719250404E-3</v>
      </c>
      <c r="Z120" s="435">
        <f t="shared" si="121"/>
        <v>6.3231914719250404E-3</v>
      </c>
      <c r="AA120" s="434">
        <f t="shared" si="122"/>
        <v>0</v>
      </c>
      <c r="AB120" s="434">
        <f t="shared" si="123"/>
        <v>0</v>
      </c>
      <c r="AC120" s="435">
        <f t="shared" si="124"/>
        <v>6.3231914719250404E-3</v>
      </c>
      <c r="AD120" s="435">
        <f t="shared" si="125"/>
        <v>6.3231914719250404E-3</v>
      </c>
      <c r="AE120" s="434">
        <f t="shared" si="126"/>
        <v>0</v>
      </c>
      <c r="AF120" s="434">
        <f t="shared" si="127"/>
        <v>0</v>
      </c>
      <c r="AG120" s="435">
        <f t="shared" si="128"/>
        <v>6.3231914719250404E-3</v>
      </c>
      <c r="AH120" s="435">
        <f t="shared" si="129"/>
        <v>6.3231914719250404E-3</v>
      </c>
      <c r="AI120" s="434">
        <f t="shared" si="130"/>
        <v>0</v>
      </c>
      <c r="AJ120" s="434">
        <f t="shared" si="131"/>
        <v>0</v>
      </c>
      <c r="AK120" s="435">
        <f t="shared" si="132"/>
        <v>6.3231914719250404E-3</v>
      </c>
      <c r="AL120" s="435">
        <f t="shared" si="133"/>
        <v>6.3231914719250404E-3</v>
      </c>
      <c r="AM120" s="434">
        <f t="shared" si="134"/>
        <v>0</v>
      </c>
      <c r="AN120" s="434">
        <f t="shared" si="135"/>
        <v>0</v>
      </c>
      <c r="AO120" s="435">
        <f t="shared" si="136"/>
        <v>6.3231914719250404E-3</v>
      </c>
      <c r="AP120" s="435">
        <f t="shared" si="137"/>
        <v>6.3231914719250404E-3</v>
      </c>
      <c r="AQ120" s="434">
        <f t="shared" si="138"/>
        <v>0</v>
      </c>
      <c r="AR120" s="434">
        <f t="shared" si="139"/>
        <v>0</v>
      </c>
      <c r="AS120" s="435">
        <f t="shared" si="140"/>
        <v>6.3231914719250404E-3</v>
      </c>
      <c r="AT120" s="435">
        <f t="shared" si="141"/>
        <v>6.3231914719250396E-3</v>
      </c>
      <c r="AU120" s="436">
        <f t="shared" si="142"/>
        <v>6.3231914719250413E-3</v>
      </c>
      <c r="AV120" s="151">
        <f t="shared" si="144"/>
        <v>51108.864394382734</v>
      </c>
      <c r="BA120" s="18">
        <f t="shared" si="100"/>
        <v>0</v>
      </c>
      <c r="BB120" s="18">
        <f t="shared" si="100"/>
        <v>1</v>
      </c>
      <c r="BD120" s="630">
        <f t="shared" si="145"/>
        <v>1</v>
      </c>
    </row>
    <row r="121" spans="2:56" x14ac:dyDescent="0.25">
      <c r="B121" s="73" t="str">
        <f t="shared" si="68"/>
        <v/>
      </c>
      <c r="C121" s="424" t="str">
        <f>ייצוב!C121</f>
        <v/>
      </c>
      <c r="D121" s="139" t="str">
        <f>IF(ייצוב!K121="","",ייצוב!K121)</f>
        <v/>
      </c>
      <c r="E121" s="139" t="str">
        <f>IF(ייצוב!G121="","",ייצוב!G121)</f>
        <v/>
      </c>
      <c r="F121" s="634" t="str">
        <f>'סיכום לועדה- הזנת נתונים'!G121</f>
        <v/>
      </c>
      <c r="G121" s="146" t="str">
        <f t="shared" si="102"/>
        <v/>
      </c>
      <c r="H121" s="432" t="str">
        <f t="shared" si="103"/>
        <v/>
      </c>
      <c r="I121" s="433" t="str">
        <f t="shared" si="104"/>
        <v/>
      </c>
      <c r="J121" s="433" t="str">
        <f t="shared" si="105"/>
        <v/>
      </c>
      <c r="K121" s="434" t="str">
        <f t="shared" si="106"/>
        <v/>
      </c>
      <c r="L121" s="434" t="str">
        <f t="shared" si="107"/>
        <v/>
      </c>
      <c r="M121" s="435" t="str">
        <f t="shared" si="108"/>
        <v/>
      </c>
      <c r="N121" s="435" t="str">
        <f t="shared" si="109"/>
        <v/>
      </c>
      <c r="O121" s="434" t="str">
        <f t="shared" si="110"/>
        <v/>
      </c>
      <c r="P121" s="434" t="str">
        <f t="shared" si="111"/>
        <v/>
      </c>
      <c r="Q121" s="435" t="str">
        <f t="shared" si="112"/>
        <v/>
      </c>
      <c r="R121" s="435" t="str">
        <f t="shared" si="113"/>
        <v/>
      </c>
      <c r="S121" s="434" t="str">
        <f t="shared" si="114"/>
        <v/>
      </c>
      <c r="T121" s="434" t="str">
        <f t="shared" si="115"/>
        <v/>
      </c>
      <c r="U121" s="435" t="str">
        <f t="shared" si="116"/>
        <v/>
      </c>
      <c r="V121" s="435" t="str">
        <f t="shared" si="117"/>
        <v/>
      </c>
      <c r="W121" s="434" t="str">
        <f t="shared" si="118"/>
        <v/>
      </c>
      <c r="X121" s="434" t="str">
        <f t="shared" si="119"/>
        <v/>
      </c>
      <c r="Y121" s="435" t="str">
        <f t="shared" si="120"/>
        <v/>
      </c>
      <c r="Z121" s="435" t="str">
        <f t="shared" si="121"/>
        <v/>
      </c>
      <c r="AA121" s="434" t="str">
        <f t="shared" si="122"/>
        <v/>
      </c>
      <c r="AB121" s="434" t="str">
        <f t="shared" si="123"/>
        <v/>
      </c>
      <c r="AC121" s="435" t="str">
        <f t="shared" si="124"/>
        <v/>
      </c>
      <c r="AD121" s="435" t="str">
        <f t="shared" si="125"/>
        <v/>
      </c>
      <c r="AE121" s="434" t="str">
        <f t="shared" si="126"/>
        <v/>
      </c>
      <c r="AF121" s="434" t="str">
        <f t="shared" si="127"/>
        <v/>
      </c>
      <c r="AG121" s="435" t="str">
        <f t="shared" si="128"/>
        <v/>
      </c>
      <c r="AH121" s="435" t="str">
        <f t="shared" si="129"/>
        <v/>
      </c>
      <c r="AI121" s="434" t="str">
        <f t="shared" si="130"/>
        <v/>
      </c>
      <c r="AJ121" s="434" t="str">
        <f t="shared" si="131"/>
        <v/>
      </c>
      <c r="AK121" s="435" t="str">
        <f t="shared" si="132"/>
        <v/>
      </c>
      <c r="AL121" s="435" t="str">
        <f t="shared" si="133"/>
        <v/>
      </c>
      <c r="AM121" s="434" t="str">
        <f t="shared" si="134"/>
        <v/>
      </c>
      <c r="AN121" s="434" t="str">
        <f t="shared" si="135"/>
        <v/>
      </c>
      <c r="AO121" s="435" t="str">
        <f t="shared" si="136"/>
        <v/>
      </c>
      <c r="AP121" s="435" t="str">
        <f t="shared" si="137"/>
        <v/>
      </c>
      <c r="AQ121" s="434" t="str">
        <f t="shared" si="138"/>
        <v/>
      </c>
      <c r="AR121" s="434" t="str">
        <f t="shared" si="139"/>
        <v/>
      </c>
      <c r="AS121" s="435" t="str">
        <f t="shared" si="140"/>
        <v/>
      </c>
      <c r="AT121" s="435" t="str">
        <f t="shared" si="141"/>
        <v/>
      </c>
      <c r="AU121" s="436" t="str">
        <f t="shared" si="142"/>
        <v/>
      </c>
      <c r="AV121" s="151" t="str">
        <f t="shared" si="144"/>
        <v/>
      </c>
      <c r="BA121" s="18" t="str">
        <f t="shared" si="100"/>
        <v/>
      </c>
      <c r="BB121" s="18" t="str">
        <f t="shared" si="100"/>
        <v/>
      </c>
      <c r="BD121" s="630">
        <f t="shared" si="145"/>
        <v>0</v>
      </c>
    </row>
    <row r="122" spans="2:56" x14ac:dyDescent="0.25">
      <c r="B122" s="73" t="str">
        <f t="shared" si="68"/>
        <v/>
      </c>
      <c r="C122" s="424" t="str">
        <f>ייצוב!C122</f>
        <v/>
      </c>
      <c r="D122" s="139" t="str">
        <f>IF(ייצוב!K122="","",ייצוב!K122)</f>
        <v/>
      </c>
      <c r="E122" s="139" t="str">
        <f>IF(ייצוב!G122="","",ייצוב!G122)</f>
        <v/>
      </c>
      <c r="F122" s="634" t="str">
        <f>'סיכום לועדה- הזנת נתונים'!G122</f>
        <v/>
      </c>
      <c r="G122" s="146" t="str">
        <f t="shared" si="102"/>
        <v/>
      </c>
      <c r="H122" s="432" t="str">
        <f t="shared" si="103"/>
        <v/>
      </c>
      <c r="I122" s="433" t="str">
        <f t="shared" si="104"/>
        <v/>
      </c>
      <c r="J122" s="433" t="str">
        <f t="shared" si="105"/>
        <v/>
      </c>
      <c r="K122" s="434" t="str">
        <f t="shared" si="106"/>
        <v/>
      </c>
      <c r="L122" s="434" t="str">
        <f t="shared" si="107"/>
        <v/>
      </c>
      <c r="M122" s="435" t="str">
        <f t="shared" si="108"/>
        <v/>
      </c>
      <c r="N122" s="435" t="str">
        <f t="shared" si="109"/>
        <v/>
      </c>
      <c r="O122" s="434" t="str">
        <f t="shared" si="110"/>
        <v/>
      </c>
      <c r="P122" s="434" t="str">
        <f t="shared" si="111"/>
        <v/>
      </c>
      <c r="Q122" s="435" t="str">
        <f t="shared" si="112"/>
        <v/>
      </c>
      <c r="R122" s="435" t="str">
        <f t="shared" si="113"/>
        <v/>
      </c>
      <c r="S122" s="434" t="str">
        <f t="shared" si="114"/>
        <v/>
      </c>
      <c r="T122" s="434" t="str">
        <f t="shared" si="115"/>
        <v/>
      </c>
      <c r="U122" s="435" t="str">
        <f t="shared" si="116"/>
        <v/>
      </c>
      <c r="V122" s="435" t="str">
        <f t="shared" si="117"/>
        <v/>
      </c>
      <c r="W122" s="434" t="str">
        <f t="shared" si="118"/>
        <v/>
      </c>
      <c r="X122" s="434" t="str">
        <f t="shared" si="119"/>
        <v/>
      </c>
      <c r="Y122" s="435" t="str">
        <f t="shared" si="120"/>
        <v/>
      </c>
      <c r="Z122" s="435" t="str">
        <f t="shared" si="121"/>
        <v/>
      </c>
      <c r="AA122" s="434" t="str">
        <f t="shared" si="122"/>
        <v/>
      </c>
      <c r="AB122" s="434" t="str">
        <f t="shared" si="123"/>
        <v/>
      </c>
      <c r="AC122" s="435" t="str">
        <f t="shared" si="124"/>
        <v/>
      </c>
      <c r="AD122" s="435" t="str">
        <f t="shared" si="125"/>
        <v/>
      </c>
      <c r="AE122" s="434" t="str">
        <f t="shared" si="126"/>
        <v/>
      </c>
      <c r="AF122" s="434" t="str">
        <f t="shared" si="127"/>
        <v/>
      </c>
      <c r="AG122" s="435" t="str">
        <f t="shared" si="128"/>
        <v/>
      </c>
      <c r="AH122" s="435" t="str">
        <f t="shared" si="129"/>
        <v/>
      </c>
      <c r="AI122" s="434" t="str">
        <f t="shared" si="130"/>
        <v/>
      </c>
      <c r="AJ122" s="434" t="str">
        <f t="shared" si="131"/>
        <v/>
      </c>
      <c r="AK122" s="435" t="str">
        <f t="shared" si="132"/>
        <v/>
      </c>
      <c r="AL122" s="435" t="str">
        <f t="shared" si="133"/>
        <v/>
      </c>
      <c r="AM122" s="434" t="str">
        <f t="shared" si="134"/>
        <v/>
      </c>
      <c r="AN122" s="434" t="str">
        <f t="shared" si="135"/>
        <v/>
      </c>
      <c r="AO122" s="435" t="str">
        <f t="shared" si="136"/>
        <v/>
      </c>
      <c r="AP122" s="435" t="str">
        <f t="shared" si="137"/>
        <v/>
      </c>
      <c r="AQ122" s="434" t="str">
        <f t="shared" si="138"/>
        <v/>
      </c>
      <c r="AR122" s="434" t="str">
        <f t="shared" si="139"/>
        <v/>
      </c>
      <c r="AS122" s="435" t="str">
        <f t="shared" si="140"/>
        <v/>
      </c>
      <c r="AT122" s="435" t="str">
        <f t="shared" si="141"/>
        <v/>
      </c>
      <c r="AU122" s="436" t="str">
        <f t="shared" si="142"/>
        <v/>
      </c>
      <c r="AV122" s="151" t="str">
        <f t="shared" si="144"/>
        <v/>
      </c>
      <c r="BA122" s="18" t="str">
        <f t="shared" si="100"/>
        <v/>
      </c>
      <c r="BB122" s="18" t="str">
        <f t="shared" si="100"/>
        <v/>
      </c>
      <c r="BD122" s="630">
        <f t="shared" si="145"/>
        <v>0</v>
      </c>
    </row>
    <row r="123" spans="2:56" x14ac:dyDescent="0.25">
      <c r="B123" s="73" t="str">
        <f t="shared" si="68"/>
        <v/>
      </c>
      <c r="C123" s="424" t="str">
        <f>ייצוב!C123</f>
        <v/>
      </c>
      <c r="D123" s="139" t="str">
        <f>IF(ייצוב!K123="","",ייצוב!K123)</f>
        <v/>
      </c>
      <c r="E123" s="139" t="str">
        <f>IF(ייצוב!G123="","",ייצוב!G123)</f>
        <v/>
      </c>
      <c r="F123" s="634" t="str">
        <f>'סיכום לועדה- הזנת נתונים'!G123</f>
        <v/>
      </c>
      <c r="G123" s="146" t="str">
        <f t="shared" si="102"/>
        <v/>
      </c>
      <c r="H123" s="432" t="str">
        <f t="shared" si="103"/>
        <v/>
      </c>
      <c r="I123" s="433" t="str">
        <f t="shared" si="104"/>
        <v/>
      </c>
      <c r="J123" s="433" t="str">
        <f t="shared" si="105"/>
        <v/>
      </c>
      <c r="K123" s="434" t="str">
        <f t="shared" si="106"/>
        <v/>
      </c>
      <c r="L123" s="434" t="str">
        <f t="shared" si="107"/>
        <v/>
      </c>
      <c r="M123" s="435" t="str">
        <f t="shared" si="108"/>
        <v/>
      </c>
      <c r="N123" s="435" t="str">
        <f t="shared" si="109"/>
        <v/>
      </c>
      <c r="O123" s="434" t="str">
        <f t="shared" si="110"/>
        <v/>
      </c>
      <c r="P123" s="434" t="str">
        <f t="shared" si="111"/>
        <v/>
      </c>
      <c r="Q123" s="435" t="str">
        <f t="shared" si="112"/>
        <v/>
      </c>
      <c r="R123" s="435" t="str">
        <f t="shared" si="113"/>
        <v/>
      </c>
      <c r="S123" s="434" t="str">
        <f t="shared" si="114"/>
        <v/>
      </c>
      <c r="T123" s="434" t="str">
        <f t="shared" si="115"/>
        <v/>
      </c>
      <c r="U123" s="435" t="str">
        <f t="shared" si="116"/>
        <v/>
      </c>
      <c r="V123" s="435" t="str">
        <f t="shared" si="117"/>
        <v/>
      </c>
      <c r="W123" s="434" t="str">
        <f t="shared" si="118"/>
        <v/>
      </c>
      <c r="X123" s="434" t="str">
        <f t="shared" si="119"/>
        <v/>
      </c>
      <c r="Y123" s="435" t="str">
        <f t="shared" si="120"/>
        <v/>
      </c>
      <c r="Z123" s="435" t="str">
        <f t="shared" si="121"/>
        <v/>
      </c>
      <c r="AA123" s="434" t="str">
        <f t="shared" si="122"/>
        <v/>
      </c>
      <c r="AB123" s="434" t="str">
        <f t="shared" si="123"/>
        <v/>
      </c>
      <c r="AC123" s="435" t="str">
        <f t="shared" si="124"/>
        <v/>
      </c>
      <c r="AD123" s="435" t="str">
        <f t="shared" si="125"/>
        <v/>
      </c>
      <c r="AE123" s="434" t="str">
        <f t="shared" si="126"/>
        <v/>
      </c>
      <c r="AF123" s="434" t="str">
        <f t="shared" si="127"/>
        <v/>
      </c>
      <c r="AG123" s="435" t="str">
        <f t="shared" si="128"/>
        <v/>
      </c>
      <c r="AH123" s="435" t="str">
        <f t="shared" si="129"/>
        <v/>
      </c>
      <c r="AI123" s="434" t="str">
        <f t="shared" si="130"/>
        <v/>
      </c>
      <c r="AJ123" s="434" t="str">
        <f t="shared" si="131"/>
        <v/>
      </c>
      <c r="AK123" s="435" t="str">
        <f t="shared" si="132"/>
        <v/>
      </c>
      <c r="AL123" s="435" t="str">
        <f t="shared" si="133"/>
        <v/>
      </c>
      <c r="AM123" s="434" t="str">
        <f t="shared" si="134"/>
        <v/>
      </c>
      <c r="AN123" s="434" t="str">
        <f t="shared" si="135"/>
        <v/>
      </c>
      <c r="AO123" s="435" t="str">
        <f t="shared" si="136"/>
        <v/>
      </c>
      <c r="AP123" s="435" t="str">
        <f t="shared" si="137"/>
        <v/>
      </c>
      <c r="AQ123" s="434" t="str">
        <f t="shared" si="138"/>
        <v/>
      </c>
      <c r="AR123" s="434" t="str">
        <f t="shared" si="139"/>
        <v/>
      </c>
      <c r="AS123" s="435" t="str">
        <f t="shared" si="140"/>
        <v/>
      </c>
      <c r="AT123" s="435" t="str">
        <f t="shared" si="141"/>
        <v/>
      </c>
      <c r="AU123" s="436" t="str">
        <f t="shared" si="142"/>
        <v/>
      </c>
      <c r="AV123" s="151" t="str">
        <f t="shared" si="144"/>
        <v/>
      </c>
      <c r="BA123" s="18" t="str">
        <f t="shared" si="100"/>
        <v/>
      </c>
      <c r="BB123" s="18" t="str">
        <f t="shared" si="100"/>
        <v/>
      </c>
      <c r="BD123" s="630">
        <f t="shared" si="145"/>
        <v>0</v>
      </c>
    </row>
    <row r="124" spans="2:56" x14ac:dyDescent="0.25">
      <c r="B124" s="73" t="str">
        <f t="shared" si="68"/>
        <v/>
      </c>
      <c r="C124" s="424" t="str">
        <f>ייצוב!C124</f>
        <v/>
      </c>
      <c r="D124" s="139" t="str">
        <f>IF(ייצוב!K124="","",ייצוב!K124)</f>
        <v/>
      </c>
      <c r="E124" s="139" t="str">
        <f>IF(ייצוב!G124="","",ייצוב!G124)</f>
        <v/>
      </c>
      <c r="F124" s="634" t="str">
        <f>'סיכום לועדה- הזנת נתונים'!G124</f>
        <v/>
      </c>
      <c r="G124" s="146" t="str">
        <f t="shared" si="102"/>
        <v/>
      </c>
      <c r="H124" s="432" t="str">
        <f t="shared" si="103"/>
        <v/>
      </c>
      <c r="I124" s="433" t="str">
        <f t="shared" si="104"/>
        <v/>
      </c>
      <c r="J124" s="433" t="str">
        <f t="shared" si="105"/>
        <v/>
      </c>
      <c r="K124" s="434" t="str">
        <f t="shared" si="106"/>
        <v/>
      </c>
      <c r="L124" s="434" t="str">
        <f t="shared" si="107"/>
        <v/>
      </c>
      <c r="M124" s="435" t="str">
        <f t="shared" si="108"/>
        <v/>
      </c>
      <c r="N124" s="435" t="str">
        <f t="shared" si="109"/>
        <v/>
      </c>
      <c r="O124" s="434" t="str">
        <f t="shared" si="110"/>
        <v/>
      </c>
      <c r="P124" s="434" t="str">
        <f t="shared" si="111"/>
        <v/>
      </c>
      <c r="Q124" s="435" t="str">
        <f t="shared" si="112"/>
        <v/>
      </c>
      <c r="R124" s="435" t="str">
        <f t="shared" si="113"/>
        <v/>
      </c>
      <c r="S124" s="434" t="str">
        <f t="shared" si="114"/>
        <v/>
      </c>
      <c r="T124" s="434" t="str">
        <f t="shared" si="115"/>
        <v/>
      </c>
      <c r="U124" s="435" t="str">
        <f t="shared" si="116"/>
        <v/>
      </c>
      <c r="V124" s="435" t="str">
        <f t="shared" si="117"/>
        <v/>
      </c>
      <c r="W124" s="434" t="str">
        <f t="shared" si="118"/>
        <v/>
      </c>
      <c r="X124" s="434" t="str">
        <f t="shared" si="119"/>
        <v/>
      </c>
      <c r="Y124" s="435" t="str">
        <f t="shared" si="120"/>
        <v/>
      </c>
      <c r="Z124" s="435" t="str">
        <f t="shared" si="121"/>
        <v/>
      </c>
      <c r="AA124" s="434" t="str">
        <f t="shared" si="122"/>
        <v/>
      </c>
      <c r="AB124" s="434" t="str">
        <f t="shared" si="123"/>
        <v/>
      </c>
      <c r="AC124" s="435" t="str">
        <f t="shared" si="124"/>
        <v/>
      </c>
      <c r="AD124" s="435" t="str">
        <f t="shared" si="125"/>
        <v/>
      </c>
      <c r="AE124" s="434" t="str">
        <f t="shared" si="126"/>
        <v/>
      </c>
      <c r="AF124" s="434" t="str">
        <f t="shared" si="127"/>
        <v/>
      </c>
      <c r="AG124" s="435" t="str">
        <f t="shared" si="128"/>
        <v/>
      </c>
      <c r="AH124" s="435" t="str">
        <f t="shared" si="129"/>
        <v/>
      </c>
      <c r="AI124" s="434" t="str">
        <f t="shared" si="130"/>
        <v/>
      </c>
      <c r="AJ124" s="434" t="str">
        <f t="shared" si="131"/>
        <v/>
      </c>
      <c r="AK124" s="435" t="str">
        <f t="shared" si="132"/>
        <v/>
      </c>
      <c r="AL124" s="435" t="str">
        <f t="shared" si="133"/>
        <v/>
      </c>
      <c r="AM124" s="434" t="str">
        <f t="shared" si="134"/>
        <v/>
      </c>
      <c r="AN124" s="434" t="str">
        <f t="shared" si="135"/>
        <v/>
      </c>
      <c r="AO124" s="435" t="str">
        <f t="shared" si="136"/>
        <v/>
      </c>
      <c r="AP124" s="435" t="str">
        <f t="shared" si="137"/>
        <v/>
      </c>
      <c r="AQ124" s="434" t="str">
        <f t="shared" si="138"/>
        <v/>
      </c>
      <c r="AR124" s="434" t="str">
        <f t="shared" si="139"/>
        <v/>
      </c>
      <c r="AS124" s="435" t="str">
        <f t="shared" si="140"/>
        <v/>
      </c>
      <c r="AT124" s="435" t="str">
        <f t="shared" si="141"/>
        <v/>
      </c>
      <c r="AU124" s="436" t="str">
        <f t="shared" si="142"/>
        <v/>
      </c>
      <c r="AV124" s="151" t="str">
        <f t="shared" si="144"/>
        <v/>
      </c>
      <c r="BA124" s="18" t="str">
        <f t="shared" si="100"/>
        <v/>
      </c>
      <c r="BB124" s="18" t="str">
        <f t="shared" si="100"/>
        <v/>
      </c>
      <c r="BD124" s="630">
        <f t="shared" si="145"/>
        <v>0</v>
      </c>
    </row>
    <row r="125" spans="2:56" x14ac:dyDescent="0.25">
      <c r="B125" s="73">
        <f t="shared" si="68"/>
        <v>105</v>
      </c>
      <c r="C125" s="424" t="str">
        <f>ייצוב!C125</f>
        <v>מורן אברג'ל יצחקי</v>
      </c>
      <c r="D125" s="139">
        <f>IF(ייצוב!K125="","",ייצוב!K125)</f>
        <v>5.667571253593638E-3</v>
      </c>
      <c r="E125" s="139">
        <f>IF(ייצוב!G125="","",ייצוב!G125)</f>
        <v>0</v>
      </c>
      <c r="F125" s="634">
        <f>'סיכום לועדה- הזנת נתונים'!G125</f>
        <v>1</v>
      </c>
      <c r="G125" s="146">
        <f t="shared" si="102"/>
        <v>0</v>
      </c>
      <c r="H125" s="432">
        <f t="shared" si="103"/>
        <v>0</v>
      </c>
      <c r="I125" s="433">
        <f t="shared" si="104"/>
        <v>5.667571253593638E-3</v>
      </c>
      <c r="J125" s="433">
        <f t="shared" si="105"/>
        <v>5.6674736607688903E-3</v>
      </c>
      <c r="K125" s="434">
        <f t="shared" si="106"/>
        <v>0</v>
      </c>
      <c r="L125" s="434">
        <f t="shared" si="107"/>
        <v>0</v>
      </c>
      <c r="M125" s="435">
        <f t="shared" si="108"/>
        <v>5.667571253593638E-3</v>
      </c>
      <c r="N125" s="435">
        <f t="shared" si="109"/>
        <v>5.6674742927923247E-3</v>
      </c>
      <c r="O125" s="434">
        <f t="shared" si="110"/>
        <v>0</v>
      </c>
      <c r="P125" s="434">
        <f t="shared" si="111"/>
        <v>0</v>
      </c>
      <c r="Q125" s="435">
        <f t="shared" si="112"/>
        <v>5.667571253593638E-3</v>
      </c>
      <c r="R125" s="435">
        <f t="shared" si="113"/>
        <v>5.6674736607688903E-3</v>
      </c>
      <c r="S125" s="434">
        <f t="shared" si="114"/>
        <v>0</v>
      </c>
      <c r="T125" s="434">
        <f t="shared" si="115"/>
        <v>0</v>
      </c>
      <c r="U125" s="435">
        <f t="shared" si="116"/>
        <v>5.6674736607688903E-3</v>
      </c>
      <c r="V125" s="435">
        <f t="shared" si="117"/>
        <v>5.6674736607688894E-3</v>
      </c>
      <c r="W125" s="434">
        <f t="shared" si="118"/>
        <v>0</v>
      </c>
      <c r="X125" s="434">
        <f t="shared" si="119"/>
        <v>0</v>
      </c>
      <c r="Y125" s="435">
        <f t="shared" si="120"/>
        <v>5.6674736607688894E-3</v>
      </c>
      <c r="Z125" s="435">
        <f t="shared" si="121"/>
        <v>5.6674736607688894E-3</v>
      </c>
      <c r="AA125" s="434">
        <f t="shared" si="122"/>
        <v>0</v>
      </c>
      <c r="AB125" s="434">
        <f t="shared" si="123"/>
        <v>0</v>
      </c>
      <c r="AC125" s="435">
        <f t="shared" si="124"/>
        <v>5.6674736607688894E-3</v>
      </c>
      <c r="AD125" s="435">
        <f t="shared" si="125"/>
        <v>5.6674736607688894E-3</v>
      </c>
      <c r="AE125" s="434">
        <f t="shared" si="126"/>
        <v>0</v>
      </c>
      <c r="AF125" s="434">
        <f t="shared" si="127"/>
        <v>0</v>
      </c>
      <c r="AG125" s="435">
        <f t="shared" si="128"/>
        <v>5.6674736607688894E-3</v>
      </c>
      <c r="AH125" s="435">
        <f t="shared" si="129"/>
        <v>5.6674736607688894E-3</v>
      </c>
      <c r="AI125" s="434">
        <f t="shared" si="130"/>
        <v>0</v>
      </c>
      <c r="AJ125" s="434">
        <f t="shared" si="131"/>
        <v>0</v>
      </c>
      <c r="AK125" s="435">
        <f t="shared" si="132"/>
        <v>5.6674736607688894E-3</v>
      </c>
      <c r="AL125" s="435">
        <f t="shared" si="133"/>
        <v>5.6674736607688894E-3</v>
      </c>
      <c r="AM125" s="434">
        <f t="shared" si="134"/>
        <v>0</v>
      </c>
      <c r="AN125" s="434">
        <f t="shared" si="135"/>
        <v>0</v>
      </c>
      <c r="AO125" s="435">
        <f t="shared" si="136"/>
        <v>5.6674736607688894E-3</v>
      </c>
      <c r="AP125" s="435">
        <f t="shared" si="137"/>
        <v>5.6674736607688894E-3</v>
      </c>
      <c r="AQ125" s="434">
        <f t="shared" si="138"/>
        <v>0</v>
      </c>
      <c r="AR125" s="434">
        <f t="shared" si="139"/>
        <v>0</v>
      </c>
      <c r="AS125" s="435">
        <f t="shared" si="140"/>
        <v>5.6674736607688894E-3</v>
      </c>
      <c r="AT125" s="435">
        <f t="shared" si="141"/>
        <v>5.6674736607688885E-3</v>
      </c>
      <c r="AU125" s="436">
        <f t="shared" si="142"/>
        <v>5.6674736607688894E-3</v>
      </c>
      <c r="AV125" s="151">
        <f t="shared" si="144"/>
        <v>45808.852076210991</v>
      </c>
      <c r="BA125" s="18">
        <f t="shared" si="100"/>
        <v>0</v>
      </c>
      <c r="BB125" s="18">
        <f t="shared" si="100"/>
        <v>1</v>
      </c>
      <c r="BD125" s="630">
        <f t="shared" si="145"/>
        <v>1</v>
      </c>
    </row>
    <row r="126" spans="2:56" x14ac:dyDescent="0.25">
      <c r="B126" s="73">
        <f t="shared" si="68"/>
        <v>106</v>
      </c>
      <c r="C126" s="424" t="str">
        <f>ייצוב!C126</f>
        <v>מיכל בן צבי</v>
      </c>
      <c r="D126" s="139">
        <f>IF(ייצוב!K126="","",ייצוב!K126)</f>
        <v>7.500297803564167E-3</v>
      </c>
      <c r="E126" s="139">
        <f>IF(ייצוב!G126="","",ייצוב!G126)</f>
        <v>0</v>
      </c>
      <c r="F126" s="634">
        <f>'סיכום לועדה- הזנת נתונים'!G126</f>
        <v>1</v>
      </c>
      <c r="G126" s="146">
        <f t="shared" si="102"/>
        <v>0</v>
      </c>
      <c r="H126" s="432">
        <f t="shared" si="103"/>
        <v>0</v>
      </c>
      <c r="I126" s="433">
        <f t="shared" si="104"/>
        <v>7.500297803564167E-3</v>
      </c>
      <c r="J126" s="433">
        <f t="shared" si="105"/>
        <v>7.5001686520782219E-3</v>
      </c>
      <c r="K126" s="434">
        <f t="shared" si="106"/>
        <v>0</v>
      </c>
      <c r="L126" s="434">
        <f t="shared" si="107"/>
        <v>0</v>
      </c>
      <c r="M126" s="435">
        <f t="shared" si="108"/>
        <v>7.500297803564167E-3</v>
      </c>
      <c r="N126" s="435">
        <f t="shared" si="109"/>
        <v>7.5001694884795252E-3</v>
      </c>
      <c r="O126" s="434">
        <f t="shared" si="110"/>
        <v>0</v>
      </c>
      <c r="P126" s="434">
        <f t="shared" si="111"/>
        <v>0</v>
      </c>
      <c r="Q126" s="435">
        <f t="shared" si="112"/>
        <v>7.500297803564167E-3</v>
      </c>
      <c r="R126" s="435">
        <f t="shared" si="113"/>
        <v>7.5001686520782219E-3</v>
      </c>
      <c r="S126" s="434">
        <f t="shared" si="114"/>
        <v>0</v>
      </c>
      <c r="T126" s="434">
        <f t="shared" si="115"/>
        <v>0</v>
      </c>
      <c r="U126" s="435">
        <f t="shared" si="116"/>
        <v>7.5001686520782219E-3</v>
      </c>
      <c r="V126" s="435">
        <f t="shared" si="117"/>
        <v>7.5001686520782202E-3</v>
      </c>
      <c r="W126" s="434">
        <f t="shared" si="118"/>
        <v>0</v>
      </c>
      <c r="X126" s="434">
        <f t="shared" si="119"/>
        <v>0</v>
      </c>
      <c r="Y126" s="435">
        <f t="shared" si="120"/>
        <v>7.5001686520782202E-3</v>
      </c>
      <c r="Z126" s="435">
        <f t="shared" si="121"/>
        <v>7.5001686520782202E-3</v>
      </c>
      <c r="AA126" s="434">
        <f t="shared" si="122"/>
        <v>0</v>
      </c>
      <c r="AB126" s="434">
        <f t="shared" si="123"/>
        <v>0</v>
      </c>
      <c r="AC126" s="435">
        <f t="shared" si="124"/>
        <v>7.5001686520782202E-3</v>
      </c>
      <c r="AD126" s="435">
        <f t="shared" si="125"/>
        <v>7.5001686520782202E-3</v>
      </c>
      <c r="AE126" s="434">
        <f t="shared" si="126"/>
        <v>0</v>
      </c>
      <c r="AF126" s="434">
        <f t="shared" si="127"/>
        <v>0</v>
      </c>
      <c r="AG126" s="435">
        <f t="shared" si="128"/>
        <v>7.5001686520782202E-3</v>
      </c>
      <c r="AH126" s="435">
        <f t="shared" si="129"/>
        <v>7.5001686520782202E-3</v>
      </c>
      <c r="AI126" s="434">
        <f t="shared" si="130"/>
        <v>0</v>
      </c>
      <c r="AJ126" s="434">
        <f t="shared" si="131"/>
        <v>0</v>
      </c>
      <c r="AK126" s="435">
        <f t="shared" si="132"/>
        <v>7.5001686520782202E-3</v>
      </c>
      <c r="AL126" s="435">
        <f t="shared" si="133"/>
        <v>7.5001686520782202E-3</v>
      </c>
      <c r="AM126" s="434">
        <f t="shared" si="134"/>
        <v>0</v>
      </c>
      <c r="AN126" s="434">
        <f t="shared" si="135"/>
        <v>0</v>
      </c>
      <c r="AO126" s="435">
        <f t="shared" si="136"/>
        <v>7.5001686520782202E-3</v>
      </c>
      <c r="AP126" s="435">
        <f t="shared" si="137"/>
        <v>7.5001686520782202E-3</v>
      </c>
      <c r="AQ126" s="434">
        <f t="shared" si="138"/>
        <v>0</v>
      </c>
      <c r="AR126" s="434">
        <f t="shared" si="139"/>
        <v>0</v>
      </c>
      <c r="AS126" s="435">
        <f t="shared" si="140"/>
        <v>7.5001686520782202E-3</v>
      </c>
      <c r="AT126" s="435">
        <f t="shared" si="141"/>
        <v>7.5001686520782193E-3</v>
      </c>
      <c r="AU126" s="436">
        <f t="shared" si="142"/>
        <v>7.500168652078221E-3</v>
      </c>
      <c r="AV126" s="151">
        <f t="shared" si="144"/>
        <v>60622.093174946371</v>
      </c>
      <c r="BA126" s="18">
        <f t="shared" si="100"/>
        <v>0</v>
      </c>
      <c r="BB126" s="18">
        <f t="shared" si="100"/>
        <v>1</v>
      </c>
      <c r="BD126" s="630">
        <f t="shared" si="145"/>
        <v>1</v>
      </c>
    </row>
    <row r="127" spans="2:56" x14ac:dyDescent="0.25">
      <c r="B127" s="73">
        <f t="shared" si="68"/>
        <v>107</v>
      </c>
      <c r="C127" s="424" t="str">
        <f>ייצוב!C127</f>
        <v>מיקה קופפר</v>
      </c>
      <c r="D127" s="139">
        <f>IF(ייצוב!K127="","",ייצוב!K127)</f>
        <v>7.2396348720815294E-3</v>
      </c>
      <c r="E127" s="139">
        <f>IF(ייצוב!G127="","",ייצוב!G127)</f>
        <v>7.9470576324041E-3</v>
      </c>
      <c r="F127" s="634">
        <f>'סיכום לועדה- הזנת נתונים'!G127</f>
        <v>1</v>
      </c>
      <c r="G127" s="146">
        <f t="shared" si="102"/>
        <v>0</v>
      </c>
      <c r="H127" s="432">
        <f t="shared" si="103"/>
        <v>0</v>
      </c>
      <c r="I127" s="433">
        <f t="shared" si="104"/>
        <v>7.2396348720815294E-3</v>
      </c>
      <c r="J127" s="433">
        <f t="shared" si="105"/>
        <v>7.2395102090846838E-3</v>
      </c>
      <c r="K127" s="434">
        <f t="shared" si="106"/>
        <v>0</v>
      </c>
      <c r="L127" s="434">
        <f t="shared" si="107"/>
        <v>0</v>
      </c>
      <c r="M127" s="435">
        <f t="shared" si="108"/>
        <v>7.2396348720815294E-3</v>
      </c>
      <c r="N127" s="435">
        <f t="shared" si="109"/>
        <v>7.2395110164179656E-3</v>
      </c>
      <c r="O127" s="434">
        <f t="shared" si="110"/>
        <v>0</v>
      </c>
      <c r="P127" s="434">
        <f t="shared" si="111"/>
        <v>0</v>
      </c>
      <c r="Q127" s="435">
        <f t="shared" si="112"/>
        <v>7.2396348720815294E-3</v>
      </c>
      <c r="R127" s="435">
        <f t="shared" si="113"/>
        <v>7.2395102090846838E-3</v>
      </c>
      <c r="S127" s="434">
        <f t="shared" si="114"/>
        <v>0</v>
      </c>
      <c r="T127" s="434">
        <f t="shared" si="115"/>
        <v>0</v>
      </c>
      <c r="U127" s="435">
        <f t="shared" si="116"/>
        <v>7.2395102090846838E-3</v>
      </c>
      <c r="V127" s="435">
        <f t="shared" si="117"/>
        <v>7.2395102090846821E-3</v>
      </c>
      <c r="W127" s="434">
        <f t="shared" si="118"/>
        <v>0</v>
      </c>
      <c r="X127" s="434">
        <f t="shared" si="119"/>
        <v>0</v>
      </c>
      <c r="Y127" s="435">
        <f t="shared" si="120"/>
        <v>7.2395102090846821E-3</v>
      </c>
      <c r="Z127" s="435">
        <f t="shared" si="121"/>
        <v>7.2395102090846821E-3</v>
      </c>
      <c r="AA127" s="434">
        <f t="shared" si="122"/>
        <v>0</v>
      </c>
      <c r="AB127" s="434">
        <f t="shared" si="123"/>
        <v>0</v>
      </c>
      <c r="AC127" s="435">
        <f t="shared" si="124"/>
        <v>7.2395102090846821E-3</v>
      </c>
      <c r="AD127" s="435">
        <f t="shared" si="125"/>
        <v>7.2395102090846821E-3</v>
      </c>
      <c r="AE127" s="434">
        <f t="shared" si="126"/>
        <v>0</v>
      </c>
      <c r="AF127" s="434">
        <f t="shared" si="127"/>
        <v>0</v>
      </c>
      <c r="AG127" s="435">
        <f t="shared" si="128"/>
        <v>7.2395102090846821E-3</v>
      </c>
      <c r="AH127" s="435">
        <f t="shared" si="129"/>
        <v>7.2395102090846821E-3</v>
      </c>
      <c r="AI127" s="434">
        <f t="shared" si="130"/>
        <v>0</v>
      </c>
      <c r="AJ127" s="434">
        <f t="shared" si="131"/>
        <v>0</v>
      </c>
      <c r="AK127" s="435">
        <f t="shared" si="132"/>
        <v>7.2395102090846821E-3</v>
      </c>
      <c r="AL127" s="435">
        <f t="shared" si="133"/>
        <v>7.2395102090846821E-3</v>
      </c>
      <c r="AM127" s="434">
        <f t="shared" si="134"/>
        <v>0</v>
      </c>
      <c r="AN127" s="434">
        <f t="shared" si="135"/>
        <v>0</v>
      </c>
      <c r="AO127" s="435">
        <f t="shared" si="136"/>
        <v>7.2395102090846821E-3</v>
      </c>
      <c r="AP127" s="435">
        <f t="shared" si="137"/>
        <v>7.2395102090846821E-3</v>
      </c>
      <c r="AQ127" s="434">
        <f t="shared" si="138"/>
        <v>0</v>
      </c>
      <c r="AR127" s="434">
        <f t="shared" si="139"/>
        <v>0</v>
      </c>
      <c r="AS127" s="435">
        <f t="shared" si="140"/>
        <v>7.2395102090846821E-3</v>
      </c>
      <c r="AT127" s="435">
        <f t="shared" si="141"/>
        <v>7.2395102090846812E-3</v>
      </c>
      <c r="AU127" s="436">
        <f t="shared" si="142"/>
        <v>7.2395102090846829E-3</v>
      </c>
      <c r="AV127" s="151">
        <f t="shared" si="144"/>
        <v>58515.252495622146</v>
      </c>
      <c r="BA127" s="18">
        <f t="shared" si="100"/>
        <v>0</v>
      </c>
      <c r="BB127" s="18">
        <f t="shared" si="100"/>
        <v>1</v>
      </c>
      <c r="BD127" s="630">
        <f t="shared" si="145"/>
        <v>1</v>
      </c>
    </row>
    <row r="128" spans="2:56" x14ac:dyDescent="0.25">
      <c r="B128" s="73" t="str">
        <f t="shared" si="68"/>
        <v/>
      </c>
      <c r="C128" s="424" t="str">
        <f>ייצוב!C128</f>
        <v/>
      </c>
      <c r="D128" s="139" t="str">
        <f>IF(ייצוב!K128="","",ייצוב!K128)</f>
        <v/>
      </c>
      <c r="E128" s="139" t="str">
        <f>IF(ייצוב!G128="","",ייצוב!G128)</f>
        <v/>
      </c>
      <c r="F128" s="634" t="str">
        <f>'סיכום לועדה- הזנת נתונים'!G128</f>
        <v/>
      </c>
      <c r="G128" s="146" t="str">
        <f t="shared" si="102"/>
        <v/>
      </c>
      <c r="H128" s="432" t="str">
        <f t="shared" si="103"/>
        <v/>
      </c>
      <c r="I128" s="433" t="str">
        <f t="shared" si="104"/>
        <v/>
      </c>
      <c r="J128" s="433" t="str">
        <f t="shared" si="105"/>
        <v/>
      </c>
      <c r="K128" s="434" t="str">
        <f t="shared" si="106"/>
        <v/>
      </c>
      <c r="L128" s="434" t="str">
        <f t="shared" si="107"/>
        <v/>
      </c>
      <c r="M128" s="435" t="str">
        <f t="shared" si="108"/>
        <v/>
      </c>
      <c r="N128" s="435" t="str">
        <f t="shared" si="109"/>
        <v/>
      </c>
      <c r="O128" s="434" t="str">
        <f t="shared" si="110"/>
        <v/>
      </c>
      <c r="P128" s="434" t="str">
        <f t="shared" si="111"/>
        <v/>
      </c>
      <c r="Q128" s="435" t="str">
        <f t="shared" si="112"/>
        <v/>
      </c>
      <c r="R128" s="435" t="str">
        <f t="shared" si="113"/>
        <v/>
      </c>
      <c r="S128" s="434" t="str">
        <f t="shared" si="114"/>
        <v/>
      </c>
      <c r="T128" s="434" t="str">
        <f t="shared" si="115"/>
        <v/>
      </c>
      <c r="U128" s="435" t="str">
        <f t="shared" si="116"/>
        <v/>
      </c>
      <c r="V128" s="435" t="str">
        <f t="shared" si="117"/>
        <v/>
      </c>
      <c r="W128" s="434" t="str">
        <f t="shared" si="118"/>
        <v/>
      </c>
      <c r="X128" s="434" t="str">
        <f t="shared" si="119"/>
        <v/>
      </c>
      <c r="Y128" s="435" t="str">
        <f t="shared" si="120"/>
        <v/>
      </c>
      <c r="Z128" s="435" t="str">
        <f t="shared" si="121"/>
        <v/>
      </c>
      <c r="AA128" s="434" t="str">
        <f t="shared" si="122"/>
        <v/>
      </c>
      <c r="AB128" s="434" t="str">
        <f t="shared" si="123"/>
        <v/>
      </c>
      <c r="AC128" s="435" t="str">
        <f t="shared" si="124"/>
        <v/>
      </c>
      <c r="AD128" s="435" t="str">
        <f t="shared" si="125"/>
        <v/>
      </c>
      <c r="AE128" s="434" t="str">
        <f t="shared" si="126"/>
        <v/>
      </c>
      <c r="AF128" s="434" t="str">
        <f t="shared" si="127"/>
        <v/>
      </c>
      <c r="AG128" s="435" t="str">
        <f t="shared" si="128"/>
        <v/>
      </c>
      <c r="AH128" s="435" t="str">
        <f t="shared" si="129"/>
        <v/>
      </c>
      <c r="AI128" s="434" t="str">
        <f t="shared" si="130"/>
        <v/>
      </c>
      <c r="AJ128" s="434" t="str">
        <f t="shared" si="131"/>
        <v/>
      </c>
      <c r="AK128" s="435" t="str">
        <f t="shared" si="132"/>
        <v/>
      </c>
      <c r="AL128" s="435" t="str">
        <f t="shared" si="133"/>
        <v/>
      </c>
      <c r="AM128" s="434" t="str">
        <f t="shared" si="134"/>
        <v/>
      </c>
      <c r="AN128" s="434" t="str">
        <f t="shared" si="135"/>
        <v/>
      </c>
      <c r="AO128" s="435" t="str">
        <f t="shared" si="136"/>
        <v/>
      </c>
      <c r="AP128" s="435" t="str">
        <f t="shared" si="137"/>
        <v/>
      </c>
      <c r="AQ128" s="434" t="str">
        <f t="shared" si="138"/>
        <v/>
      </c>
      <c r="AR128" s="434" t="str">
        <f t="shared" si="139"/>
        <v/>
      </c>
      <c r="AS128" s="435" t="str">
        <f t="shared" si="140"/>
        <v/>
      </c>
      <c r="AT128" s="435" t="str">
        <f t="shared" si="141"/>
        <v/>
      </c>
      <c r="AU128" s="436" t="str">
        <f t="shared" si="142"/>
        <v/>
      </c>
      <c r="AV128" s="151" t="str">
        <f t="shared" si="144"/>
        <v/>
      </c>
      <c r="BA128" s="18" t="str">
        <f t="shared" si="100"/>
        <v/>
      </c>
      <c r="BB128" s="18" t="str">
        <f t="shared" si="100"/>
        <v/>
      </c>
      <c r="BD128" s="630">
        <f t="shared" si="145"/>
        <v>0</v>
      </c>
    </row>
    <row r="129" spans="2:56" x14ac:dyDescent="0.25">
      <c r="B129" s="73">
        <f t="shared" si="68"/>
        <v>109</v>
      </c>
      <c r="C129" s="424" t="str">
        <f>ייצוב!C129</f>
        <v>נועה שילה</v>
      </c>
      <c r="D129" s="139">
        <f>IF(ייצוב!K129="","",ייצוב!K129)</f>
        <v>6.9680983884542087E-3</v>
      </c>
      <c r="E129" s="139">
        <f>IF(ייצוב!G129="","",ייצוב!G129)</f>
        <v>0</v>
      </c>
      <c r="F129" s="634">
        <f>'סיכום לועדה- הזנת נתונים'!G129</f>
        <v>1</v>
      </c>
      <c r="G129" s="146">
        <f t="shared" si="102"/>
        <v>0</v>
      </c>
      <c r="H129" s="432">
        <f t="shared" si="103"/>
        <v>0</v>
      </c>
      <c r="I129" s="433">
        <f t="shared" si="104"/>
        <v>6.9680983884542087E-3</v>
      </c>
      <c r="J129" s="433">
        <f t="shared" si="105"/>
        <v>6.96797840118375E-3</v>
      </c>
      <c r="K129" s="434">
        <f t="shared" si="106"/>
        <v>0</v>
      </c>
      <c r="L129" s="434">
        <f t="shared" si="107"/>
        <v>0</v>
      </c>
      <c r="M129" s="435">
        <f t="shared" si="108"/>
        <v>6.9680983884542087E-3</v>
      </c>
      <c r="N129" s="435">
        <f t="shared" si="109"/>
        <v>6.9679791782364378E-3</v>
      </c>
      <c r="O129" s="434">
        <f t="shared" si="110"/>
        <v>0</v>
      </c>
      <c r="P129" s="434">
        <f t="shared" si="111"/>
        <v>0</v>
      </c>
      <c r="Q129" s="435">
        <f t="shared" si="112"/>
        <v>6.9680983884542087E-3</v>
      </c>
      <c r="R129" s="435">
        <f t="shared" si="113"/>
        <v>6.96797840118375E-3</v>
      </c>
      <c r="S129" s="434">
        <f t="shared" si="114"/>
        <v>0</v>
      </c>
      <c r="T129" s="434">
        <f t="shared" si="115"/>
        <v>0</v>
      </c>
      <c r="U129" s="435">
        <f t="shared" si="116"/>
        <v>6.96797840118375E-3</v>
      </c>
      <c r="V129" s="435">
        <f t="shared" si="117"/>
        <v>6.9679784011837482E-3</v>
      </c>
      <c r="W129" s="434">
        <f t="shared" si="118"/>
        <v>0</v>
      </c>
      <c r="X129" s="434">
        <f t="shared" si="119"/>
        <v>0</v>
      </c>
      <c r="Y129" s="435">
        <f t="shared" si="120"/>
        <v>6.9679784011837482E-3</v>
      </c>
      <c r="Z129" s="435">
        <f t="shared" si="121"/>
        <v>6.9679784011837482E-3</v>
      </c>
      <c r="AA129" s="434">
        <f t="shared" si="122"/>
        <v>0</v>
      </c>
      <c r="AB129" s="434">
        <f t="shared" si="123"/>
        <v>0</v>
      </c>
      <c r="AC129" s="435">
        <f t="shared" si="124"/>
        <v>6.9679784011837482E-3</v>
      </c>
      <c r="AD129" s="435">
        <f t="shared" si="125"/>
        <v>6.9679784011837482E-3</v>
      </c>
      <c r="AE129" s="434">
        <f t="shared" si="126"/>
        <v>0</v>
      </c>
      <c r="AF129" s="434">
        <f t="shared" si="127"/>
        <v>0</v>
      </c>
      <c r="AG129" s="435">
        <f t="shared" si="128"/>
        <v>6.9679784011837482E-3</v>
      </c>
      <c r="AH129" s="435">
        <f t="shared" si="129"/>
        <v>6.9679784011837482E-3</v>
      </c>
      <c r="AI129" s="434">
        <f t="shared" si="130"/>
        <v>0</v>
      </c>
      <c r="AJ129" s="434">
        <f t="shared" si="131"/>
        <v>0</v>
      </c>
      <c r="AK129" s="435">
        <f t="shared" si="132"/>
        <v>6.9679784011837482E-3</v>
      </c>
      <c r="AL129" s="435">
        <f t="shared" si="133"/>
        <v>6.9679784011837482E-3</v>
      </c>
      <c r="AM129" s="434">
        <f t="shared" si="134"/>
        <v>0</v>
      </c>
      <c r="AN129" s="434">
        <f t="shared" si="135"/>
        <v>0</v>
      </c>
      <c r="AO129" s="435">
        <f t="shared" si="136"/>
        <v>6.9679784011837482E-3</v>
      </c>
      <c r="AP129" s="435">
        <f t="shared" si="137"/>
        <v>6.9679784011837482E-3</v>
      </c>
      <c r="AQ129" s="434">
        <f t="shared" si="138"/>
        <v>0</v>
      </c>
      <c r="AR129" s="434">
        <f t="shared" si="139"/>
        <v>0</v>
      </c>
      <c r="AS129" s="435">
        <f t="shared" si="140"/>
        <v>6.9679784011837482E-3</v>
      </c>
      <c r="AT129" s="435">
        <f t="shared" si="141"/>
        <v>6.9679784011837474E-3</v>
      </c>
      <c r="AU129" s="436">
        <f t="shared" si="142"/>
        <v>6.9679784011837491E-3</v>
      </c>
      <c r="AV129" s="151">
        <f t="shared" si="144"/>
        <v>56320.524973865562</v>
      </c>
      <c r="BA129" s="18">
        <f t="shared" si="100"/>
        <v>0</v>
      </c>
      <c r="BB129" s="18">
        <f t="shared" si="100"/>
        <v>1</v>
      </c>
      <c r="BD129" s="630">
        <f t="shared" si="145"/>
        <v>1</v>
      </c>
    </row>
    <row r="130" spans="2:56" x14ac:dyDescent="0.25">
      <c r="B130" s="73" t="str">
        <f t="shared" si="68"/>
        <v/>
      </c>
      <c r="C130" s="424" t="str">
        <f>ייצוב!C130</f>
        <v/>
      </c>
      <c r="D130" s="139" t="str">
        <f>IF(ייצוב!K130="","",ייצוב!K130)</f>
        <v/>
      </c>
      <c r="E130" s="139" t="str">
        <f>IF(ייצוב!G130="","",ייצוב!G130)</f>
        <v/>
      </c>
      <c r="F130" s="634" t="str">
        <f>'סיכום לועדה- הזנת נתונים'!G130</f>
        <v/>
      </c>
      <c r="G130" s="146" t="str">
        <f t="shared" si="102"/>
        <v/>
      </c>
      <c r="H130" s="432" t="str">
        <f t="shared" si="103"/>
        <v/>
      </c>
      <c r="I130" s="433" t="str">
        <f t="shared" si="104"/>
        <v/>
      </c>
      <c r="J130" s="433" t="str">
        <f t="shared" si="105"/>
        <v/>
      </c>
      <c r="K130" s="434" t="str">
        <f t="shared" si="106"/>
        <v/>
      </c>
      <c r="L130" s="434" t="str">
        <f t="shared" si="107"/>
        <v/>
      </c>
      <c r="M130" s="435" t="str">
        <f t="shared" si="108"/>
        <v/>
      </c>
      <c r="N130" s="435" t="str">
        <f t="shared" si="109"/>
        <v/>
      </c>
      <c r="O130" s="434" t="str">
        <f t="shared" si="110"/>
        <v/>
      </c>
      <c r="P130" s="434" t="str">
        <f t="shared" si="111"/>
        <v/>
      </c>
      <c r="Q130" s="435" t="str">
        <f t="shared" si="112"/>
        <v/>
      </c>
      <c r="R130" s="435" t="str">
        <f t="shared" si="113"/>
        <v/>
      </c>
      <c r="S130" s="434" t="str">
        <f t="shared" si="114"/>
        <v/>
      </c>
      <c r="T130" s="434" t="str">
        <f t="shared" si="115"/>
        <v/>
      </c>
      <c r="U130" s="435" t="str">
        <f t="shared" si="116"/>
        <v/>
      </c>
      <c r="V130" s="435" t="str">
        <f t="shared" si="117"/>
        <v/>
      </c>
      <c r="W130" s="434" t="str">
        <f t="shared" si="118"/>
        <v/>
      </c>
      <c r="X130" s="434" t="str">
        <f t="shared" si="119"/>
        <v/>
      </c>
      <c r="Y130" s="435" t="str">
        <f t="shared" si="120"/>
        <v/>
      </c>
      <c r="Z130" s="435" t="str">
        <f t="shared" si="121"/>
        <v/>
      </c>
      <c r="AA130" s="434" t="str">
        <f t="shared" si="122"/>
        <v/>
      </c>
      <c r="AB130" s="434" t="str">
        <f t="shared" si="123"/>
        <v/>
      </c>
      <c r="AC130" s="435" t="str">
        <f t="shared" si="124"/>
        <v/>
      </c>
      <c r="AD130" s="435" t="str">
        <f t="shared" si="125"/>
        <v/>
      </c>
      <c r="AE130" s="434" t="str">
        <f t="shared" si="126"/>
        <v/>
      </c>
      <c r="AF130" s="434" t="str">
        <f t="shared" si="127"/>
        <v/>
      </c>
      <c r="AG130" s="435" t="str">
        <f t="shared" si="128"/>
        <v/>
      </c>
      <c r="AH130" s="435" t="str">
        <f t="shared" si="129"/>
        <v/>
      </c>
      <c r="AI130" s="434" t="str">
        <f t="shared" si="130"/>
        <v/>
      </c>
      <c r="AJ130" s="434" t="str">
        <f t="shared" si="131"/>
        <v/>
      </c>
      <c r="AK130" s="435" t="str">
        <f t="shared" si="132"/>
        <v/>
      </c>
      <c r="AL130" s="435" t="str">
        <f t="shared" si="133"/>
        <v/>
      </c>
      <c r="AM130" s="434" t="str">
        <f t="shared" si="134"/>
        <v/>
      </c>
      <c r="AN130" s="434" t="str">
        <f t="shared" si="135"/>
        <v/>
      </c>
      <c r="AO130" s="435" t="str">
        <f t="shared" si="136"/>
        <v/>
      </c>
      <c r="AP130" s="435" t="str">
        <f t="shared" si="137"/>
        <v/>
      </c>
      <c r="AQ130" s="434" t="str">
        <f t="shared" si="138"/>
        <v/>
      </c>
      <c r="AR130" s="434" t="str">
        <f t="shared" si="139"/>
        <v/>
      </c>
      <c r="AS130" s="435" t="str">
        <f t="shared" si="140"/>
        <v/>
      </c>
      <c r="AT130" s="435" t="str">
        <f t="shared" si="141"/>
        <v/>
      </c>
      <c r="AU130" s="436" t="str">
        <f t="shared" si="142"/>
        <v/>
      </c>
      <c r="AV130" s="151" t="str">
        <f t="shared" si="144"/>
        <v/>
      </c>
      <c r="BA130" s="18" t="str">
        <f t="shared" si="100"/>
        <v/>
      </c>
      <c r="BB130" s="18" t="str">
        <f t="shared" si="100"/>
        <v/>
      </c>
      <c r="BD130" s="630">
        <f t="shared" si="145"/>
        <v>0</v>
      </c>
    </row>
    <row r="131" spans="2:56" x14ac:dyDescent="0.25">
      <c r="B131" s="73">
        <f t="shared" si="68"/>
        <v>111</v>
      </c>
      <c r="C131" s="424" t="str">
        <f>ייצוב!C131</f>
        <v>עדי בוטרוס אמנויות הבמה (ע"ר)</v>
      </c>
      <c r="D131" s="139">
        <f>IF(ייצוב!K131="","",ייצוב!K131)</f>
        <v>1.2452109706861869E-2</v>
      </c>
      <c r="E131" s="139">
        <f>IF(ייצוב!G131="","",ייצוב!G131)</f>
        <v>1.002925959728255E-2</v>
      </c>
      <c r="F131" s="634">
        <f>'סיכום לועדה- הזנת נתונים'!G131</f>
        <v>1</v>
      </c>
      <c r="G131" s="146">
        <f t="shared" si="102"/>
        <v>0</v>
      </c>
      <c r="H131" s="432">
        <f t="shared" si="103"/>
        <v>0</v>
      </c>
      <c r="I131" s="433">
        <f t="shared" si="104"/>
        <v>1.2452109706861869E-2</v>
      </c>
      <c r="J131" s="433">
        <f t="shared" si="105"/>
        <v>1.2451895287579607E-2</v>
      </c>
      <c r="K131" s="434">
        <f t="shared" si="106"/>
        <v>0</v>
      </c>
      <c r="L131" s="434">
        <f t="shared" si="107"/>
        <v>0</v>
      </c>
      <c r="M131" s="435">
        <f t="shared" si="108"/>
        <v>1.2452109706861869E-2</v>
      </c>
      <c r="N131" s="435">
        <f t="shared" si="109"/>
        <v>1.2451896676185906E-2</v>
      </c>
      <c r="O131" s="434">
        <f t="shared" si="110"/>
        <v>0</v>
      </c>
      <c r="P131" s="434">
        <f t="shared" si="111"/>
        <v>0</v>
      </c>
      <c r="Q131" s="435">
        <f t="shared" si="112"/>
        <v>1.2452109706861869E-2</v>
      </c>
      <c r="R131" s="435">
        <f t="shared" si="113"/>
        <v>1.2451895287579607E-2</v>
      </c>
      <c r="S131" s="434">
        <f t="shared" si="114"/>
        <v>0</v>
      </c>
      <c r="T131" s="434">
        <f t="shared" si="115"/>
        <v>0</v>
      </c>
      <c r="U131" s="435">
        <f t="shared" si="116"/>
        <v>1.2451895287579607E-2</v>
      </c>
      <c r="V131" s="435">
        <f t="shared" si="117"/>
        <v>1.2451895287579604E-2</v>
      </c>
      <c r="W131" s="434">
        <f t="shared" si="118"/>
        <v>0</v>
      </c>
      <c r="X131" s="434">
        <f t="shared" si="119"/>
        <v>0</v>
      </c>
      <c r="Y131" s="435">
        <f t="shared" si="120"/>
        <v>1.2451895287579604E-2</v>
      </c>
      <c r="Z131" s="435">
        <f t="shared" si="121"/>
        <v>1.2451895287579604E-2</v>
      </c>
      <c r="AA131" s="434">
        <f t="shared" si="122"/>
        <v>0</v>
      </c>
      <c r="AB131" s="434">
        <f t="shared" si="123"/>
        <v>0</v>
      </c>
      <c r="AC131" s="435">
        <f t="shared" si="124"/>
        <v>1.2451895287579604E-2</v>
      </c>
      <c r="AD131" s="435">
        <f t="shared" si="125"/>
        <v>1.2451895287579604E-2</v>
      </c>
      <c r="AE131" s="434">
        <f t="shared" si="126"/>
        <v>0</v>
      </c>
      <c r="AF131" s="434">
        <f t="shared" si="127"/>
        <v>0</v>
      </c>
      <c r="AG131" s="435">
        <f t="shared" si="128"/>
        <v>1.2451895287579604E-2</v>
      </c>
      <c r="AH131" s="435">
        <f t="shared" si="129"/>
        <v>1.2451895287579604E-2</v>
      </c>
      <c r="AI131" s="434">
        <f t="shared" si="130"/>
        <v>0</v>
      </c>
      <c r="AJ131" s="434">
        <f t="shared" si="131"/>
        <v>0</v>
      </c>
      <c r="AK131" s="435">
        <f t="shared" si="132"/>
        <v>1.2451895287579604E-2</v>
      </c>
      <c r="AL131" s="435">
        <f t="shared" si="133"/>
        <v>1.2451895287579604E-2</v>
      </c>
      <c r="AM131" s="434">
        <f t="shared" si="134"/>
        <v>0</v>
      </c>
      <c r="AN131" s="434">
        <f t="shared" si="135"/>
        <v>0</v>
      </c>
      <c r="AO131" s="435">
        <f t="shared" si="136"/>
        <v>1.2451895287579604E-2</v>
      </c>
      <c r="AP131" s="435">
        <f t="shared" si="137"/>
        <v>1.2451895287579604E-2</v>
      </c>
      <c r="AQ131" s="434">
        <f t="shared" si="138"/>
        <v>0</v>
      </c>
      <c r="AR131" s="434">
        <f t="shared" si="139"/>
        <v>0</v>
      </c>
      <c r="AS131" s="435">
        <f t="shared" si="140"/>
        <v>1.2451895287579604E-2</v>
      </c>
      <c r="AT131" s="435">
        <f t="shared" si="141"/>
        <v>1.2451895287579602E-2</v>
      </c>
      <c r="AU131" s="436">
        <f t="shared" si="142"/>
        <v>1.2451895287579605E-2</v>
      </c>
      <c r="AV131" s="151">
        <f t="shared" si="144"/>
        <v>100645.73096221808</v>
      </c>
      <c r="BA131" s="18">
        <f t="shared" si="100"/>
        <v>0</v>
      </c>
      <c r="BB131" s="18">
        <f t="shared" si="100"/>
        <v>1</v>
      </c>
      <c r="BD131" s="630">
        <f t="shared" si="145"/>
        <v>1</v>
      </c>
    </row>
    <row r="132" spans="2:56" ht="16.5" thickBot="1" x14ac:dyDescent="0.3">
      <c r="B132" s="73" t="str">
        <f t="shared" si="68"/>
        <v/>
      </c>
      <c r="C132" s="424" t="str">
        <f>ייצוב!C132</f>
        <v/>
      </c>
      <c r="D132" s="139" t="str">
        <f>IF(ייצוב!K132="","",ייצוב!K132)</f>
        <v/>
      </c>
      <c r="E132" s="139" t="str">
        <f>IF(ייצוב!G132="","",ייצוב!G132)</f>
        <v/>
      </c>
      <c r="F132" s="634" t="str">
        <f>'סיכום לועדה- הזנת נתונים'!G132</f>
        <v/>
      </c>
      <c r="G132" s="146" t="str">
        <f t="shared" si="102"/>
        <v/>
      </c>
      <c r="H132" s="432" t="str">
        <f t="shared" si="103"/>
        <v/>
      </c>
      <c r="I132" s="433" t="str">
        <f t="shared" si="104"/>
        <v/>
      </c>
      <c r="J132" s="433" t="str">
        <f t="shared" si="105"/>
        <v/>
      </c>
      <c r="K132" s="434" t="str">
        <f t="shared" si="106"/>
        <v/>
      </c>
      <c r="L132" s="434" t="str">
        <f t="shared" si="107"/>
        <v/>
      </c>
      <c r="M132" s="435" t="str">
        <f t="shared" si="108"/>
        <v/>
      </c>
      <c r="N132" s="435" t="str">
        <f t="shared" si="109"/>
        <v/>
      </c>
      <c r="O132" s="434" t="str">
        <f t="shared" si="110"/>
        <v/>
      </c>
      <c r="P132" s="434" t="str">
        <f t="shared" si="111"/>
        <v/>
      </c>
      <c r="Q132" s="435" t="str">
        <f t="shared" si="112"/>
        <v/>
      </c>
      <c r="R132" s="435" t="str">
        <f t="shared" si="113"/>
        <v/>
      </c>
      <c r="S132" s="434" t="str">
        <f t="shared" si="114"/>
        <v/>
      </c>
      <c r="T132" s="434" t="str">
        <f t="shared" si="115"/>
        <v/>
      </c>
      <c r="U132" s="435" t="str">
        <f t="shared" si="116"/>
        <v/>
      </c>
      <c r="V132" s="435" t="str">
        <f t="shared" si="117"/>
        <v/>
      </c>
      <c r="W132" s="434" t="str">
        <f t="shared" si="118"/>
        <v/>
      </c>
      <c r="X132" s="434" t="str">
        <f t="shared" si="119"/>
        <v/>
      </c>
      <c r="Y132" s="435" t="str">
        <f t="shared" si="120"/>
        <v/>
      </c>
      <c r="Z132" s="435" t="str">
        <f t="shared" si="121"/>
        <v/>
      </c>
      <c r="AA132" s="434" t="str">
        <f t="shared" si="122"/>
        <v/>
      </c>
      <c r="AB132" s="434" t="str">
        <f t="shared" si="123"/>
        <v/>
      </c>
      <c r="AC132" s="435" t="str">
        <f t="shared" si="124"/>
        <v/>
      </c>
      <c r="AD132" s="435" t="str">
        <f t="shared" si="125"/>
        <v/>
      </c>
      <c r="AE132" s="434" t="str">
        <f t="shared" si="126"/>
        <v/>
      </c>
      <c r="AF132" s="434" t="str">
        <f t="shared" si="127"/>
        <v/>
      </c>
      <c r="AG132" s="435" t="str">
        <f t="shared" si="128"/>
        <v/>
      </c>
      <c r="AH132" s="435" t="str">
        <f t="shared" si="129"/>
        <v/>
      </c>
      <c r="AI132" s="434" t="str">
        <f t="shared" si="130"/>
        <v/>
      </c>
      <c r="AJ132" s="434" t="str">
        <f t="shared" si="131"/>
        <v/>
      </c>
      <c r="AK132" s="435" t="str">
        <f t="shared" si="132"/>
        <v/>
      </c>
      <c r="AL132" s="435" t="str">
        <f t="shared" si="133"/>
        <v/>
      </c>
      <c r="AM132" s="434" t="str">
        <f t="shared" si="134"/>
        <v/>
      </c>
      <c r="AN132" s="434" t="str">
        <f t="shared" si="135"/>
        <v/>
      </c>
      <c r="AO132" s="435" t="str">
        <f t="shared" si="136"/>
        <v/>
      </c>
      <c r="AP132" s="435" t="str">
        <f t="shared" si="137"/>
        <v/>
      </c>
      <c r="AQ132" s="434" t="str">
        <f t="shared" si="138"/>
        <v/>
      </c>
      <c r="AR132" s="434" t="str">
        <f t="shared" si="139"/>
        <v/>
      </c>
      <c r="AS132" s="435" t="str">
        <f t="shared" si="140"/>
        <v/>
      </c>
      <c r="AT132" s="435" t="str">
        <f t="shared" si="141"/>
        <v/>
      </c>
      <c r="AU132" s="436" t="str">
        <f t="shared" si="142"/>
        <v/>
      </c>
      <c r="AV132" s="151" t="str">
        <f t="shared" si="144"/>
        <v/>
      </c>
      <c r="BA132" s="18" t="str">
        <f t="shared" si="100"/>
        <v/>
      </c>
      <c r="BB132" s="18" t="str">
        <f t="shared" si="100"/>
        <v/>
      </c>
      <c r="BD132" s="630">
        <f t="shared" si="145"/>
        <v>0</v>
      </c>
    </row>
    <row r="133" spans="2:56" ht="16.5" thickBot="1" x14ac:dyDescent="0.3">
      <c r="B133" s="852" t="s">
        <v>41</v>
      </c>
      <c r="C133" s="853"/>
      <c r="D133" s="154">
        <f t="shared" ref="D133:AV133" si="146">SUM(D21:D132)</f>
        <v>1.0000000000000004</v>
      </c>
      <c r="E133" s="141">
        <f t="shared" si="146"/>
        <v>0.9491081538522057</v>
      </c>
      <c r="F133" s="142">
        <f t="shared" si="146"/>
        <v>49</v>
      </c>
      <c r="G133" s="142">
        <f t="shared" si="146"/>
        <v>3</v>
      </c>
      <c r="H133" s="142">
        <f t="shared" si="146"/>
        <v>1</v>
      </c>
      <c r="I133" s="155">
        <f t="shared" si="146"/>
        <v>1.0000171082913312</v>
      </c>
      <c r="J133" s="155">
        <f t="shared" si="146"/>
        <v>1.0000000000000002</v>
      </c>
      <c r="K133" s="142">
        <f t="shared" si="146"/>
        <v>2</v>
      </c>
      <c r="L133" s="142">
        <f t="shared" si="146"/>
        <v>0</v>
      </c>
      <c r="M133" s="155">
        <f t="shared" si="146"/>
        <v>1.0000171082913312</v>
      </c>
      <c r="N133" s="155">
        <f t="shared" si="146"/>
        <v>1.0000000000000002</v>
      </c>
      <c r="O133" s="142">
        <f t="shared" si="146"/>
        <v>3</v>
      </c>
      <c r="P133" s="142">
        <f t="shared" si="146"/>
        <v>1</v>
      </c>
      <c r="Q133" s="155">
        <f t="shared" si="146"/>
        <v>1.0000171082913312</v>
      </c>
      <c r="R133" s="155">
        <f t="shared" si="146"/>
        <v>1.0000000000000002</v>
      </c>
      <c r="S133" s="142">
        <f t="shared" si="146"/>
        <v>2</v>
      </c>
      <c r="T133" s="142">
        <f t="shared" si="146"/>
        <v>0</v>
      </c>
      <c r="U133" s="155">
        <f t="shared" si="146"/>
        <v>1.0000000000000002</v>
      </c>
      <c r="V133" s="155">
        <f t="shared" si="146"/>
        <v>1</v>
      </c>
      <c r="W133" s="142">
        <f t="shared" si="146"/>
        <v>2</v>
      </c>
      <c r="X133" s="142">
        <f t="shared" si="146"/>
        <v>0</v>
      </c>
      <c r="Y133" s="155">
        <f t="shared" si="146"/>
        <v>1</v>
      </c>
      <c r="Z133" s="155">
        <f t="shared" si="146"/>
        <v>1</v>
      </c>
      <c r="AA133" s="142">
        <f t="shared" si="146"/>
        <v>2</v>
      </c>
      <c r="AB133" s="142">
        <f t="shared" si="146"/>
        <v>0</v>
      </c>
      <c r="AC133" s="155">
        <f t="shared" si="146"/>
        <v>1</v>
      </c>
      <c r="AD133" s="155">
        <f t="shared" si="146"/>
        <v>1</v>
      </c>
      <c r="AE133" s="142">
        <f t="shared" si="146"/>
        <v>2</v>
      </c>
      <c r="AF133" s="142">
        <f t="shared" si="146"/>
        <v>0</v>
      </c>
      <c r="AG133" s="155">
        <f t="shared" si="146"/>
        <v>1</v>
      </c>
      <c r="AH133" s="155">
        <f t="shared" si="146"/>
        <v>1</v>
      </c>
      <c r="AI133" s="142">
        <f t="shared" si="146"/>
        <v>2</v>
      </c>
      <c r="AJ133" s="142">
        <f t="shared" si="146"/>
        <v>0</v>
      </c>
      <c r="AK133" s="155">
        <f t="shared" si="146"/>
        <v>1</v>
      </c>
      <c r="AL133" s="155">
        <f t="shared" si="146"/>
        <v>1</v>
      </c>
      <c r="AM133" s="142">
        <f t="shared" si="146"/>
        <v>2</v>
      </c>
      <c r="AN133" s="142">
        <f t="shared" si="146"/>
        <v>0</v>
      </c>
      <c r="AO133" s="155">
        <f t="shared" si="146"/>
        <v>1</v>
      </c>
      <c r="AP133" s="155">
        <f t="shared" si="146"/>
        <v>1</v>
      </c>
      <c r="AQ133" s="142">
        <f t="shared" si="146"/>
        <v>3</v>
      </c>
      <c r="AR133" s="142">
        <f t="shared" si="146"/>
        <v>1</v>
      </c>
      <c r="AS133" s="155">
        <f t="shared" si="146"/>
        <v>1</v>
      </c>
      <c r="AT133" s="155">
        <f t="shared" si="146"/>
        <v>0.99999999999999978</v>
      </c>
      <c r="AU133" s="155">
        <f t="shared" si="146"/>
        <v>1</v>
      </c>
      <c r="AV133" s="635">
        <f t="shared" si="146"/>
        <v>8082763.9999999963</v>
      </c>
    </row>
  </sheetData>
  <sheetProtection algorithmName="SHA-512" hashValue="Sntu5ud7PnADAm01dXG3Qp+Rneu+6cloFMINQ75gea2NgwL2LjL9Os/qO90n72PU+CTqZ9i+6SDKpKow0LJe1Q==" saltValue="YIEIQ3j8TeRyjccCjLhZ7Q==" spinCount="100000" sheet="1" objects="1" scenarios="1" autoFilter="0"/>
  <mergeCells count="50">
    <mergeCell ref="C5:D5"/>
    <mergeCell ref="C6:D6"/>
    <mergeCell ref="B18:AV18"/>
    <mergeCell ref="B19:B20"/>
    <mergeCell ref="C19:C20"/>
    <mergeCell ref="D19:D20"/>
    <mergeCell ref="E19:E20"/>
    <mergeCell ref="G19:G20"/>
    <mergeCell ref="H19:H20"/>
    <mergeCell ref="I19:I20"/>
    <mergeCell ref="U19:U20"/>
    <mergeCell ref="J19:J20"/>
    <mergeCell ref="K19:K20"/>
    <mergeCell ref="L19:L20"/>
    <mergeCell ref="M19:M20"/>
    <mergeCell ref="N19:N20"/>
    <mergeCell ref="O19:O20"/>
    <mergeCell ref="P19:P20"/>
    <mergeCell ref="Q19:Q20"/>
    <mergeCell ref="R19:R20"/>
    <mergeCell ref="S19:S20"/>
    <mergeCell ref="T19:T20"/>
    <mergeCell ref="AG19:AG20"/>
    <mergeCell ref="V19:V20"/>
    <mergeCell ref="W19:W20"/>
    <mergeCell ref="X19:X20"/>
    <mergeCell ref="Y19:Y20"/>
    <mergeCell ref="Z19:Z20"/>
    <mergeCell ref="AA19:AA20"/>
    <mergeCell ref="AB19:AB20"/>
    <mergeCell ref="AC19:AC20"/>
    <mergeCell ref="AD19:AD20"/>
    <mergeCell ref="AE19:AE20"/>
    <mergeCell ref="AF19:AF20"/>
    <mergeCell ref="AT19:AT20"/>
    <mergeCell ref="AU19:AU20"/>
    <mergeCell ref="AV19:AV20"/>
    <mergeCell ref="B133:C133"/>
    <mergeCell ref="AN19:AN20"/>
    <mergeCell ref="AO19:AO20"/>
    <mergeCell ref="AP19:AP20"/>
    <mergeCell ref="AQ19:AQ20"/>
    <mergeCell ref="AR19:AR20"/>
    <mergeCell ref="AS19:AS20"/>
    <mergeCell ref="AH19:AH20"/>
    <mergeCell ref="AI19:AI20"/>
    <mergeCell ref="AJ19:AJ20"/>
    <mergeCell ref="AK19:AK20"/>
    <mergeCell ref="AL19:AL20"/>
    <mergeCell ref="AM19:AM20"/>
  </mergeCells>
  <conditionalFormatting sqref="B21:J132">
    <cfRule type="containsBlanks" dxfId="95" priority="2">
      <formula>LEN(TRIM(B21))=0</formula>
    </cfRule>
  </conditionalFormatting>
  <conditionalFormatting sqref="C1:C2">
    <cfRule type="containsBlanks" dxfId="94" priority="13">
      <formula>LEN(TRIM(C1))=0</formula>
    </cfRule>
  </conditionalFormatting>
  <conditionalFormatting sqref="F21:G132">
    <cfRule type="expression" dxfId="93" priority="1">
      <formula>F21=$BA$1</formula>
    </cfRule>
  </conditionalFormatting>
  <conditionalFormatting sqref="K21:AT132">
    <cfRule type="containsText" dxfId="92" priority="16" operator="containsText" text="הזנה שגויה">
      <formula>NOT(ISERROR(SEARCH("הזנה שגויה",K21)))</formula>
    </cfRule>
  </conditionalFormatting>
  <conditionalFormatting sqref="AU21:AV132">
    <cfRule type="expression" dxfId="91" priority="7">
      <formula>AU21=$BA$1</formula>
    </cfRule>
    <cfRule type="containsBlanks" dxfId="90" priority="9">
      <formula>LEN(TRIM(AU21))=0</formula>
    </cfRule>
  </conditionalFormatting>
  <dataValidations count="1">
    <dataValidation allowBlank="1" showInputMessage="1" showErrorMessage="1" error="יש להזין 0 או 1 _x000a_0  = לא זכאי להגנה_x000a_1 - זכאי להגנה" sqref="F21:F132" xr:uid="{2569AC82-D917-46BE-9DD7-98974EE9B080}"/>
  </dataValidations>
  <printOptions horizontalCentered="1"/>
  <pageMargins left="0.27559055118110237" right="0.19685039370078741" top="0.62992125984251968" bottom="0.47244094488188981" header="0.31496062992125984" footer="0.23622047244094491"/>
  <pageSetup paperSize="9" scale="37" orientation="portrait" horizontalDpi="1200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8">
    <tabColor theme="4" tint="-0.249977111117893"/>
    <pageSetUpPr fitToPage="1"/>
  </sheetPr>
  <dimension ref="B1:AG121"/>
  <sheetViews>
    <sheetView rightToLeft="1" view="pageBreakPreview" topLeftCell="A34" zoomScaleNormal="100" zoomScaleSheetLayoutView="100" workbookViewId="0">
      <selection activeCell="J80" sqref="J80"/>
    </sheetView>
  </sheetViews>
  <sheetFormatPr defaultColWidth="9.140625" defaultRowHeight="12.75" outlineLevelRow="1" x14ac:dyDescent="0.2"/>
  <cols>
    <col min="1" max="1" width="3.42578125" style="18" customWidth="1"/>
    <col min="2" max="2" width="8" style="18" customWidth="1"/>
    <col min="3" max="3" width="36.42578125" style="18" bestFit="1" customWidth="1"/>
    <col min="4" max="4" width="17.7109375" style="18" customWidth="1"/>
    <col min="5" max="5" width="22.42578125" style="18" customWidth="1"/>
    <col min="6" max="6" width="17.42578125" style="18" customWidth="1"/>
    <col min="7" max="7" width="20.42578125" style="18" bestFit="1" customWidth="1"/>
    <col min="8" max="8" width="20" style="18" hidden="1" customWidth="1"/>
    <col min="9" max="9" width="21.85546875" style="18" hidden="1" customWidth="1"/>
    <col min="10" max="10" width="26.28515625" style="18" bestFit="1" customWidth="1"/>
    <col min="11" max="11" width="20.140625" style="18" customWidth="1"/>
    <col min="12" max="12" width="34.140625" style="18" bestFit="1" customWidth="1"/>
    <col min="13" max="13" width="11.28515625" style="18" customWidth="1"/>
    <col min="14" max="14" width="15.42578125" style="18" customWidth="1"/>
    <col min="15" max="16" width="20.42578125" style="18" customWidth="1"/>
    <col min="17" max="17" width="19.85546875" style="18" customWidth="1"/>
    <col min="18" max="18" width="23.42578125" style="18" customWidth="1"/>
    <col min="19" max="19" width="19.85546875" style="18" customWidth="1"/>
    <col min="20" max="22" width="2.42578125" style="18" customWidth="1"/>
    <col min="23" max="23" width="9.42578125" style="18" bestFit="1" customWidth="1"/>
    <col min="24" max="24" width="9.7109375" style="18" hidden="1" customWidth="1"/>
    <col min="25" max="31" width="9.140625" style="18" hidden="1" customWidth="1"/>
    <col min="32" max="16384" width="9.140625" style="18"/>
  </cols>
  <sheetData>
    <row r="1" spans="3:31" ht="23.25" customHeight="1" outlineLevel="1" thickTop="1" thickBot="1" x14ac:dyDescent="0.3">
      <c r="C1" s="826">
        <f>'פרמטרים לעקרונות חישוב התמיכה'!B34</f>
        <v>0</v>
      </c>
      <c r="D1" s="827"/>
      <c r="E1" s="828"/>
      <c r="J1" s="868">
        <f>'פרמטרים לעקרונות חישוב התמיכה'!$E$33</f>
        <v>0</v>
      </c>
      <c r="K1" s="869"/>
      <c r="L1" s="870"/>
      <c r="AE1" s="18" t="s">
        <v>249</v>
      </c>
    </row>
    <row r="2" spans="3:31" ht="22.5" customHeight="1" outlineLevel="1" thickBot="1" x14ac:dyDescent="0.25">
      <c r="C2" s="157">
        <f>'פרמטרים לעקרונות חישוב התמיכה'!B35</f>
        <v>0</v>
      </c>
      <c r="D2" s="158">
        <f>'פרמטרים לעקרונות חישוב התמיכה'!C35</f>
        <v>0</v>
      </c>
      <c r="E2" s="159">
        <f>'פרמטרים לעקרונות חישוב התמיכה'!D35</f>
        <v>0</v>
      </c>
      <c r="J2" s="109">
        <f>'פרמטרים לעקרונות חישוב התמיכה'!$E$34</f>
        <v>0</v>
      </c>
      <c r="K2" s="110">
        <f>'פרמטרים לעקרונות חישוב התמיכה'!$F$34</f>
        <v>0</v>
      </c>
      <c r="L2" s="111">
        <f>'פרמטרים לעקרונות חישוב התמיכה'!$G$34</f>
        <v>0</v>
      </c>
      <c r="AE2" s="18" t="s">
        <v>316</v>
      </c>
    </row>
    <row r="3" spans="3:31" ht="19.5" customHeight="1" outlineLevel="1" x14ac:dyDescent="0.2">
      <c r="C3" s="419">
        <f>'פרמטרים לעקרונות חישוב התמיכה'!B36</f>
        <v>0</v>
      </c>
      <c r="D3" s="437">
        <f>'פרמטרים לעקרונות חישוב התמיכה'!C36</f>
        <v>0</v>
      </c>
      <c r="E3" s="871">
        <f>'פרמטרים לעקרונות חישוב התמיכה'!D36</f>
        <v>0</v>
      </c>
      <c r="J3" s="160">
        <f>'פרמטרים לעקרונות חישוב התמיכה'!$E$35</f>
        <v>0</v>
      </c>
      <c r="K3" s="161">
        <f>'פרמטרים לעקרונות חישוב התמיכה'!$F$35</f>
        <v>0</v>
      </c>
      <c r="L3" s="873">
        <f>'פרמטרים לעקרונות חישוב התמיכה'!$G$35</f>
        <v>0</v>
      </c>
    </row>
    <row r="4" spans="3:31" ht="23.25" customHeight="1" outlineLevel="1" thickBot="1" x14ac:dyDescent="0.25">
      <c r="C4" s="419">
        <f>'פרמטרים לעקרונות חישוב התמיכה'!B37</f>
        <v>0</v>
      </c>
      <c r="D4" s="437">
        <f>'פרמטרים לעקרונות חישוב התמיכה'!C37</f>
        <v>0</v>
      </c>
      <c r="E4" s="872">
        <v>0</v>
      </c>
      <c r="J4" s="162">
        <f>'פרמטרים לעקרונות חישוב התמיכה'!$E$36</f>
        <v>0</v>
      </c>
      <c r="K4" s="163">
        <f>'פרמטרים לעקרונות חישוב התמיכה'!$F$36</f>
        <v>0</v>
      </c>
      <c r="L4" s="874">
        <v>0</v>
      </c>
    </row>
    <row r="5" spans="3:31" ht="20.25" customHeight="1" outlineLevel="1" thickBot="1" x14ac:dyDescent="0.25">
      <c r="C5" s="419">
        <f>'פרמטרים לעקרונות חישוב התמיכה'!B38</f>
        <v>0</v>
      </c>
      <c r="D5" s="437">
        <f>'פרמטרים לעקרונות חישוב התמיכה'!C38</f>
        <v>0</v>
      </c>
    </row>
    <row r="6" spans="3:31" ht="18.75" x14ac:dyDescent="0.2">
      <c r="K6" s="100" t="str">
        <f>'פרמטרים לעקרונות חישוב התמיכה'!$B$1</f>
        <v>שנה</v>
      </c>
      <c r="L6" s="13">
        <f>'פרמטרים לעקרונות חישוב התמיכה'!$C$1</f>
        <v>2025</v>
      </c>
    </row>
    <row r="7" spans="3:31" ht="19.5" thickBot="1" x14ac:dyDescent="0.25">
      <c r="K7" s="101" t="str">
        <f>'פרמטרים לעקרונות חישוב התמיכה'!$B$2</f>
        <v>תקציב התמיכה</v>
      </c>
      <c r="L7" s="14">
        <f>'פרמטרים לעקרונות חישוב התמיכה'!$C$2</f>
        <v>8082764</v>
      </c>
    </row>
    <row r="8" spans="3:31" ht="15.75" customHeight="1" x14ac:dyDescent="0.2"/>
    <row r="9" spans="3:31" ht="18.75" hidden="1" customHeight="1" x14ac:dyDescent="0.2"/>
    <row r="10" spans="3:31" ht="18.75" hidden="1" customHeight="1" x14ac:dyDescent="0.2"/>
    <row r="11" spans="3:31" ht="18.75" hidden="1" customHeight="1" x14ac:dyDescent="0.2"/>
    <row r="12" spans="3:31" ht="18.75" hidden="1" customHeight="1" x14ac:dyDescent="0.2"/>
    <row r="13" spans="3:31" ht="18.75" hidden="1" customHeight="1" x14ac:dyDescent="0.2"/>
    <row r="14" spans="3:31" hidden="1" x14ac:dyDescent="0.2"/>
    <row r="15" spans="3:31" hidden="1" x14ac:dyDescent="0.2"/>
    <row r="16" spans="3:31" hidden="1" x14ac:dyDescent="0.2"/>
    <row r="17" spans="2:33" hidden="1" x14ac:dyDescent="0.2"/>
    <row r="18" spans="2:33" ht="19.5" thickBot="1" x14ac:dyDescent="0.35">
      <c r="B18" s="777"/>
      <c r="C18" s="778"/>
      <c r="D18" s="778"/>
      <c r="E18" s="778"/>
      <c r="F18" s="778"/>
      <c r="G18" s="778"/>
      <c r="H18" s="778"/>
      <c r="I18" s="778"/>
      <c r="J18" s="778"/>
      <c r="K18" s="778"/>
      <c r="L18" s="778"/>
      <c r="M18" s="778"/>
      <c r="N18" s="778"/>
      <c r="O18" s="778"/>
      <c r="P18" s="778"/>
      <c r="Q18" s="778"/>
      <c r="R18" s="778"/>
      <c r="S18" s="778"/>
      <c r="AE18" s="18">
        <f>IF(SUM(AE21:AE120)=COUNT(AE21:AE120),1,0)</f>
        <v>1</v>
      </c>
    </row>
    <row r="19" spans="2:33" ht="44.25" customHeight="1" x14ac:dyDescent="0.2">
      <c r="B19" s="866"/>
      <c r="C19" s="836"/>
      <c r="D19" s="836"/>
      <c r="E19" s="164"/>
      <c r="F19" s="164"/>
      <c r="G19" s="164"/>
      <c r="H19" s="164"/>
      <c r="I19" s="836"/>
      <c r="J19" s="836"/>
      <c r="K19" s="836"/>
      <c r="L19" s="836"/>
      <c r="M19" s="836"/>
      <c r="N19" s="836"/>
      <c r="O19" s="836"/>
      <c r="P19" s="836"/>
      <c r="Q19" s="836"/>
      <c r="R19" s="836"/>
      <c r="S19" s="165"/>
    </row>
    <row r="20" spans="2:33" ht="34.5" customHeight="1" thickBot="1" x14ac:dyDescent="0.25">
      <c r="B20" s="867"/>
      <c r="C20" s="837"/>
      <c r="D20" s="837"/>
      <c r="E20" s="421"/>
      <c r="F20" s="421"/>
      <c r="G20" s="421"/>
      <c r="H20" s="421"/>
      <c r="I20" s="837"/>
      <c r="J20" s="837"/>
      <c r="K20" s="837"/>
      <c r="L20" s="837"/>
      <c r="M20" s="837"/>
      <c r="N20" s="837"/>
      <c r="O20" s="837"/>
      <c r="P20" s="837"/>
      <c r="Q20" s="837"/>
      <c r="R20" s="843"/>
      <c r="S20" s="166"/>
      <c r="X20" s="18">
        <v>0</v>
      </c>
      <c r="Y20" s="18">
        <v>1</v>
      </c>
      <c r="Z20" s="167" t="s">
        <v>317</v>
      </c>
      <c r="AA20" s="125" t="s">
        <v>318</v>
      </c>
      <c r="AB20" s="125" t="s">
        <v>319</v>
      </c>
      <c r="AC20" s="125" t="s">
        <v>320</v>
      </c>
      <c r="AD20" s="125" t="s">
        <v>321</v>
      </c>
      <c r="AE20" s="18" t="s">
        <v>260</v>
      </c>
    </row>
    <row r="21" spans="2:33" ht="20.25" customHeight="1" x14ac:dyDescent="0.25">
      <c r="B21" s="70"/>
      <c r="C21" s="71"/>
      <c r="D21" s="216"/>
      <c r="E21" s="438"/>
      <c r="F21" s="438"/>
      <c r="G21" s="438"/>
      <c r="H21" s="204"/>
      <c r="I21" s="217"/>
      <c r="J21" s="218"/>
      <c r="K21" s="219"/>
      <c r="L21" s="218"/>
      <c r="M21" s="220"/>
      <c r="N21" s="221"/>
      <c r="O21" s="222"/>
      <c r="P21" s="223"/>
      <c r="Q21" s="206"/>
      <c r="R21" s="61"/>
      <c r="S21" s="264"/>
      <c r="X21" s="18" t="str">
        <f>IF($R21&lt;&gt;$AE$2,"",X$20)</f>
        <v/>
      </c>
      <c r="Y21" s="18" t="str">
        <f>IF($R21&lt;&gt;$AE$2,"",Y$20)</f>
        <v/>
      </c>
      <c r="Z21" s="18">
        <f>IF(ISERROR(MATCH(S21,$X$20:$Y$20,0)),0,1)</f>
        <v>1</v>
      </c>
      <c r="AA21" s="18">
        <f>IF(E21="",0,IFERROR(IF(E21*1&gt;=0,1,0),0))</f>
        <v>0</v>
      </c>
      <c r="AB21" s="18">
        <f>IF(F21="",0,IF(ISERROR(F21*1)=FALSE,1,0))</f>
        <v>0</v>
      </c>
      <c r="AC21" s="18">
        <f>IF(G21="",0,IF(ISERROR(G21*1)=FALSE,1,0))</f>
        <v>0</v>
      </c>
      <c r="AD21" s="18">
        <f>IFERROR(IF(H21*1&gt;=0,1,0),0)</f>
        <v>1</v>
      </c>
      <c r="AE21" s="18" t="str">
        <f>IF(C21="","",IF(SUM(AA21:AD21)=COUNT(AA21:AD21),1,0))</f>
        <v/>
      </c>
      <c r="AG21" s="169"/>
    </row>
    <row r="22" spans="2:33" ht="20.25" customHeight="1" x14ac:dyDescent="0.25">
      <c r="B22" s="73"/>
      <c r="C22" s="409"/>
      <c r="D22" s="439"/>
      <c r="E22" s="438"/>
      <c r="F22" s="438"/>
      <c r="G22" s="438"/>
      <c r="H22" s="427"/>
      <c r="I22" s="440"/>
      <c r="J22" s="441"/>
      <c r="K22" s="442"/>
      <c r="L22" s="441"/>
      <c r="M22" s="443"/>
      <c r="N22" s="444"/>
      <c r="O22" s="445"/>
      <c r="P22" s="436"/>
      <c r="Q22" s="151"/>
      <c r="R22" s="61"/>
      <c r="S22" s="264"/>
      <c r="X22" s="18" t="str">
        <f t="shared" ref="X22:Y85" si="0">IF($R22&lt;&gt;$AE$2,"",X$20)</f>
        <v/>
      </c>
      <c r="Y22" s="18" t="str">
        <f t="shared" si="0"/>
        <v/>
      </c>
      <c r="Z22" s="18">
        <f t="shared" ref="Z22:Z85" si="1">IF(ISERROR(MATCH(S22,$X$20:$Y$20,0)),0,1)</f>
        <v>1</v>
      </c>
      <c r="AA22" s="18">
        <f t="shared" ref="AA22:AA85" si="2">IF(E22="",0,IFERROR(IF(E22*1&gt;=0,1,0),0))</f>
        <v>0</v>
      </c>
      <c r="AB22" s="18">
        <f t="shared" ref="AB22:AC85" si="3">IF(F22="",0,IF(ISERROR(F22*1)=FALSE,1,0))</f>
        <v>0</v>
      </c>
      <c r="AC22" s="18">
        <f t="shared" si="3"/>
        <v>0</v>
      </c>
      <c r="AD22" s="18">
        <f t="shared" ref="AD22:AD85" si="4">IFERROR(IF(H22*1&gt;=0,1,0),0)</f>
        <v>1</v>
      </c>
      <c r="AE22" s="18" t="str">
        <f t="shared" ref="AE22:AE85" si="5">IF(C22="","",IF(SUM(AA22:AD22)=COUNT(AA22:AD22),1,0))</f>
        <v/>
      </c>
    </row>
    <row r="23" spans="2:33" ht="20.25" customHeight="1" x14ac:dyDescent="0.25">
      <c r="B23" s="73"/>
      <c r="C23" s="409"/>
      <c r="D23" s="439"/>
      <c r="E23" s="438"/>
      <c r="F23" s="438"/>
      <c r="G23" s="438"/>
      <c r="H23" s="427"/>
      <c r="I23" s="440"/>
      <c r="J23" s="441"/>
      <c r="K23" s="442"/>
      <c r="L23" s="441"/>
      <c r="M23" s="443"/>
      <c r="N23" s="444"/>
      <c r="O23" s="445"/>
      <c r="P23" s="436"/>
      <c r="Q23" s="151"/>
      <c r="R23" s="61"/>
      <c r="S23" s="264"/>
      <c r="X23" s="18" t="str">
        <f t="shared" si="0"/>
        <v/>
      </c>
      <c r="Y23" s="18" t="str">
        <f t="shared" si="0"/>
        <v/>
      </c>
      <c r="Z23" s="18">
        <f t="shared" si="1"/>
        <v>1</v>
      </c>
      <c r="AA23" s="18">
        <f t="shared" si="2"/>
        <v>0</v>
      </c>
      <c r="AB23" s="18">
        <f t="shared" si="3"/>
        <v>0</v>
      </c>
      <c r="AC23" s="18">
        <f t="shared" si="3"/>
        <v>0</v>
      </c>
      <c r="AD23" s="18">
        <f t="shared" si="4"/>
        <v>1</v>
      </c>
      <c r="AE23" s="18" t="str">
        <f t="shared" si="5"/>
        <v/>
      </c>
    </row>
    <row r="24" spans="2:33" ht="20.25" customHeight="1" x14ac:dyDescent="0.25">
      <c r="B24" s="73"/>
      <c r="C24" s="409"/>
      <c r="D24" s="439"/>
      <c r="E24" s="438"/>
      <c r="F24" s="438"/>
      <c r="G24" s="438"/>
      <c r="H24" s="427"/>
      <c r="I24" s="440"/>
      <c r="J24" s="441"/>
      <c r="K24" s="442"/>
      <c r="L24" s="441"/>
      <c r="M24" s="443"/>
      <c r="N24" s="444"/>
      <c r="O24" s="445"/>
      <c r="P24" s="436"/>
      <c r="Q24" s="151"/>
      <c r="R24" s="61"/>
      <c r="S24" s="264"/>
      <c r="X24" s="18" t="str">
        <f t="shared" si="0"/>
        <v/>
      </c>
      <c r="Y24" s="18" t="str">
        <f t="shared" si="0"/>
        <v/>
      </c>
      <c r="Z24" s="18">
        <f t="shared" si="1"/>
        <v>1</v>
      </c>
      <c r="AA24" s="18">
        <f t="shared" si="2"/>
        <v>0</v>
      </c>
      <c r="AB24" s="18">
        <f t="shared" si="3"/>
        <v>0</v>
      </c>
      <c r="AC24" s="18">
        <f t="shared" si="3"/>
        <v>0</v>
      </c>
      <c r="AD24" s="18">
        <f t="shared" si="4"/>
        <v>1</v>
      </c>
      <c r="AE24" s="18" t="str">
        <f t="shared" si="5"/>
        <v/>
      </c>
    </row>
    <row r="25" spans="2:33" ht="20.25" customHeight="1" x14ac:dyDescent="0.25">
      <c r="B25" s="73"/>
      <c r="C25" s="409"/>
      <c r="D25" s="439"/>
      <c r="E25" s="438"/>
      <c r="F25" s="438"/>
      <c r="G25" s="438"/>
      <c r="H25" s="427"/>
      <c r="I25" s="440"/>
      <c r="J25" s="441"/>
      <c r="K25" s="442"/>
      <c r="L25" s="441"/>
      <c r="M25" s="443"/>
      <c r="N25" s="444"/>
      <c r="O25" s="445"/>
      <c r="P25" s="436"/>
      <c r="Q25" s="151"/>
      <c r="R25" s="61"/>
      <c r="S25" s="264"/>
      <c r="X25" s="18" t="str">
        <f t="shared" si="0"/>
        <v/>
      </c>
      <c r="Y25" s="18" t="str">
        <f t="shared" si="0"/>
        <v/>
      </c>
      <c r="Z25" s="18">
        <f t="shared" si="1"/>
        <v>1</v>
      </c>
      <c r="AA25" s="18">
        <f t="shared" si="2"/>
        <v>0</v>
      </c>
      <c r="AB25" s="18">
        <f t="shared" si="3"/>
        <v>0</v>
      </c>
      <c r="AC25" s="18">
        <f t="shared" si="3"/>
        <v>0</v>
      </c>
      <c r="AD25" s="18">
        <f t="shared" si="4"/>
        <v>1</v>
      </c>
      <c r="AE25" s="18" t="str">
        <f t="shared" si="5"/>
        <v/>
      </c>
    </row>
    <row r="26" spans="2:33" ht="20.25" customHeight="1" x14ac:dyDescent="0.25">
      <c r="B26" s="73"/>
      <c r="C26" s="409"/>
      <c r="D26" s="439"/>
      <c r="E26" s="438"/>
      <c r="F26" s="438"/>
      <c r="G26" s="438"/>
      <c r="H26" s="427"/>
      <c r="I26" s="440"/>
      <c r="J26" s="441"/>
      <c r="K26" s="442"/>
      <c r="L26" s="441"/>
      <c r="M26" s="443"/>
      <c r="N26" s="444"/>
      <c r="O26" s="445"/>
      <c r="P26" s="436"/>
      <c r="Q26" s="151"/>
      <c r="R26" s="61"/>
      <c r="S26" s="264"/>
      <c r="X26" s="18" t="str">
        <f t="shared" si="0"/>
        <v/>
      </c>
      <c r="Y26" s="18" t="str">
        <f t="shared" si="0"/>
        <v/>
      </c>
      <c r="Z26" s="18">
        <f t="shared" si="1"/>
        <v>1</v>
      </c>
      <c r="AA26" s="18">
        <f t="shared" si="2"/>
        <v>0</v>
      </c>
      <c r="AB26" s="18">
        <f t="shared" si="3"/>
        <v>0</v>
      </c>
      <c r="AC26" s="18">
        <f t="shared" si="3"/>
        <v>0</v>
      </c>
      <c r="AD26" s="18">
        <f t="shared" si="4"/>
        <v>1</v>
      </c>
      <c r="AE26" s="18" t="str">
        <f t="shared" si="5"/>
        <v/>
      </c>
    </row>
    <row r="27" spans="2:33" ht="20.25" customHeight="1" x14ac:dyDescent="0.25">
      <c r="B27" s="73"/>
      <c r="C27" s="409"/>
      <c r="D27" s="439"/>
      <c r="E27" s="438"/>
      <c r="F27" s="438"/>
      <c r="G27" s="438"/>
      <c r="H27" s="427"/>
      <c r="I27" s="440"/>
      <c r="J27" s="441"/>
      <c r="K27" s="442"/>
      <c r="L27" s="441"/>
      <c r="M27" s="443"/>
      <c r="N27" s="444"/>
      <c r="O27" s="445"/>
      <c r="P27" s="436"/>
      <c r="Q27" s="151"/>
      <c r="R27" s="61"/>
      <c r="S27" s="264"/>
      <c r="X27" s="18" t="str">
        <f t="shared" si="0"/>
        <v/>
      </c>
      <c r="Y27" s="18" t="str">
        <f t="shared" si="0"/>
        <v/>
      </c>
      <c r="Z27" s="18">
        <f t="shared" si="1"/>
        <v>1</v>
      </c>
      <c r="AA27" s="18">
        <f t="shared" si="2"/>
        <v>0</v>
      </c>
      <c r="AB27" s="18">
        <f t="shared" si="3"/>
        <v>0</v>
      </c>
      <c r="AC27" s="18">
        <f t="shared" si="3"/>
        <v>0</v>
      </c>
      <c r="AD27" s="18">
        <f t="shared" si="4"/>
        <v>1</v>
      </c>
      <c r="AE27" s="18" t="str">
        <f t="shared" si="5"/>
        <v/>
      </c>
    </row>
    <row r="28" spans="2:33" ht="20.25" customHeight="1" x14ac:dyDescent="0.25">
      <c r="B28" s="73"/>
      <c r="C28" s="409"/>
      <c r="D28" s="439"/>
      <c r="E28" s="438"/>
      <c r="F28" s="438"/>
      <c r="G28" s="438"/>
      <c r="H28" s="427"/>
      <c r="I28" s="440"/>
      <c r="J28" s="441"/>
      <c r="K28" s="442"/>
      <c r="L28" s="441"/>
      <c r="M28" s="443"/>
      <c r="N28" s="444"/>
      <c r="O28" s="445"/>
      <c r="P28" s="436"/>
      <c r="Q28" s="151"/>
      <c r="R28" s="61"/>
      <c r="S28" s="264"/>
      <c r="X28" s="18" t="str">
        <f t="shared" si="0"/>
        <v/>
      </c>
      <c r="Y28" s="18" t="str">
        <f t="shared" si="0"/>
        <v/>
      </c>
      <c r="Z28" s="18">
        <f t="shared" si="1"/>
        <v>1</v>
      </c>
      <c r="AA28" s="18">
        <f t="shared" si="2"/>
        <v>0</v>
      </c>
      <c r="AB28" s="18">
        <f t="shared" si="3"/>
        <v>0</v>
      </c>
      <c r="AC28" s="18">
        <f t="shared" si="3"/>
        <v>0</v>
      </c>
      <c r="AD28" s="18">
        <f t="shared" si="4"/>
        <v>1</v>
      </c>
      <c r="AE28" s="18" t="str">
        <f t="shared" si="5"/>
        <v/>
      </c>
    </row>
    <row r="29" spans="2:33" ht="20.25" customHeight="1" x14ac:dyDescent="0.25">
      <c r="B29" s="73"/>
      <c r="C29" s="409"/>
      <c r="D29" s="439"/>
      <c r="E29" s="438"/>
      <c r="F29" s="438"/>
      <c r="G29" s="438"/>
      <c r="H29" s="427"/>
      <c r="I29" s="440"/>
      <c r="J29" s="441"/>
      <c r="K29" s="442"/>
      <c r="L29" s="441"/>
      <c r="M29" s="443"/>
      <c r="N29" s="444"/>
      <c r="O29" s="445"/>
      <c r="P29" s="436"/>
      <c r="Q29" s="151"/>
      <c r="R29" s="61"/>
      <c r="S29" s="264"/>
      <c r="X29" s="18" t="str">
        <f t="shared" si="0"/>
        <v/>
      </c>
      <c r="Y29" s="18" t="str">
        <f t="shared" si="0"/>
        <v/>
      </c>
      <c r="Z29" s="18">
        <f t="shared" si="1"/>
        <v>1</v>
      </c>
      <c r="AA29" s="18">
        <f t="shared" si="2"/>
        <v>0</v>
      </c>
      <c r="AB29" s="18">
        <f t="shared" si="3"/>
        <v>0</v>
      </c>
      <c r="AC29" s="18">
        <f t="shared" si="3"/>
        <v>0</v>
      </c>
      <c r="AD29" s="18">
        <f t="shared" si="4"/>
        <v>1</v>
      </c>
      <c r="AE29" s="18" t="str">
        <f t="shared" si="5"/>
        <v/>
      </c>
    </row>
    <row r="30" spans="2:33" ht="20.25" customHeight="1" x14ac:dyDescent="0.25">
      <c r="B30" s="73"/>
      <c r="C30" s="409"/>
      <c r="D30" s="439"/>
      <c r="E30" s="438"/>
      <c r="F30" s="438"/>
      <c r="G30" s="438"/>
      <c r="H30" s="427"/>
      <c r="I30" s="440"/>
      <c r="J30" s="441"/>
      <c r="K30" s="442"/>
      <c r="L30" s="441"/>
      <c r="M30" s="443"/>
      <c r="N30" s="444"/>
      <c r="O30" s="445"/>
      <c r="P30" s="436"/>
      <c r="Q30" s="151"/>
      <c r="R30" s="61"/>
      <c r="S30" s="264"/>
      <c r="X30" s="18" t="str">
        <f t="shared" si="0"/>
        <v/>
      </c>
      <c r="Y30" s="18" t="str">
        <f t="shared" si="0"/>
        <v/>
      </c>
      <c r="Z30" s="18">
        <f t="shared" si="1"/>
        <v>1</v>
      </c>
      <c r="AA30" s="18">
        <f t="shared" si="2"/>
        <v>0</v>
      </c>
      <c r="AB30" s="18">
        <f t="shared" si="3"/>
        <v>0</v>
      </c>
      <c r="AC30" s="18">
        <f t="shared" si="3"/>
        <v>0</v>
      </c>
      <c r="AD30" s="18">
        <f t="shared" si="4"/>
        <v>1</v>
      </c>
      <c r="AE30" s="18" t="str">
        <f t="shared" si="5"/>
        <v/>
      </c>
    </row>
    <row r="31" spans="2:33" ht="20.25" customHeight="1" x14ac:dyDescent="0.25">
      <c r="B31" s="73"/>
      <c r="C31" s="409"/>
      <c r="D31" s="439"/>
      <c r="E31" s="438"/>
      <c r="F31" s="438"/>
      <c r="G31" s="438"/>
      <c r="H31" s="427"/>
      <c r="I31" s="440"/>
      <c r="J31" s="441"/>
      <c r="K31" s="442"/>
      <c r="L31" s="441"/>
      <c r="M31" s="443"/>
      <c r="N31" s="444"/>
      <c r="O31" s="445"/>
      <c r="P31" s="436"/>
      <c r="Q31" s="151"/>
      <c r="R31" s="61"/>
      <c r="S31" s="264"/>
      <c r="X31" s="18" t="str">
        <f t="shared" si="0"/>
        <v/>
      </c>
      <c r="Y31" s="18" t="str">
        <f t="shared" si="0"/>
        <v/>
      </c>
      <c r="Z31" s="18">
        <f t="shared" si="1"/>
        <v>1</v>
      </c>
      <c r="AA31" s="18">
        <f t="shared" si="2"/>
        <v>0</v>
      </c>
      <c r="AB31" s="18">
        <f t="shared" si="3"/>
        <v>0</v>
      </c>
      <c r="AC31" s="18">
        <f t="shared" si="3"/>
        <v>0</v>
      </c>
      <c r="AD31" s="18">
        <f t="shared" si="4"/>
        <v>1</v>
      </c>
      <c r="AE31" s="18" t="str">
        <f t="shared" si="5"/>
        <v/>
      </c>
    </row>
    <row r="32" spans="2:33" ht="20.25" customHeight="1" x14ac:dyDescent="0.25">
      <c r="B32" s="73"/>
      <c r="C32" s="409"/>
      <c r="D32" s="439"/>
      <c r="E32" s="438"/>
      <c r="F32" s="438"/>
      <c r="G32" s="438"/>
      <c r="H32" s="427"/>
      <c r="I32" s="440"/>
      <c r="J32" s="441"/>
      <c r="K32" s="442"/>
      <c r="L32" s="441"/>
      <c r="M32" s="443"/>
      <c r="N32" s="444"/>
      <c r="O32" s="445"/>
      <c r="P32" s="436"/>
      <c r="Q32" s="151"/>
      <c r="R32" s="61"/>
      <c r="S32" s="264"/>
      <c r="X32" s="18" t="str">
        <f t="shared" si="0"/>
        <v/>
      </c>
      <c r="Y32" s="18" t="str">
        <f t="shared" si="0"/>
        <v/>
      </c>
      <c r="Z32" s="18">
        <f t="shared" si="1"/>
        <v>1</v>
      </c>
      <c r="AA32" s="18">
        <f t="shared" si="2"/>
        <v>0</v>
      </c>
      <c r="AB32" s="18">
        <f t="shared" si="3"/>
        <v>0</v>
      </c>
      <c r="AC32" s="18">
        <f t="shared" si="3"/>
        <v>0</v>
      </c>
      <c r="AD32" s="18">
        <f t="shared" si="4"/>
        <v>1</v>
      </c>
      <c r="AE32" s="18" t="str">
        <f t="shared" si="5"/>
        <v/>
      </c>
    </row>
    <row r="33" spans="2:31" ht="20.25" customHeight="1" x14ac:dyDescent="0.25">
      <c r="B33" s="73"/>
      <c r="C33" s="409"/>
      <c r="D33" s="439"/>
      <c r="E33" s="438"/>
      <c r="F33" s="438"/>
      <c r="G33" s="438"/>
      <c r="H33" s="427"/>
      <c r="I33" s="440"/>
      <c r="J33" s="441"/>
      <c r="K33" s="442"/>
      <c r="L33" s="441"/>
      <c r="M33" s="443"/>
      <c r="N33" s="444"/>
      <c r="O33" s="445"/>
      <c r="P33" s="436"/>
      <c r="Q33" s="151"/>
      <c r="R33" s="61"/>
      <c r="S33" s="264"/>
      <c r="X33" s="18" t="str">
        <f t="shared" si="0"/>
        <v/>
      </c>
      <c r="Y33" s="18" t="str">
        <f t="shared" si="0"/>
        <v/>
      </c>
      <c r="Z33" s="18">
        <f t="shared" si="1"/>
        <v>1</v>
      </c>
      <c r="AA33" s="18">
        <f t="shared" si="2"/>
        <v>0</v>
      </c>
      <c r="AB33" s="18">
        <f t="shared" si="3"/>
        <v>0</v>
      </c>
      <c r="AC33" s="18">
        <f t="shared" si="3"/>
        <v>0</v>
      </c>
      <c r="AD33" s="18">
        <f t="shared" si="4"/>
        <v>1</v>
      </c>
      <c r="AE33" s="18" t="str">
        <f t="shared" si="5"/>
        <v/>
      </c>
    </row>
    <row r="34" spans="2:31" ht="20.25" customHeight="1" x14ac:dyDescent="0.25">
      <c r="B34" s="73"/>
      <c r="C34" s="409"/>
      <c r="D34" s="439"/>
      <c r="E34" s="438"/>
      <c r="F34" s="438"/>
      <c r="G34" s="438"/>
      <c r="H34" s="427"/>
      <c r="I34" s="440"/>
      <c r="J34" s="441"/>
      <c r="K34" s="442"/>
      <c r="L34" s="441"/>
      <c r="M34" s="443"/>
      <c r="N34" s="444"/>
      <c r="O34" s="445"/>
      <c r="P34" s="436"/>
      <c r="Q34" s="151"/>
      <c r="R34" s="61"/>
      <c r="S34" s="264"/>
      <c r="X34" s="18" t="str">
        <f t="shared" si="0"/>
        <v/>
      </c>
      <c r="Y34" s="18" t="str">
        <f t="shared" si="0"/>
        <v/>
      </c>
      <c r="Z34" s="18">
        <f t="shared" si="1"/>
        <v>1</v>
      </c>
      <c r="AA34" s="18">
        <f t="shared" si="2"/>
        <v>0</v>
      </c>
      <c r="AB34" s="18">
        <f t="shared" si="3"/>
        <v>0</v>
      </c>
      <c r="AC34" s="18">
        <f t="shared" si="3"/>
        <v>0</v>
      </c>
      <c r="AD34" s="18">
        <f t="shared" si="4"/>
        <v>1</v>
      </c>
      <c r="AE34" s="18" t="str">
        <f t="shared" si="5"/>
        <v/>
      </c>
    </row>
    <row r="35" spans="2:31" ht="20.25" customHeight="1" x14ac:dyDescent="0.25">
      <c r="B35" s="73"/>
      <c r="C35" s="409"/>
      <c r="D35" s="439"/>
      <c r="E35" s="438"/>
      <c r="F35" s="438"/>
      <c r="G35" s="438"/>
      <c r="H35" s="427"/>
      <c r="I35" s="440"/>
      <c r="J35" s="441"/>
      <c r="K35" s="442"/>
      <c r="L35" s="441"/>
      <c r="M35" s="443"/>
      <c r="N35" s="444"/>
      <c r="O35" s="445"/>
      <c r="P35" s="436"/>
      <c r="Q35" s="151"/>
      <c r="R35" s="61"/>
      <c r="S35" s="264"/>
      <c r="X35" s="18" t="str">
        <f t="shared" si="0"/>
        <v/>
      </c>
      <c r="Y35" s="18" t="str">
        <f t="shared" si="0"/>
        <v/>
      </c>
      <c r="Z35" s="18">
        <f t="shared" si="1"/>
        <v>1</v>
      </c>
      <c r="AA35" s="18">
        <f t="shared" si="2"/>
        <v>0</v>
      </c>
      <c r="AB35" s="18">
        <f t="shared" si="3"/>
        <v>0</v>
      </c>
      <c r="AC35" s="18">
        <f t="shared" si="3"/>
        <v>0</v>
      </c>
      <c r="AD35" s="18">
        <f t="shared" si="4"/>
        <v>1</v>
      </c>
      <c r="AE35" s="18" t="str">
        <f t="shared" si="5"/>
        <v/>
      </c>
    </row>
    <row r="36" spans="2:31" ht="20.25" customHeight="1" x14ac:dyDescent="0.25">
      <c r="B36" s="73"/>
      <c r="C36" s="409"/>
      <c r="D36" s="439"/>
      <c r="E36" s="438"/>
      <c r="F36" s="438"/>
      <c r="G36" s="438"/>
      <c r="H36" s="427"/>
      <c r="I36" s="440"/>
      <c r="J36" s="441"/>
      <c r="K36" s="442"/>
      <c r="L36" s="441"/>
      <c r="M36" s="443"/>
      <c r="N36" s="444"/>
      <c r="O36" s="445"/>
      <c r="P36" s="436"/>
      <c r="Q36" s="151"/>
      <c r="R36" s="61"/>
      <c r="S36" s="264"/>
      <c r="X36" s="18" t="str">
        <f t="shared" si="0"/>
        <v/>
      </c>
      <c r="Y36" s="18" t="str">
        <f t="shared" si="0"/>
        <v/>
      </c>
      <c r="Z36" s="18">
        <f t="shared" si="1"/>
        <v>1</v>
      </c>
      <c r="AA36" s="18">
        <f t="shared" si="2"/>
        <v>0</v>
      </c>
      <c r="AB36" s="18">
        <f t="shared" si="3"/>
        <v>0</v>
      </c>
      <c r="AC36" s="18">
        <f t="shared" si="3"/>
        <v>0</v>
      </c>
      <c r="AD36" s="18">
        <f t="shared" si="4"/>
        <v>1</v>
      </c>
      <c r="AE36" s="18" t="str">
        <f t="shared" si="5"/>
        <v/>
      </c>
    </row>
    <row r="37" spans="2:31" ht="20.25" customHeight="1" x14ac:dyDescent="0.25">
      <c r="B37" s="73"/>
      <c r="C37" s="409"/>
      <c r="D37" s="439"/>
      <c r="E37" s="438"/>
      <c r="F37" s="438"/>
      <c r="G37" s="438"/>
      <c r="H37" s="427"/>
      <c r="I37" s="440"/>
      <c r="J37" s="441"/>
      <c r="K37" s="442"/>
      <c r="L37" s="441"/>
      <c r="M37" s="443"/>
      <c r="N37" s="444"/>
      <c r="O37" s="445"/>
      <c r="P37" s="436"/>
      <c r="Q37" s="151"/>
      <c r="R37" s="61"/>
      <c r="S37" s="264"/>
      <c r="X37" s="18" t="str">
        <f t="shared" si="0"/>
        <v/>
      </c>
      <c r="Y37" s="18" t="str">
        <f t="shared" si="0"/>
        <v/>
      </c>
      <c r="Z37" s="18">
        <f t="shared" si="1"/>
        <v>1</v>
      </c>
      <c r="AA37" s="18">
        <f t="shared" si="2"/>
        <v>0</v>
      </c>
      <c r="AB37" s="18">
        <f t="shared" si="3"/>
        <v>0</v>
      </c>
      <c r="AC37" s="18">
        <f t="shared" si="3"/>
        <v>0</v>
      </c>
      <c r="AD37" s="18">
        <f t="shared" si="4"/>
        <v>1</v>
      </c>
      <c r="AE37" s="18" t="str">
        <f t="shared" si="5"/>
        <v/>
      </c>
    </row>
    <row r="38" spans="2:31" ht="20.25" customHeight="1" x14ac:dyDescent="0.25">
      <c r="B38" s="73"/>
      <c r="C38" s="409"/>
      <c r="D38" s="439"/>
      <c r="E38" s="438"/>
      <c r="F38" s="438"/>
      <c r="G38" s="438"/>
      <c r="H38" s="427"/>
      <c r="I38" s="440"/>
      <c r="J38" s="441"/>
      <c r="K38" s="442"/>
      <c r="L38" s="441"/>
      <c r="M38" s="443"/>
      <c r="N38" s="444"/>
      <c r="O38" s="445"/>
      <c r="P38" s="436"/>
      <c r="Q38" s="151"/>
      <c r="R38" s="61"/>
      <c r="S38" s="264"/>
      <c r="X38" s="18" t="str">
        <f t="shared" si="0"/>
        <v/>
      </c>
      <c r="Y38" s="18" t="str">
        <f t="shared" si="0"/>
        <v/>
      </c>
      <c r="Z38" s="18">
        <f t="shared" si="1"/>
        <v>1</v>
      </c>
      <c r="AA38" s="18">
        <f t="shared" si="2"/>
        <v>0</v>
      </c>
      <c r="AB38" s="18">
        <f t="shared" si="3"/>
        <v>0</v>
      </c>
      <c r="AC38" s="18">
        <f t="shared" si="3"/>
        <v>0</v>
      </c>
      <c r="AD38" s="18">
        <f t="shared" si="4"/>
        <v>1</v>
      </c>
      <c r="AE38" s="18" t="str">
        <f t="shared" si="5"/>
        <v/>
      </c>
    </row>
    <row r="39" spans="2:31" ht="20.25" customHeight="1" x14ac:dyDescent="0.25">
      <c r="B39" s="73"/>
      <c r="C39" s="409"/>
      <c r="D39" s="439"/>
      <c r="E39" s="438"/>
      <c r="F39" s="438"/>
      <c r="G39" s="438"/>
      <c r="H39" s="427"/>
      <c r="I39" s="440"/>
      <c r="J39" s="441"/>
      <c r="K39" s="442"/>
      <c r="L39" s="441"/>
      <c r="M39" s="443"/>
      <c r="N39" s="444"/>
      <c r="O39" s="445"/>
      <c r="P39" s="436"/>
      <c r="Q39" s="151"/>
      <c r="R39" s="61"/>
      <c r="S39" s="264"/>
      <c r="X39" s="18" t="str">
        <f t="shared" si="0"/>
        <v/>
      </c>
      <c r="Y39" s="18" t="str">
        <f t="shared" si="0"/>
        <v/>
      </c>
      <c r="Z39" s="18">
        <f t="shared" si="1"/>
        <v>1</v>
      </c>
      <c r="AA39" s="18">
        <f t="shared" si="2"/>
        <v>0</v>
      </c>
      <c r="AB39" s="18">
        <f t="shared" si="3"/>
        <v>0</v>
      </c>
      <c r="AC39" s="18">
        <f t="shared" si="3"/>
        <v>0</v>
      </c>
      <c r="AD39" s="18">
        <f t="shared" si="4"/>
        <v>1</v>
      </c>
      <c r="AE39" s="18" t="str">
        <f t="shared" si="5"/>
        <v/>
      </c>
    </row>
    <row r="40" spans="2:31" ht="20.25" customHeight="1" x14ac:dyDescent="0.25">
      <c r="B40" s="73"/>
      <c r="C40" s="409"/>
      <c r="D40" s="439"/>
      <c r="E40" s="438"/>
      <c r="F40" s="438"/>
      <c r="G40" s="438"/>
      <c r="H40" s="427"/>
      <c r="I40" s="440"/>
      <c r="J40" s="441"/>
      <c r="K40" s="442"/>
      <c r="L40" s="441"/>
      <c r="M40" s="443"/>
      <c r="N40" s="444"/>
      <c r="O40" s="445"/>
      <c r="P40" s="436"/>
      <c r="Q40" s="151"/>
      <c r="R40" s="61"/>
      <c r="S40" s="264"/>
      <c r="X40" s="18" t="str">
        <f t="shared" si="0"/>
        <v/>
      </c>
      <c r="Y40" s="18" t="str">
        <f t="shared" si="0"/>
        <v/>
      </c>
      <c r="Z40" s="18">
        <f t="shared" si="1"/>
        <v>1</v>
      </c>
      <c r="AA40" s="18">
        <f t="shared" si="2"/>
        <v>0</v>
      </c>
      <c r="AB40" s="18">
        <f t="shared" si="3"/>
        <v>0</v>
      </c>
      <c r="AC40" s="18">
        <f t="shared" si="3"/>
        <v>0</v>
      </c>
      <c r="AD40" s="18">
        <f t="shared" si="4"/>
        <v>1</v>
      </c>
      <c r="AE40" s="18" t="str">
        <f t="shared" si="5"/>
        <v/>
      </c>
    </row>
    <row r="41" spans="2:31" ht="20.25" customHeight="1" x14ac:dyDescent="0.25">
      <c r="B41" s="73"/>
      <c r="C41" s="409"/>
      <c r="D41" s="439"/>
      <c r="E41" s="438"/>
      <c r="F41" s="438"/>
      <c r="G41" s="438"/>
      <c r="H41" s="427"/>
      <c r="I41" s="440"/>
      <c r="J41" s="441"/>
      <c r="K41" s="442"/>
      <c r="L41" s="441"/>
      <c r="M41" s="443"/>
      <c r="N41" s="444"/>
      <c r="O41" s="445"/>
      <c r="P41" s="436"/>
      <c r="Q41" s="151"/>
      <c r="R41" s="61"/>
      <c r="S41" s="264"/>
      <c r="X41" s="18" t="str">
        <f t="shared" si="0"/>
        <v/>
      </c>
      <c r="Y41" s="18" t="str">
        <f t="shared" si="0"/>
        <v/>
      </c>
      <c r="Z41" s="18">
        <f t="shared" si="1"/>
        <v>1</v>
      </c>
      <c r="AA41" s="18">
        <f t="shared" si="2"/>
        <v>0</v>
      </c>
      <c r="AB41" s="18">
        <f t="shared" si="3"/>
        <v>0</v>
      </c>
      <c r="AC41" s="18">
        <f t="shared" si="3"/>
        <v>0</v>
      </c>
      <c r="AD41" s="18">
        <f t="shared" si="4"/>
        <v>1</v>
      </c>
      <c r="AE41" s="18" t="str">
        <f t="shared" si="5"/>
        <v/>
      </c>
    </row>
    <row r="42" spans="2:31" ht="20.25" customHeight="1" x14ac:dyDescent="0.25">
      <c r="B42" s="73"/>
      <c r="C42" s="409"/>
      <c r="D42" s="439"/>
      <c r="E42" s="438"/>
      <c r="F42" s="438"/>
      <c r="G42" s="438"/>
      <c r="H42" s="427"/>
      <c r="I42" s="440"/>
      <c r="J42" s="441"/>
      <c r="K42" s="442"/>
      <c r="L42" s="441"/>
      <c r="M42" s="443"/>
      <c r="N42" s="444"/>
      <c r="O42" s="445"/>
      <c r="P42" s="436"/>
      <c r="Q42" s="151"/>
      <c r="R42" s="61"/>
      <c r="S42" s="264"/>
      <c r="X42" s="18" t="str">
        <f t="shared" si="0"/>
        <v/>
      </c>
      <c r="Y42" s="18" t="str">
        <f t="shared" si="0"/>
        <v/>
      </c>
      <c r="Z42" s="18">
        <f t="shared" si="1"/>
        <v>1</v>
      </c>
      <c r="AA42" s="18">
        <f t="shared" si="2"/>
        <v>0</v>
      </c>
      <c r="AB42" s="18">
        <f t="shared" si="3"/>
        <v>0</v>
      </c>
      <c r="AC42" s="18">
        <f t="shared" si="3"/>
        <v>0</v>
      </c>
      <c r="AD42" s="18">
        <f t="shared" si="4"/>
        <v>1</v>
      </c>
      <c r="AE42" s="18" t="str">
        <f t="shared" si="5"/>
        <v/>
      </c>
    </row>
    <row r="43" spans="2:31" ht="20.25" customHeight="1" x14ac:dyDescent="0.25">
      <c r="B43" s="73"/>
      <c r="C43" s="409"/>
      <c r="D43" s="439"/>
      <c r="E43" s="438"/>
      <c r="F43" s="438"/>
      <c r="G43" s="438"/>
      <c r="H43" s="427"/>
      <c r="I43" s="440"/>
      <c r="J43" s="441"/>
      <c r="K43" s="442"/>
      <c r="L43" s="441"/>
      <c r="M43" s="443"/>
      <c r="N43" s="444"/>
      <c r="O43" s="445"/>
      <c r="P43" s="436"/>
      <c r="Q43" s="151"/>
      <c r="R43" s="61"/>
      <c r="S43" s="264"/>
      <c r="X43" s="18" t="str">
        <f t="shared" si="0"/>
        <v/>
      </c>
      <c r="Y43" s="18" t="str">
        <f t="shared" si="0"/>
        <v/>
      </c>
      <c r="Z43" s="18">
        <f t="shared" si="1"/>
        <v>1</v>
      </c>
      <c r="AA43" s="18">
        <f t="shared" si="2"/>
        <v>0</v>
      </c>
      <c r="AB43" s="18">
        <f t="shared" si="3"/>
        <v>0</v>
      </c>
      <c r="AC43" s="18">
        <f t="shared" si="3"/>
        <v>0</v>
      </c>
      <c r="AD43" s="18">
        <f t="shared" si="4"/>
        <v>1</v>
      </c>
      <c r="AE43" s="18" t="str">
        <f t="shared" si="5"/>
        <v/>
      </c>
    </row>
    <row r="44" spans="2:31" ht="20.25" customHeight="1" x14ac:dyDescent="0.25">
      <c r="B44" s="73"/>
      <c r="C44" s="409"/>
      <c r="D44" s="439"/>
      <c r="E44" s="438"/>
      <c r="F44" s="438"/>
      <c r="G44" s="438"/>
      <c r="H44" s="427"/>
      <c r="I44" s="440"/>
      <c r="J44" s="441"/>
      <c r="K44" s="442"/>
      <c r="L44" s="441"/>
      <c r="M44" s="443"/>
      <c r="N44" s="444"/>
      <c r="O44" s="445"/>
      <c r="P44" s="436"/>
      <c r="Q44" s="151"/>
      <c r="R44" s="61"/>
      <c r="S44" s="264"/>
      <c r="X44" s="18" t="str">
        <f t="shared" si="0"/>
        <v/>
      </c>
      <c r="Y44" s="18" t="str">
        <f t="shared" si="0"/>
        <v/>
      </c>
      <c r="Z44" s="18">
        <f t="shared" si="1"/>
        <v>1</v>
      </c>
      <c r="AA44" s="18">
        <f t="shared" si="2"/>
        <v>0</v>
      </c>
      <c r="AB44" s="18">
        <f t="shared" si="3"/>
        <v>0</v>
      </c>
      <c r="AC44" s="18">
        <f t="shared" si="3"/>
        <v>0</v>
      </c>
      <c r="AD44" s="18">
        <f t="shared" si="4"/>
        <v>1</v>
      </c>
      <c r="AE44" s="18" t="str">
        <f t="shared" si="5"/>
        <v/>
      </c>
    </row>
    <row r="45" spans="2:31" ht="20.25" customHeight="1" x14ac:dyDescent="0.25">
      <c r="B45" s="73"/>
      <c r="C45" s="409"/>
      <c r="D45" s="439"/>
      <c r="E45" s="438"/>
      <c r="F45" s="438"/>
      <c r="G45" s="438"/>
      <c r="H45" s="427"/>
      <c r="I45" s="440"/>
      <c r="J45" s="441"/>
      <c r="K45" s="442"/>
      <c r="L45" s="441"/>
      <c r="M45" s="443"/>
      <c r="N45" s="444"/>
      <c r="O45" s="445"/>
      <c r="P45" s="436"/>
      <c r="Q45" s="151"/>
      <c r="R45" s="61"/>
      <c r="S45" s="264"/>
      <c r="X45" s="18" t="str">
        <f t="shared" si="0"/>
        <v/>
      </c>
      <c r="Y45" s="18" t="str">
        <f t="shared" si="0"/>
        <v/>
      </c>
      <c r="Z45" s="18">
        <f t="shared" si="1"/>
        <v>1</v>
      </c>
      <c r="AA45" s="18">
        <f t="shared" si="2"/>
        <v>0</v>
      </c>
      <c r="AB45" s="18">
        <f t="shared" si="3"/>
        <v>0</v>
      </c>
      <c r="AC45" s="18">
        <f t="shared" si="3"/>
        <v>0</v>
      </c>
      <c r="AD45" s="18">
        <f t="shared" si="4"/>
        <v>1</v>
      </c>
      <c r="AE45" s="18" t="str">
        <f t="shared" si="5"/>
        <v/>
      </c>
    </row>
    <row r="46" spans="2:31" ht="20.25" customHeight="1" x14ac:dyDescent="0.25">
      <c r="B46" s="73"/>
      <c r="C46" s="409"/>
      <c r="D46" s="439"/>
      <c r="E46" s="438"/>
      <c r="F46" s="438"/>
      <c r="G46" s="438"/>
      <c r="H46" s="427"/>
      <c r="I46" s="440"/>
      <c r="J46" s="441"/>
      <c r="K46" s="442"/>
      <c r="L46" s="441"/>
      <c r="M46" s="443"/>
      <c r="N46" s="444"/>
      <c r="O46" s="445"/>
      <c r="P46" s="436"/>
      <c r="Q46" s="151"/>
      <c r="R46" s="61"/>
      <c r="S46" s="264"/>
      <c r="X46" s="18" t="str">
        <f t="shared" si="0"/>
        <v/>
      </c>
      <c r="Y46" s="18" t="str">
        <f t="shared" si="0"/>
        <v/>
      </c>
      <c r="Z46" s="18">
        <f t="shared" si="1"/>
        <v>1</v>
      </c>
      <c r="AA46" s="18">
        <f t="shared" si="2"/>
        <v>0</v>
      </c>
      <c r="AB46" s="18">
        <f t="shared" si="3"/>
        <v>0</v>
      </c>
      <c r="AC46" s="18">
        <f t="shared" si="3"/>
        <v>0</v>
      </c>
      <c r="AD46" s="18">
        <f t="shared" si="4"/>
        <v>1</v>
      </c>
      <c r="AE46" s="18" t="str">
        <f t="shared" si="5"/>
        <v/>
      </c>
    </row>
    <row r="47" spans="2:31" ht="20.25" customHeight="1" x14ac:dyDescent="0.25">
      <c r="B47" s="73"/>
      <c r="C47" s="409"/>
      <c r="D47" s="439"/>
      <c r="E47" s="438"/>
      <c r="F47" s="438"/>
      <c r="G47" s="438"/>
      <c r="H47" s="427"/>
      <c r="I47" s="440"/>
      <c r="J47" s="441"/>
      <c r="K47" s="442"/>
      <c r="L47" s="441"/>
      <c r="M47" s="443"/>
      <c r="N47" s="444"/>
      <c r="O47" s="445"/>
      <c r="P47" s="436"/>
      <c r="Q47" s="151"/>
      <c r="R47" s="61"/>
      <c r="S47" s="264"/>
      <c r="X47" s="18" t="str">
        <f t="shared" si="0"/>
        <v/>
      </c>
      <c r="Y47" s="18" t="str">
        <f t="shared" si="0"/>
        <v/>
      </c>
      <c r="Z47" s="18">
        <f t="shared" si="1"/>
        <v>1</v>
      </c>
      <c r="AA47" s="18">
        <f t="shared" si="2"/>
        <v>0</v>
      </c>
      <c r="AB47" s="18">
        <f t="shared" si="3"/>
        <v>0</v>
      </c>
      <c r="AC47" s="18">
        <f t="shared" si="3"/>
        <v>0</v>
      </c>
      <c r="AD47" s="18">
        <f t="shared" si="4"/>
        <v>1</v>
      </c>
      <c r="AE47" s="18" t="str">
        <f t="shared" si="5"/>
        <v/>
      </c>
    </row>
    <row r="48" spans="2:31" ht="20.25" customHeight="1" x14ac:dyDescent="0.25">
      <c r="B48" s="73"/>
      <c r="C48" s="409"/>
      <c r="D48" s="439"/>
      <c r="E48" s="438"/>
      <c r="F48" s="438"/>
      <c r="G48" s="438"/>
      <c r="H48" s="427"/>
      <c r="I48" s="440"/>
      <c r="J48" s="441"/>
      <c r="K48" s="442"/>
      <c r="L48" s="441"/>
      <c r="M48" s="443"/>
      <c r="N48" s="444"/>
      <c r="O48" s="445"/>
      <c r="P48" s="436"/>
      <c r="Q48" s="151"/>
      <c r="R48" s="61"/>
      <c r="S48" s="264"/>
      <c r="X48" s="18" t="str">
        <f t="shared" si="0"/>
        <v/>
      </c>
      <c r="Y48" s="18" t="str">
        <f t="shared" si="0"/>
        <v/>
      </c>
      <c r="Z48" s="18">
        <f t="shared" si="1"/>
        <v>1</v>
      </c>
      <c r="AA48" s="18">
        <f t="shared" si="2"/>
        <v>0</v>
      </c>
      <c r="AB48" s="18">
        <f t="shared" si="3"/>
        <v>0</v>
      </c>
      <c r="AC48" s="18">
        <f t="shared" si="3"/>
        <v>0</v>
      </c>
      <c r="AD48" s="18">
        <f t="shared" si="4"/>
        <v>1</v>
      </c>
      <c r="AE48" s="18" t="str">
        <f t="shared" si="5"/>
        <v/>
      </c>
    </row>
    <row r="49" spans="2:31" ht="20.25" customHeight="1" x14ac:dyDescent="0.25">
      <c r="B49" s="73"/>
      <c r="C49" s="409"/>
      <c r="D49" s="439"/>
      <c r="E49" s="438"/>
      <c r="F49" s="438"/>
      <c r="G49" s="438"/>
      <c r="H49" s="427"/>
      <c r="I49" s="440"/>
      <c r="J49" s="441"/>
      <c r="K49" s="442"/>
      <c r="L49" s="441"/>
      <c r="M49" s="443"/>
      <c r="N49" s="444"/>
      <c r="O49" s="445"/>
      <c r="P49" s="436"/>
      <c r="Q49" s="151"/>
      <c r="R49" s="61"/>
      <c r="S49" s="264"/>
      <c r="X49" s="18" t="str">
        <f t="shared" si="0"/>
        <v/>
      </c>
      <c r="Y49" s="18" t="str">
        <f t="shared" si="0"/>
        <v/>
      </c>
      <c r="Z49" s="18">
        <f t="shared" si="1"/>
        <v>1</v>
      </c>
      <c r="AA49" s="18">
        <f t="shared" si="2"/>
        <v>0</v>
      </c>
      <c r="AB49" s="18">
        <f t="shared" si="3"/>
        <v>0</v>
      </c>
      <c r="AC49" s="18">
        <f t="shared" si="3"/>
        <v>0</v>
      </c>
      <c r="AD49" s="18">
        <f t="shared" si="4"/>
        <v>1</v>
      </c>
      <c r="AE49" s="18" t="str">
        <f t="shared" si="5"/>
        <v/>
      </c>
    </row>
    <row r="50" spans="2:31" ht="20.25" customHeight="1" x14ac:dyDescent="0.25">
      <c r="B50" s="73"/>
      <c r="C50" s="409"/>
      <c r="D50" s="439"/>
      <c r="E50" s="438"/>
      <c r="F50" s="438"/>
      <c r="G50" s="438"/>
      <c r="H50" s="427"/>
      <c r="I50" s="440"/>
      <c r="J50" s="441"/>
      <c r="K50" s="442"/>
      <c r="L50" s="441"/>
      <c r="M50" s="443"/>
      <c r="N50" s="444"/>
      <c r="O50" s="445"/>
      <c r="P50" s="436"/>
      <c r="Q50" s="151"/>
      <c r="R50" s="61"/>
      <c r="S50" s="264"/>
      <c r="X50" s="18" t="str">
        <f t="shared" si="0"/>
        <v/>
      </c>
      <c r="Y50" s="18" t="str">
        <f t="shared" si="0"/>
        <v/>
      </c>
      <c r="Z50" s="18">
        <f t="shared" si="1"/>
        <v>1</v>
      </c>
      <c r="AA50" s="18">
        <f t="shared" si="2"/>
        <v>0</v>
      </c>
      <c r="AB50" s="18">
        <f t="shared" si="3"/>
        <v>0</v>
      </c>
      <c r="AC50" s="18">
        <f t="shared" si="3"/>
        <v>0</v>
      </c>
      <c r="AD50" s="18">
        <f t="shared" si="4"/>
        <v>1</v>
      </c>
      <c r="AE50" s="18" t="str">
        <f t="shared" si="5"/>
        <v/>
      </c>
    </row>
    <row r="51" spans="2:31" ht="20.25" customHeight="1" x14ac:dyDescent="0.25">
      <c r="B51" s="73"/>
      <c r="C51" s="409"/>
      <c r="D51" s="439"/>
      <c r="E51" s="427"/>
      <c r="F51" s="446"/>
      <c r="G51" s="446"/>
      <c r="H51" s="427"/>
      <c r="I51" s="440"/>
      <c r="J51" s="441"/>
      <c r="K51" s="442"/>
      <c r="L51" s="441"/>
      <c r="M51" s="443"/>
      <c r="N51" s="444"/>
      <c r="O51" s="445"/>
      <c r="P51" s="436"/>
      <c r="Q51" s="151"/>
      <c r="R51" s="61"/>
      <c r="S51" s="264"/>
      <c r="X51" s="18" t="str">
        <f t="shared" si="0"/>
        <v/>
      </c>
      <c r="Y51" s="18" t="str">
        <f t="shared" si="0"/>
        <v/>
      </c>
      <c r="Z51" s="18">
        <f t="shared" si="1"/>
        <v>1</v>
      </c>
      <c r="AA51" s="18">
        <f t="shared" si="2"/>
        <v>0</v>
      </c>
      <c r="AB51" s="18">
        <f t="shared" si="3"/>
        <v>0</v>
      </c>
      <c r="AC51" s="18">
        <f t="shared" si="3"/>
        <v>0</v>
      </c>
      <c r="AD51" s="18">
        <f t="shared" si="4"/>
        <v>1</v>
      </c>
      <c r="AE51" s="18" t="str">
        <f t="shared" si="5"/>
        <v/>
      </c>
    </row>
    <row r="52" spans="2:31" ht="20.25" customHeight="1" x14ac:dyDescent="0.25">
      <c r="B52" s="73"/>
      <c r="C52" s="409"/>
      <c r="D52" s="439"/>
      <c r="E52" s="438"/>
      <c r="F52" s="438"/>
      <c r="G52" s="438"/>
      <c r="H52" s="427"/>
      <c r="I52" s="440"/>
      <c r="J52" s="441"/>
      <c r="K52" s="442"/>
      <c r="L52" s="441"/>
      <c r="M52" s="443"/>
      <c r="N52" s="444"/>
      <c r="O52" s="445"/>
      <c r="P52" s="436"/>
      <c r="Q52" s="151"/>
      <c r="R52" s="61"/>
      <c r="S52" s="264"/>
      <c r="X52" s="18" t="str">
        <f t="shared" si="0"/>
        <v/>
      </c>
      <c r="Y52" s="18" t="str">
        <f t="shared" si="0"/>
        <v/>
      </c>
      <c r="Z52" s="18">
        <f t="shared" si="1"/>
        <v>1</v>
      </c>
      <c r="AA52" s="18">
        <f t="shared" si="2"/>
        <v>0</v>
      </c>
      <c r="AB52" s="18">
        <f t="shared" si="3"/>
        <v>0</v>
      </c>
      <c r="AC52" s="18">
        <f t="shared" si="3"/>
        <v>0</v>
      </c>
      <c r="AD52" s="18">
        <f t="shared" si="4"/>
        <v>1</v>
      </c>
      <c r="AE52" s="18" t="str">
        <f t="shared" si="5"/>
        <v/>
      </c>
    </row>
    <row r="53" spans="2:31" ht="20.25" customHeight="1" x14ac:dyDescent="0.25">
      <c r="B53" s="73"/>
      <c r="C53" s="409"/>
      <c r="D53" s="439"/>
      <c r="E53" s="438"/>
      <c r="F53" s="438"/>
      <c r="G53" s="438"/>
      <c r="H53" s="427"/>
      <c r="I53" s="440"/>
      <c r="J53" s="441"/>
      <c r="K53" s="442"/>
      <c r="L53" s="441"/>
      <c r="M53" s="443"/>
      <c r="N53" s="444"/>
      <c r="O53" s="445"/>
      <c r="P53" s="436"/>
      <c r="Q53" s="151"/>
      <c r="R53" s="61"/>
      <c r="S53" s="264"/>
      <c r="X53" s="18" t="str">
        <f t="shared" si="0"/>
        <v/>
      </c>
      <c r="Y53" s="18" t="str">
        <f t="shared" si="0"/>
        <v/>
      </c>
      <c r="Z53" s="18">
        <f t="shared" si="1"/>
        <v>1</v>
      </c>
      <c r="AA53" s="18">
        <f t="shared" si="2"/>
        <v>0</v>
      </c>
      <c r="AB53" s="18">
        <f t="shared" si="3"/>
        <v>0</v>
      </c>
      <c r="AC53" s="18">
        <f t="shared" si="3"/>
        <v>0</v>
      </c>
      <c r="AD53" s="18">
        <f t="shared" si="4"/>
        <v>1</v>
      </c>
      <c r="AE53" s="18" t="str">
        <f t="shared" si="5"/>
        <v/>
      </c>
    </row>
    <row r="54" spans="2:31" ht="20.25" customHeight="1" x14ac:dyDescent="0.25">
      <c r="B54" s="73"/>
      <c r="C54" s="409"/>
      <c r="D54" s="439"/>
      <c r="E54" s="438"/>
      <c r="F54" s="438"/>
      <c r="G54" s="438"/>
      <c r="H54" s="427"/>
      <c r="I54" s="440"/>
      <c r="J54" s="441"/>
      <c r="K54" s="442"/>
      <c r="L54" s="441"/>
      <c r="M54" s="443"/>
      <c r="N54" s="444"/>
      <c r="O54" s="445"/>
      <c r="P54" s="436"/>
      <c r="Q54" s="151"/>
      <c r="R54" s="61"/>
      <c r="S54" s="264"/>
      <c r="X54" s="18" t="str">
        <f t="shared" si="0"/>
        <v/>
      </c>
      <c r="Y54" s="18" t="str">
        <f t="shared" si="0"/>
        <v/>
      </c>
      <c r="Z54" s="18">
        <f t="shared" si="1"/>
        <v>1</v>
      </c>
      <c r="AA54" s="18">
        <f t="shared" si="2"/>
        <v>0</v>
      </c>
      <c r="AB54" s="18">
        <f t="shared" si="3"/>
        <v>0</v>
      </c>
      <c r="AC54" s="18">
        <f t="shared" si="3"/>
        <v>0</v>
      </c>
      <c r="AD54" s="18">
        <f t="shared" si="4"/>
        <v>1</v>
      </c>
      <c r="AE54" s="18" t="str">
        <f t="shared" si="5"/>
        <v/>
      </c>
    </row>
    <row r="55" spans="2:31" ht="20.25" customHeight="1" x14ac:dyDescent="0.25">
      <c r="B55" s="73"/>
      <c r="C55" s="409"/>
      <c r="D55" s="439"/>
      <c r="E55" s="438"/>
      <c r="F55" s="438"/>
      <c r="G55" s="438"/>
      <c r="H55" s="427"/>
      <c r="I55" s="440"/>
      <c r="J55" s="441"/>
      <c r="K55" s="442"/>
      <c r="L55" s="441"/>
      <c r="M55" s="443"/>
      <c r="N55" s="444"/>
      <c r="O55" s="445"/>
      <c r="P55" s="436"/>
      <c r="Q55" s="151"/>
      <c r="R55" s="61"/>
      <c r="S55" s="264"/>
      <c r="X55" s="18" t="str">
        <f t="shared" si="0"/>
        <v/>
      </c>
      <c r="Y55" s="18" t="str">
        <f t="shared" si="0"/>
        <v/>
      </c>
      <c r="Z55" s="18">
        <f t="shared" si="1"/>
        <v>1</v>
      </c>
      <c r="AA55" s="18">
        <f t="shared" si="2"/>
        <v>0</v>
      </c>
      <c r="AB55" s="18">
        <f t="shared" si="3"/>
        <v>0</v>
      </c>
      <c r="AC55" s="18">
        <f t="shared" si="3"/>
        <v>0</v>
      </c>
      <c r="AD55" s="18">
        <f t="shared" si="4"/>
        <v>1</v>
      </c>
      <c r="AE55" s="18" t="str">
        <f t="shared" si="5"/>
        <v/>
      </c>
    </row>
    <row r="56" spans="2:31" ht="20.25" customHeight="1" x14ac:dyDescent="0.25">
      <c r="B56" s="73"/>
      <c r="C56" s="409"/>
      <c r="D56" s="439"/>
      <c r="E56" s="438"/>
      <c r="F56" s="438"/>
      <c r="G56" s="438"/>
      <c r="H56" s="427"/>
      <c r="I56" s="440"/>
      <c r="J56" s="441"/>
      <c r="K56" s="442"/>
      <c r="L56" s="441"/>
      <c r="M56" s="443"/>
      <c r="N56" s="444"/>
      <c r="O56" s="445"/>
      <c r="P56" s="436"/>
      <c r="Q56" s="151"/>
      <c r="R56" s="61"/>
      <c r="S56" s="264"/>
      <c r="X56" s="18" t="str">
        <f t="shared" si="0"/>
        <v/>
      </c>
      <c r="Y56" s="18" t="str">
        <f t="shared" si="0"/>
        <v/>
      </c>
      <c r="Z56" s="18">
        <f t="shared" si="1"/>
        <v>1</v>
      </c>
      <c r="AA56" s="18">
        <f t="shared" si="2"/>
        <v>0</v>
      </c>
      <c r="AB56" s="18">
        <f t="shared" si="3"/>
        <v>0</v>
      </c>
      <c r="AC56" s="18">
        <f t="shared" si="3"/>
        <v>0</v>
      </c>
      <c r="AD56" s="18">
        <f t="shared" si="4"/>
        <v>1</v>
      </c>
      <c r="AE56" s="18" t="str">
        <f t="shared" si="5"/>
        <v/>
      </c>
    </row>
    <row r="57" spans="2:31" ht="20.25" customHeight="1" x14ac:dyDescent="0.25">
      <c r="B57" s="73"/>
      <c r="C57" s="409"/>
      <c r="D57" s="439"/>
      <c r="E57" s="438"/>
      <c r="F57" s="438"/>
      <c r="G57" s="438"/>
      <c r="H57" s="427"/>
      <c r="I57" s="440"/>
      <c r="J57" s="441"/>
      <c r="K57" s="442"/>
      <c r="L57" s="441"/>
      <c r="M57" s="443"/>
      <c r="N57" s="444"/>
      <c r="O57" s="445"/>
      <c r="P57" s="436"/>
      <c r="Q57" s="151"/>
      <c r="R57" s="61"/>
      <c r="S57" s="264"/>
      <c r="X57" s="18" t="str">
        <f t="shared" si="0"/>
        <v/>
      </c>
      <c r="Y57" s="18" t="str">
        <f t="shared" si="0"/>
        <v/>
      </c>
      <c r="Z57" s="18">
        <f t="shared" si="1"/>
        <v>1</v>
      </c>
      <c r="AA57" s="18">
        <f t="shared" si="2"/>
        <v>0</v>
      </c>
      <c r="AB57" s="18">
        <f t="shared" si="3"/>
        <v>0</v>
      </c>
      <c r="AC57" s="18">
        <f t="shared" si="3"/>
        <v>0</v>
      </c>
      <c r="AD57" s="18">
        <f t="shared" si="4"/>
        <v>1</v>
      </c>
      <c r="AE57" s="18" t="str">
        <f t="shared" si="5"/>
        <v/>
      </c>
    </row>
    <row r="58" spans="2:31" ht="20.25" customHeight="1" x14ac:dyDescent="0.25">
      <c r="B58" s="73"/>
      <c r="C58" s="409"/>
      <c r="D58" s="439"/>
      <c r="E58" s="438"/>
      <c r="F58" s="438"/>
      <c r="G58" s="438"/>
      <c r="H58" s="427"/>
      <c r="I58" s="440"/>
      <c r="J58" s="441"/>
      <c r="K58" s="442"/>
      <c r="L58" s="441"/>
      <c r="M58" s="443"/>
      <c r="N58" s="444"/>
      <c r="O58" s="445"/>
      <c r="P58" s="436"/>
      <c r="Q58" s="151"/>
      <c r="R58" s="61"/>
      <c r="S58" s="264"/>
      <c r="X58" s="18" t="str">
        <f t="shared" si="0"/>
        <v/>
      </c>
      <c r="Y58" s="18" t="str">
        <f t="shared" si="0"/>
        <v/>
      </c>
      <c r="Z58" s="18">
        <f t="shared" si="1"/>
        <v>1</v>
      </c>
      <c r="AA58" s="18">
        <f t="shared" si="2"/>
        <v>0</v>
      </c>
      <c r="AB58" s="18">
        <f t="shared" si="3"/>
        <v>0</v>
      </c>
      <c r="AC58" s="18">
        <f t="shared" si="3"/>
        <v>0</v>
      </c>
      <c r="AD58" s="18">
        <f t="shared" si="4"/>
        <v>1</v>
      </c>
      <c r="AE58" s="18" t="str">
        <f t="shared" si="5"/>
        <v/>
      </c>
    </row>
    <row r="59" spans="2:31" ht="20.25" customHeight="1" x14ac:dyDescent="0.25">
      <c r="B59" s="73"/>
      <c r="C59" s="409"/>
      <c r="D59" s="439"/>
      <c r="E59" s="438"/>
      <c r="F59" s="438"/>
      <c r="G59" s="438"/>
      <c r="H59" s="427"/>
      <c r="I59" s="440"/>
      <c r="J59" s="441"/>
      <c r="K59" s="442"/>
      <c r="L59" s="441"/>
      <c r="M59" s="443"/>
      <c r="N59" s="444"/>
      <c r="O59" s="445"/>
      <c r="P59" s="436"/>
      <c r="Q59" s="151"/>
      <c r="R59" s="61"/>
      <c r="S59" s="264"/>
      <c r="X59" s="18" t="str">
        <f t="shared" si="0"/>
        <v/>
      </c>
      <c r="Y59" s="18" t="str">
        <f t="shared" si="0"/>
        <v/>
      </c>
      <c r="Z59" s="18">
        <f t="shared" si="1"/>
        <v>1</v>
      </c>
      <c r="AA59" s="18">
        <f t="shared" si="2"/>
        <v>0</v>
      </c>
      <c r="AB59" s="18">
        <f t="shared" si="3"/>
        <v>0</v>
      </c>
      <c r="AC59" s="18">
        <f t="shared" si="3"/>
        <v>0</v>
      </c>
      <c r="AD59" s="18">
        <f t="shared" si="4"/>
        <v>1</v>
      </c>
      <c r="AE59" s="18" t="str">
        <f t="shared" si="5"/>
        <v/>
      </c>
    </row>
    <row r="60" spans="2:31" ht="20.25" customHeight="1" x14ac:dyDescent="0.25">
      <c r="B60" s="73"/>
      <c r="C60" s="409"/>
      <c r="D60" s="439"/>
      <c r="E60" s="438"/>
      <c r="F60" s="438"/>
      <c r="G60" s="438"/>
      <c r="H60" s="427"/>
      <c r="I60" s="440"/>
      <c r="J60" s="441"/>
      <c r="K60" s="442"/>
      <c r="L60" s="441"/>
      <c r="M60" s="443"/>
      <c r="N60" s="444"/>
      <c r="O60" s="445"/>
      <c r="P60" s="436"/>
      <c r="Q60" s="151"/>
      <c r="R60" s="61"/>
      <c r="S60" s="264"/>
      <c r="X60" s="18" t="str">
        <f t="shared" si="0"/>
        <v/>
      </c>
      <c r="Y60" s="18" t="str">
        <f t="shared" si="0"/>
        <v/>
      </c>
      <c r="Z60" s="18">
        <f t="shared" si="1"/>
        <v>1</v>
      </c>
      <c r="AA60" s="18">
        <f t="shared" si="2"/>
        <v>0</v>
      </c>
      <c r="AB60" s="18">
        <f t="shared" si="3"/>
        <v>0</v>
      </c>
      <c r="AC60" s="18">
        <f t="shared" si="3"/>
        <v>0</v>
      </c>
      <c r="AD60" s="18">
        <f t="shared" si="4"/>
        <v>1</v>
      </c>
      <c r="AE60" s="18" t="str">
        <f t="shared" si="5"/>
        <v/>
      </c>
    </row>
    <row r="61" spans="2:31" ht="20.25" customHeight="1" x14ac:dyDescent="0.25">
      <c r="B61" s="73"/>
      <c r="C61" s="409"/>
      <c r="D61" s="439"/>
      <c r="E61" s="438"/>
      <c r="F61" s="438"/>
      <c r="G61" s="438"/>
      <c r="H61" s="427"/>
      <c r="I61" s="440"/>
      <c r="J61" s="441"/>
      <c r="K61" s="442"/>
      <c r="L61" s="441"/>
      <c r="M61" s="443"/>
      <c r="N61" s="444"/>
      <c r="O61" s="445"/>
      <c r="P61" s="436"/>
      <c r="Q61" s="151"/>
      <c r="R61" s="61"/>
      <c r="S61" s="264"/>
      <c r="X61" s="18" t="str">
        <f t="shared" si="0"/>
        <v/>
      </c>
      <c r="Y61" s="18" t="str">
        <f t="shared" si="0"/>
        <v/>
      </c>
      <c r="Z61" s="18">
        <f t="shared" si="1"/>
        <v>1</v>
      </c>
      <c r="AA61" s="18">
        <f t="shared" si="2"/>
        <v>0</v>
      </c>
      <c r="AB61" s="18">
        <f t="shared" si="3"/>
        <v>0</v>
      </c>
      <c r="AC61" s="18">
        <f t="shared" si="3"/>
        <v>0</v>
      </c>
      <c r="AD61" s="18">
        <f t="shared" si="4"/>
        <v>1</v>
      </c>
      <c r="AE61" s="18" t="str">
        <f t="shared" si="5"/>
        <v/>
      </c>
    </row>
    <row r="62" spans="2:31" ht="20.25" customHeight="1" x14ac:dyDescent="0.25">
      <c r="B62" s="73"/>
      <c r="C62" s="409"/>
      <c r="D62" s="439"/>
      <c r="E62" s="438"/>
      <c r="F62" s="438"/>
      <c r="G62" s="438"/>
      <c r="H62" s="427"/>
      <c r="I62" s="440"/>
      <c r="J62" s="441"/>
      <c r="K62" s="442"/>
      <c r="L62" s="441"/>
      <c r="M62" s="443"/>
      <c r="N62" s="444"/>
      <c r="O62" s="445"/>
      <c r="P62" s="436"/>
      <c r="Q62" s="151"/>
      <c r="R62" s="61"/>
      <c r="S62" s="264"/>
      <c r="X62" s="18" t="str">
        <f t="shared" si="0"/>
        <v/>
      </c>
      <c r="Y62" s="18" t="str">
        <f t="shared" si="0"/>
        <v/>
      </c>
      <c r="Z62" s="18">
        <f t="shared" si="1"/>
        <v>1</v>
      </c>
      <c r="AA62" s="18">
        <f t="shared" si="2"/>
        <v>0</v>
      </c>
      <c r="AB62" s="18">
        <f t="shared" si="3"/>
        <v>0</v>
      </c>
      <c r="AC62" s="18">
        <f t="shared" si="3"/>
        <v>0</v>
      </c>
      <c r="AD62" s="18">
        <f t="shared" si="4"/>
        <v>1</v>
      </c>
      <c r="AE62" s="18" t="str">
        <f t="shared" si="5"/>
        <v/>
      </c>
    </row>
    <row r="63" spans="2:31" ht="20.25" customHeight="1" x14ac:dyDescent="0.25">
      <c r="B63" s="73"/>
      <c r="C63" s="409"/>
      <c r="D63" s="439"/>
      <c r="E63" s="438"/>
      <c r="F63" s="438"/>
      <c r="G63" s="438"/>
      <c r="H63" s="427"/>
      <c r="I63" s="440"/>
      <c r="J63" s="441"/>
      <c r="K63" s="442"/>
      <c r="L63" s="441"/>
      <c r="M63" s="443"/>
      <c r="N63" s="444"/>
      <c r="O63" s="445"/>
      <c r="P63" s="436"/>
      <c r="Q63" s="151"/>
      <c r="R63" s="61"/>
      <c r="S63" s="264"/>
      <c r="X63" s="18" t="str">
        <f t="shared" si="0"/>
        <v/>
      </c>
      <c r="Y63" s="18" t="str">
        <f t="shared" si="0"/>
        <v/>
      </c>
      <c r="Z63" s="18">
        <f t="shared" si="1"/>
        <v>1</v>
      </c>
      <c r="AA63" s="18">
        <f t="shared" si="2"/>
        <v>0</v>
      </c>
      <c r="AB63" s="18">
        <f t="shared" si="3"/>
        <v>0</v>
      </c>
      <c r="AC63" s="18">
        <f t="shared" si="3"/>
        <v>0</v>
      </c>
      <c r="AD63" s="18">
        <f t="shared" si="4"/>
        <v>1</v>
      </c>
      <c r="AE63" s="18" t="str">
        <f t="shared" si="5"/>
        <v/>
      </c>
    </row>
    <row r="64" spans="2:31" ht="20.25" customHeight="1" x14ac:dyDescent="0.25">
      <c r="B64" s="73"/>
      <c r="C64" s="409"/>
      <c r="D64" s="439"/>
      <c r="E64" s="438"/>
      <c r="F64" s="438"/>
      <c r="G64" s="438"/>
      <c r="H64" s="427"/>
      <c r="I64" s="440"/>
      <c r="J64" s="441"/>
      <c r="K64" s="442"/>
      <c r="L64" s="441"/>
      <c r="M64" s="443"/>
      <c r="N64" s="444"/>
      <c r="O64" s="445"/>
      <c r="P64" s="436"/>
      <c r="Q64" s="151"/>
      <c r="R64" s="61"/>
      <c r="S64" s="264"/>
      <c r="X64" s="18" t="str">
        <f t="shared" si="0"/>
        <v/>
      </c>
      <c r="Y64" s="18" t="str">
        <f t="shared" si="0"/>
        <v/>
      </c>
      <c r="Z64" s="18">
        <f t="shared" si="1"/>
        <v>1</v>
      </c>
      <c r="AA64" s="18">
        <f t="shared" si="2"/>
        <v>0</v>
      </c>
      <c r="AB64" s="18">
        <f t="shared" si="3"/>
        <v>0</v>
      </c>
      <c r="AC64" s="18">
        <f t="shared" si="3"/>
        <v>0</v>
      </c>
      <c r="AD64" s="18">
        <f t="shared" si="4"/>
        <v>1</v>
      </c>
      <c r="AE64" s="18" t="str">
        <f t="shared" si="5"/>
        <v/>
      </c>
    </row>
    <row r="65" spans="2:31" ht="20.25" customHeight="1" x14ac:dyDescent="0.25">
      <c r="B65" s="73"/>
      <c r="C65" s="409"/>
      <c r="D65" s="439"/>
      <c r="E65" s="438"/>
      <c r="F65" s="438"/>
      <c r="G65" s="438"/>
      <c r="H65" s="427"/>
      <c r="I65" s="440"/>
      <c r="J65" s="441"/>
      <c r="K65" s="442"/>
      <c r="L65" s="441"/>
      <c r="M65" s="443"/>
      <c r="N65" s="444"/>
      <c r="O65" s="445"/>
      <c r="P65" s="436"/>
      <c r="Q65" s="151"/>
      <c r="R65" s="61"/>
      <c r="S65" s="264"/>
      <c r="X65" s="18" t="str">
        <f t="shared" si="0"/>
        <v/>
      </c>
      <c r="Y65" s="18" t="str">
        <f t="shared" si="0"/>
        <v/>
      </c>
      <c r="Z65" s="18">
        <f t="shared" si="1"/>
        <v>1</v>
      </c>
      <c r="AA65" s="18">
        <f t="shared" si="2"/>
        <v>0</v>
      </c>
      <c r="AB65" s="18">
        <f t="shared" si="3"/>
        <v>0</v>
      </c>
      <c r="AC65" s="18">
        <f t="shared" si="3"/>
        <v>0</v>
      </c>
      <c r="AD65" s="18">
        <f t="shared" si="4"/>
        <v>1</v>
      </c>
      <c r="AE65" s="18" t="str">
        <f t="shared" si="5"/>
        <v/>
      </c>
    </row>
    <row r="66" spans="2:31" ht="20.25" customHeight="1" x14ac:dyDescent="0.25">
      <c r="B66" s="73"/>
      <c r="C66" s="409"/>
      <c r="D66" s="439"/>
      <c r="E66" s="438"/>
      <c r="F66" s="438"/>
      <c r="G66" s="438"/>
      <c r="H66" s="427"/>
      <c r="I66" s="440"/>
      <c r="J66" s="441"/>
      <c r="K66" s="442"/>
      <c r="L66" s="441"/>
      <c r="M66" s="443"/>
      <c r="N66" s="444"/>
      <c r="O66" s="445"/>
      <c r="P66" s="436"/>
      <c r="Q66" s="151"/>
      <c r="R66" s="61"/>
      <c r="S66" s="264"/>
      <c r="X66" s="18" t="str">
        <f t="shared" si="0"/>
        <v/>
      </c>
      <c r="Y66" s="18" t="str">
        <f t="shared" si="0"/>
        <v/>
      </c>
      <c r="Z66" s="18">
        <f t="shared" si="1"/>
        <v>1</v>
      </c>
      <c r="AA66" s="18">
        <f t="shared" si="2"/>
        <v>0</v>
      </c>
      <c r="AB66" s="18">
        <f t="shared" si="3"/>
        <v>0</v>
      </c>
      <c r="AC66" s="18">
        <f t="shared" si="3"/>
        <v>0</v>
      </c>
      <c r="AD66" s="18">
        <f t="shared" si="4"/>
        <v>1</v>
      </c>
      <c r="AE66" s="18" t="str">
        <f t="shared" si="5"/>
        <v/>
      </c>
    </row>
    <row r="67" spans="2:31" ht="20.25" customHeight="1" x14ac:dyDescent="0.25">
      <c r="B67" s="73"/>
      <c r="C67" s="409"/>
      <c r="D67" s="439"/>
      <c r="E67" s="438"/>
      <c r="F67" s="438"/>
      <c r="G67" s="438"/>
      <c r="H67" s="427"/>
      <c r="I67" s="440"/>
      <c r="J67" s="441"/>
      <c r="K67" s="442"/>
      <c r="L67" s="441"/>
      <c r="M67" s="443"/>
      <c r="N67" s="444"/>
      <c r="O67" s="445"/>
      <c r="P67" s="436"/>
      <c r="Q67" s="151"/>
      <c r="R67" s="61"/>
      <c r="S67" s="264"/>
      <c r="X67" s="18" t="str">
        <f t="shared" si="0"/>
        <v/>
      </c>
      <c r="Y67" s="18" t="str">
        <f t="shared" si="0"/>
        <v/>
      </c>
      <c r="Z67" s="18">
        <f t="shared" si="1"/>
        <v>1</v>
      </c>
      <c r="AA67" s="18">
        <f t="shared" si="2"/>
        <v>0</v>
      </c>
      <c r="AB67" s="18">
        <f t="shared" si="3"/>
        <v>0</v>
      </c>
      <c r="AC67" s="18">
        <f t="shared" si="3"/>
        <v>0</v>
      </c>
      <c r="AD67" s="18">
        <f t="shared" si="4"/>
        <v>1</v>
      </c>
      <c r="AE67" s="18" t="str">
        <f t="shared" si="5"/>
        <v/>
      </c>
    </row>
    <row r="68" spans="2:31" ht="20.25" customHeight="1" x14ac:dyDescent="0.25">
      <c r="B68" s="73"/>
      <c r="C68" s="409"/>
      <c r="D68" s="439"/>
      <c r="E68" s="438"/>
      <c r="F68" s="438"/>
      <c r="G68" s="438"/>
      <c r="H68" s="427"/>
      <c r="I68" s="440"/>
      <c r="J68" s="441"/>
      <c r="K68" s="442"/>
      <c r="L68" s="441"/>
      <c r="M68" s="443"/>
      <c r="N68" s="444"/>
      <c r="O68" s="445"/>
      <c r="P68" s="436"/>
      <c r="Q68" s="151"/>
      <c r="R68" s="61"/>
      <c r="S68" s="264"/>
      <c r="X68" s="18" t="str">
        <f t="shared" si="0"/>
        <v/>
      </c>
      <c r="Y68" s="18" t="str">
        <f t="shared" si="0"/>
        <v/>
      </c>
      <c r="Z68" s="18">
        <f t="shared" si="1"/>
        <v>1</v>
      </c>
      <c r="AA68" s="18">
        <f t="shared" si="2"/>
        <v>0</v>
      </c>
      <c r="AB68" s="18">
        <f t="shared" si="3"/>
        <v>0</v>
      </c>
      <c r="AC68" s="18">
        <f t="shared" si="3"/>
        <v>0</v>
      </c>
      <c r="AD68" s="18">
        <f t="shared" si="4"/>
        <v>1</v>
      </c>
      <c r="AE68" s="18" t="str">
        <f t="shared" si="5"/>
        <v/>
      </c>
    </row>
    <row r="69" spans="2:31" ht="20.25" customHeight="1" x14ac:dyDescent="0.25">
      <c r="B69" s="73"/>
      <c r="C69" s="409"/>
      <c r="D69" s="439"/>
      <c r="E69" s="438"/>
      <c r="F69" s="438"/>
      <c r="G69" s="438"/>
      <c r="H69" s="427"/>
      <c r="I69" s="440"/>
      <c r="J69" s="441"/>
      <c r="K69" s="442"/>
      <c r="L69" s="441"/>
      <c r="M69" s="443"/>
      <c r="N69" s="444"/>
      <c r="O69" s="445"/>
      <c r="P69" s="436"/>
      <c r="Q69" s="151"/>
      <c r="R69" s="61"/>
      <c r="S69" s="264"/>
      <c r="X69" s="18" t="str">
        <f t="shared" si="0"/>
        <v/>
      </c>
      <c r="Y69" s="18" t="str">
        <f t="shared" si="0"/>
        <v/>
      </c>
      <c r="Z69" s="18">
        <f t="shared" si="1"/>
        <v>1</v>
      </c>
      <c r="AA69" s="18">
        <f t="shared" si="2"/>
        <v>0</v>
      </c>
      <c r="AB69" s="18">
        <f t="shared" si="3"/>
        <v>0</v>
      </c>
      <c r="AC69" s="18">
        <f t="shared" si="3"/>
        <v>0</v>
      </c>
      <c r="AD69" s="18">
        <f t="shared" si="4"/>
        <v>1</v>
      </c>
      <c r="AE69" s="18" t="str">
        <f t="shared" si="5"/>
        <v/>
      </c>
    </row>
    <row r="70" spans="2:31" ht="20.25" customHeight="1" x14ac:dyDescent="0.25">
      <c r="B70" s="73"/>
      <c r="C70" s="409"/>
      <c r="D70" s="439"/>
      <c r="E70" s="438"/>
      <c r="F70" s="438"/>
      <c r="G70" s="438"/>
      <c r="H70" s="427"/>
      <c r="I70" s="440"/>
      <c r="J70" s="441"/>
      <c r="K70" s="442"/>
      <c r="L70" s="441"/>
      <c r="M70" s="443"/>
      <c r="N70" s="444"/>
      <c r="O70" s="445"/>
      <c r="P70" s="436"/>
      <c r="Q70" s="151"/>
      <c r="R70" s="61"/>
      <c r="S70" s="264"/>
      <c r="X70" s="18" t="str">
        <f t="shared" si="0"/>
        <v/>
      </c>
      <c r="Y70" s="18" t="str">
        <f t="shared" si="0"/>
        <v/>
      </c>
      <c r="Z70" s="18">
        <f t="shared" si="1"/>
        <v>1</v>
      </c>
      <c r="AA70" s="18">
        <f t="shared" si="2"/>
        <v>0</v>
      </c>
      <c r="AB70" s="18">
        <f t="shared" si="3"/>
        <v>0</v>
      </c>
      <c r="AC70" s="18">
        <f t="shared" si="3"/>
        <v>0</v>
      </c>
      <c r="AD70" s="18">
        <f t="shared" si="4"/>
        <v>1</v>
      </c>
      <c r="AE70" s="18" t="str">
        <f t="shared" si="5"/>
        <v/>
      </c>
    </row>
    <row r="71" spans="2:31" ht="20.25" customHeight="1" x14ac:dyDescent="0.25">
      <c r="B71" s="73"/>
      <c r="C71" s="409"/>
      <c r="D71" s="439"/>
      <c r="E71" s="438"/>
      <c r="F71" s="438"/>
      <c r="G71" s="438"/>
      <c r="H71" s="427"/>
      <c r="I71" s="440"/>
      <c r="J71" s="441"/>
      <c r="K71" s="442"/>
      <c r="L71" s="441"/>
      <c r="M71" s="443"/>
      <c r="N71" s="444"/>
      <c r="O71" s="445"/>
      <c r="P71" s="436"/>
      <c r="Q71" s="151"/>
      <c r="R71" s="61"/>
      <c r="S71" s="264"/>
      <c r="X71" s="18" t="str">
        <f t="shared" si="0"/>
        <v/>
      </c>
      <c r="Y71" s="18" t="str">
        <f t="shared" si="0"/>
        <v/>
      </c>
      <c r="Z71" s="18">
        <f t="shared" si="1"/>
        <v>1</v>
      </c>
      <c r="AA71" s="18">
        <f t="shared" si="2"/>
        <v>0</v>
      </c>
      <c r="AB71" s="18">
        <f t="shared" si="3"/>
        <v>0</v>
      </c>
      <c r="AC71" s="18">
        <f t="shared" si="3"/>
        <v>0</v>
      </c>
      <c r="AD71" s="18">
        <f t="shared" si="4"/>
        <v>1</v>
      </c>
      <c r="AE71" s="18" t="str">
        <f t="shared" si="5"/>
        <v/>
      </c>
    </row>
    <row r="72" spans="2:31" ht="20.25" customHeight="1" x14ac:dyDescent="0.25">
      <c r="B72" s="73"/>
      <c r="C72" s="409"/>
      <c r="D72" s="439"/>
      <c r="E72" s="438"/>
      <c r="F72" s="438"/>
      <c r="G72" s="438"/>
      <c r="H72" s="427"/>
      <c r="I72" s="440"/>
      <c r="J72" s="441"/>
      <c r="K72" s="442"/>
      <c r="L72" s="441"/>
      <c r="M72" s="443"/>
      <c r="N72" s="444"/>
      <c r="O72" s="445"/>
      <c r="P72" s="436"/>
      <c r="Q72" s="151"/>
      <c r="R72" s="61"/>
      <c r="S72" s="264"/>
      <c r="X72" s="18" t="str">
        <f t="shared" si="0"/>
        <v/>
      </c>
      <c r="Y72" s="18" t="str">
        <f t="shared" si="0"/>
        <v/>
      </c>
      <c r="Z72" s="18">
        <f t="shared" si="1"/>
        <v>1</v>
      </c>
      <c r="AA72" s="18">
        <f t="shared" si="2"/>
        <v>0</v>
      </c>
      <c r="AB72" s="18">
        <f t="shared" si="3"/>
        <v>0</v>
      </c>
      <c r="AC72" s="18">
        <f t="shared" si="3"/>
        <v>0</v>
      </c>
      <c r="AD72" s="18">
        <f t="shared" si="4"/>
        <v>1</v>
      </c>
      <c r="AE72" s="18" t="str">
        <f t="shared" si="5"/>
        <v/>
      </c>
    </row>
    <row r="73" spans="2:31" ht="20.25" customHeight="1" x14ac:dyDescent="0.25">
      <c r="B73" s="73"/>
      <c r="C73" s="409"/>
      <c r="D73" s="439"/>
      <c r="E73" s="438"/>
      <c r="F73" s="438"/>
      <c r="G73" s="438"/>
      <c r="H73" s="427"/>
      <c r="I73" s="440"/>
      <c r="J73" s="441"/>
      <c r="K73" s="442"/>
      <c r="L73" s="441"/>
      <c r="M73" s="443"/>
      <c r="N73" s="444"/>
      <c r="O73" s="445"/>
      <c r="P73" s="436"/>
      <c r="Q73" s="151"/>
      <c r="R73" s="61"/>
      <c r="S73" s="264"/>
      <c r="X73" s="18" t="str">
        <f t="shared" si="0"/>
        <v/>
      </c>
      <c r="Y73" s="18" t="str">
        <f t="shared" si="0"/>
        <v/>
      </c>
      <c r="Z73" s="18">
        <f t="shared" si="1"/>
        <v>1</v>
      </c>
      <c r="AA73" s="18">
        <f t="shared" si="2"/>
        <v>0</v>
      </c>
      <c r="AB73" s="18">
        <f t="shared" si="3"/>
        <v>0</v>
      </c>
      <c r="AC73" s="18">
        <f t="shared" si="3"/>
        <v>0</v>
      </c>
      <c r="AD73" s="18">
        <f t="shared" si="4"/>
        <v>1</v>
      </c>
      <c r="AE73" s="18" t="str">
        <f t="shared" si="5"/>
        <v/>
      </c>
    </row>
    <row r="74" spans="2:31" ht="20.25" customHeight="1" x14ac:dyDescent="0.25">
      <c r="B74" s="73"/>
      <c r="C74" s="409"/>
      <c r="D74" s="439"/>
      <c r="E74" s="438"/>
      <c r="F74" s="438"/>
      <c r="G74" s="438"/>
      <c r="H74" s="427"/>
      <c r="I74" s="440"/>
      <c r="J74" s="441"/>
      <c r="K74" s="442"/>
      <c r="L74" s="441"/>
      <c r="M74" s="443"/>
      <c r="N74" s="444"/>
      <c r="O74" s="445"/>
      <c r="P74" s="436"/>
      <c r="Q74" s="151"/>
      <c r="R74" s="61"/>
      <c r="S74" s="264"/>
      <c r="X74" s="18" t="str">
        <f t="shared" si="0"/>
        <v/>
      </c>
      <c r="Y74" s="18" t="str">
        <f t="shared" si="0"/>
        <v/>
      </c>
      <c r="Z74" s="18">
        <f t="shared" si="1"/>
        <v>1</v>
      </c>
      <c r="AA74" s="18">
        <f t="shared" si="2"/>
        <v>0</v>
      </c>
      <c r="AB74" s="18">
        <f t="shared" si="3"/>
        <v>0</v>
      </c>
      <c r="AC74" s="18">
        <f t="shared" si="3"/>
        <v>0</v>
      </c>
      <c r="AD74" s="18">
        <f t="shared" si="4"/>
        <v>1</v>
      </c>
      <c r="AE74" s="18" t="str">
        <f t="shared" si="5"/>
        <v/>
      </c>
    </row>
    <row r="75" spans="2:31" ht="20.25" customHeight="1" x14ac:dyDescent="0.25">
      <c r="B75" s="73"/>
      <c r="C75" s="409"/>
      <c r="D75" s="439"/>
      <c r="E75" s="438"/>
      <c r="F75" s="438"/>
      <c r="G75" s="438"/>
      <c r="H75" s="427"/>
      <c r="I75" s="440"/>
      <c r="J75" s="441"/>
      <c r="K75" s="442"/>
      <c r="L75" s="441"/>
      <c r="M75" s="443"/>
      <c r="N75" s="444"/>
      <c r="O75" s="445"/>
      <c r="P75" s="436"/>
      <c r="Q75" s="151"/>
      <c r="R75" s="61"/>
      <c r="S75" s="264"/>
      <c r="X75" s="18" t="str">
        <f t="shared" si="0"/>
        <v/>
      </c>
      <c r="Y75" s="18" t="str">
        <f t="shared" si="0"/>
        <v/>
      </c>
      <c r="Z75" s="18">
        <f t="shared" si="1"/>
        <v>1</v>
      </c>
      <c r="AA75" s="18">
        <f t="shared" si="2"/>
        <v>0</v>
      </c>
      <c r="AB75" s="18">
        <f t="shared" si="3"/>
        <v>0</v>
      </c>
      <c r="AC75" s="18">
        <f t="shared" si="3"/>
        <v>0</v>
      </c>
      <c r="AD75" s="18">
        <f t="shared" si="4"/>
        <v>1</v>
      </c>
      <c r="AE75" s="18" t="str">
        <f t="shared" si="5"/>
        <v/>
      </c>
    </row>
    <row r="76" spans="2:31" ht="20.25" customHeight="1" x14ac:dyDescent="0.25">
      <c r="B76" s="73"/>
      <c r="C76" s="409"/>
      <c r="D76" s="439"/>
      <c r="E76" s="438"/>
      <c r="F76" s="438"/>
      <c r="G76" s="438"/>
      <c r="H76" s="427"/>
      <c r="I76" s="440"/>
      <c r="J76" s="441"/>
      <c r="K76" s="442"/>
      <c r="L76" s="441"/>
      <c r="M76" s="443"/>
      <c r="N76" s="444"/>
      <c r="O76" s="445"/>
      <c r="P76" s="436"/>
      <c r="Q76" s="151"/>
      <c r="R76" s="61"/>
      <c r="S76" s="264"/>
      <c r="X76" s="18" t="str">
        <f t="shared" si="0"/>
        <v/>
      </c>
      <c r="Y76" s="18" t="str">
        <f t="shared" si="0"/>
        <v/>
      </c>
      <c r="Z76" s="18">
        <f t="shared" si="1"/>
        <v>1</v>
      </c>
      <c r="AA76" s="18">
        <f t="shared" si="2"/>
        <v>0</v>
      </c>
      <c r="AB76" s="18">
        <f t="shared" si="3"/>
        <v>0</v>
      </c>
      <c r="AC76" s="18">
        <f t="shared" si="3"/>
        <v>0</v>
      </c>
      <c r="AD76" s="18">
        <f t="shared" si="4"/>
        <v>1</v>
      </c>
      <c r="AE76" s="18" t="str">
        <f t="shared" si="5"/>
        <v/>
      </c>
    </row>
    <row r="77" spans="2:31" ht="20.25" customHeight="1" x14ac:dyDescent="0.25">
      <c r="B77" s="73"/>
      <c r="C77" s="409"/>
      <c r="D77" s="439"/>
      <c r="E77" s="438"/>
      <c r="F77" s="438"/>
      <c r="G77" s="438"/>
      <c r="H77" s="427"/>
      <c r="I77" s="440"/>
      <c r="J77" s="441"/>
      <c r="K77" s="442"/>
      <c r="L77" s="441"/>
      <c r="M77" s="443"/>
      <c r="N77" s="444"/>
      <c r="O77" s="445"/>
      <c r="P77" s="436"/>
      <c r="Q77" s="151"/>
      <c r="R77" s="61"/>
      <c r="S77" s="264"/>
      <c r="X77" s="18" t="str">
        <f t="shared" si="0"/>
        <v/>
      </c>
      <c r="Y77" s="18" t="str">
        <f t="shared" si="0"/>
        <v/>
      </c>
      <c r="Z77" s="18">
        <f t="shared" si="1"/>
        <v>1</v>
      </c>
      <c r="AA77" s="18">
        <f t="shared" si="2"/>
        <v>0</v>
      </c>
      <c r="AB77" s="18">
        <f t="shared" si="3"/>
        <v>0</v>
      </c>
      <c r="AC77" s="18">
        <f t="shared" si="3"/>
        <v>0</v>
      </c>
      <c r="AD77" s="18">
        <f t="shared" si="4"/>
        <v>1</v>
      </c>
      <c r="AE77" s="18" t="str">
        <f t="shared" si="5"/>
        <v/>
      </c>
    </row>
    <row r="78" spans="2:31" ht="20.25" customHeight="1" x14ac:dyDescent="0.25">
      <c r="B78" s="73"/>
      <c r="C78" s="409"/>
      <c r="D78" s="439"/>
      <c r="E78" s="438"/>
      <c r="F78" s="438"/>
      <c r="G78" s="438"/>
      <c r="H78" s="427"/>
      <c r="I78" s="440"/>
      <c r="J78" s="441"/>
      <c r="K78" s="442"/>
      <c r="L78" s="441"/>
      <c r="M78" s="443"/>
      <c r="N78" s="444"/>
      <c r="O78" s="445"/>
      <c r="P78" s="436"/>
      <c r="Q78" s="151"/>
      <c r="R78" s="61"/>
      <c r="S78" s="264"/>
      <c r="X78" s="18" t="str">
        <f t="shared" si="0"/>
        <v/>
      </c>
      <c r="Y78" s="18" t="str">
        <f t="shared" si="0"/>
        <v/>
      </c>
      <c r="Z78" s="18">
        <f t="shared" si="1"/>
        <v>1</v>
      </c>
      <c r="AA78" s="18">
        <f t="shared" si="2"/>
        <v>0</v>
      </c>
      <c r="AB78" s="18">
        <f t="shared" si="3"/>
        <v>0</v>
      </c>
      <c r="AC78" s="18">
        <f t="shared" si="3"/>
        <v>0</v>
      </c>
      <c r="AD78" s="18">
        <f t="shared" si="4"/>
        <v>1</v>
      </c>
      <c r="AE78" s="18" t="str">
        <f t="shared" si="5"/>
        <v/>
      </c>
    </row>
    <row r="79" spans="2:31" ht="20.25" customHeight="1" x14ac:dyDescent="0.25">
      <c r="B79" s="73"/>
      <c r="C79" s="409"/>
      <c r="D79" s="439"/>
      <c r="E79" s="438"/>
      <c r="F79" s="438"/>
      <c r="G79" s="438"/>
      <c r="H79" s="427"/>
      <c r="I79" s="440"/>
      <c r="J79" s="441"/>
      <c r="K79" s="442"/>
      <c r="L79" s="441"/>
      <c r="M79" s="443"/>
      <c r="N79" s="444"/>
      <c r="O79" s="445"/>
      <c r="P79" s="436"/>
      <c r="Q79" s="151"/>
      <c r="R79" s="61"/>
      <c r="S79" s="264"/>
      <c r="X79" s="18" t="str">
        <f t="shared" si="0"/>
        <v/>
      </c>
      <c r="Y79" s="18" t="str">
        <f t="shared" si="0"/>
        <v/>
      </c>
      <c r="Z79" s="18">
        <f t="shared" si="1"/>
        <v>1</v>
      </c>
      <c r="AA79" s="18">
        <f t="shared" si="2"/>
        <v>0</v>
      </c>
      <c r="AB79" s="18">
        <f t="shared" si="3"/>
        <v>0</v>
      </c>
      <c r="AC79" s="18">
        <f t="shared" si="3"/>
        <v>0</v>
      </c>
      <c r="AD79" s="18">
        <f t="shared" si="4"/>
        <v>1</v>
      </c>
      <c r="AE79" s="18" t="str">
        <f t="shared" si="5"/>
        <v/>
      </c>
    </row>
    <row r="80" spans="2:31" ht="20.25" customHeight="1" x14ac:dyDescent="0.25">
      <c r="B80" s="73"/>
      <c r="C80" s="409"/>
      <c r="D80" s="439"/>
      <c r="E80" s="438"/>
      <c r="F80" s="438"/>
      <c r="G80" s="438"/>
      <c r="H80" s="427"/>
      <c r="I80" s="440"/>
      <c r="J80" s="441"/>
      <c r="K80" s="442"/>
      <c r="L80" s="441"/>
      <c r="M80" s="443"/>
      <c r="N80" s="444"/>
      <c r="O80" s="445"/>
      <c r="P80" s="436"/>
      <c r="Q80" s="151"/>
      <c r="R80" s="61"/>
      <c r="S80" s="264"/>
      <c r="X80" s="18" t="str">
        <f t="shared" si="0"/>
        <v/>
      </c>
      <c r="Y80" s="18" t="str">
        <f t="shared" si="0"/>
        <v/>
      </c>
      <c r="Z80" s="18">
        <f t="shared" si="1"/>
        <v>1</v>
      </c>
      <c r="AA80" s="18">
        <f t="shared" si="2"/>
        <v>0</v>
      </c>
      <c r="AB80" s="18">
        <f t="shared" si="3"/>
        <v>0</v>
      </c>
      <c r="AC80" s="18">
        <f t="shared" si="3"/>
        <v>0</v>
      </c>
      <c r="AD80" s="18">
        <f t="shared" si="4"/>
        <v>1</v>
      </c>
      <c r="AE80" s="18" t="str">
        <f t="shared" si="5"/>
        <v/>
      </c>
    </row>
    <row r="81" spans="2:31" ht="20.25" customHeight="1" x14ac:dyDescent="0.25">
      <c r="B81" s="73"/>
      <c r="C81" s="409"/>
      <c r="D81" s="439"/>
      <c r="E81" s="438"/>
      <c r="F81" s="438"/>
      <c r="G81" s="438"/>
      <c r="H81" s="427"/>
      <c r="I81" s="440"/>
      <c r="J81" s="441"/>
      <c r="K81" s="442"/>
      <c r="L81" s="441"/>
      <c r="M81" s="443"/>
      <c r="N81" s="444"/>
      <c r="O81" s="445"/>
      <c r="P81" s="436"/>
      <c r="Q81" s="151"/>
      <c r="R81" s="61"/>
      <c r="S81" s="264"/>
      <c r="X81" s="18" t="str">
        <f t="shared" si="0"/>
        <v/>
      </c>
      <c r="Y81" s="18" t="str">
        <f t="shared" si="0"/>
        <v/>
      </c>
      <c r="Z81" s="18">
        <f t="shared" si="1"/>
        <v>1</v>
      </c>
      <c r="AA81" s="18">
        <f t="shared" si="2"/>
        <v>0</v>
      </c>
      <c r="AB81" s="18">
        <f t="shared" si="3"/>
        <v>0</v>
      </c>
      <c r="AC81" s="18">
        <f t="shared" si="3"/>
        <v>0</v>
      </c>
      <c r="AD81" s="18">
        <f t="shared" si="4"/>
        <v>1</v>
      </c>
      <c r="AE81" s="18" t="str">
        <f t="shared" si="5"/>
        <v/>
      </c>
    </row>
    <row r="82" spans="2:31" ht="20.25" customHeight="1" x14ac:dyDescent="0.25">
      <c r="B82" s="73"/>
      <c r="C82" s="409"/>
      <c r="D82" s="439"/>
      <c r="E82" s="438"/>
      <c r="F82" s="438"/>
      <c r="G82" s="438"/>
      <c r="H82" s="427"/>
      <c r="I82" s="440"/>
      <c r="J82" s="441"/>
      <c r="K82" s="442"/>
      <c r="L82" s="441"/>
      <c r="M82" s="443"/>
      <c r="N82" s="444"/>
      <c r="O82" s="445"/>
      <c r="P82" s="436"/>
      <c r="Q82" s="151"/>
      <c r="R82" s="61"/>
      <c r="S82" s="264"/>
      <c r="X82" s="18" t="str">
        <f t="shared" si="0"/>
        <v/>
      </c>
      <c r="Y82" s="18" t="str">
        <f t="shared" si="0"/>
        <v/>
      </c>
      <c r="Z82" s="18">
        <f t="shared" si="1"/>
        <v>1</v>
      </c>
      <c r="AA82" s="18">
        <f t="shared" si="2"/>
        <v>0</v>
      </c>
      <c r="AB82" s="18">
        <f t="shared" si="3"/>
        <v>0</v>
      </c>
      <c r="AC82" s="18">
        <f t="shared" si="3"/>
        <v>0</v>
      </c>
      <c r="AD82" s="18">
        <f t="shared" si="4"/>
        <v>1</v>
      </c>
      <c r="AE82" s="18" t="str">
        <f t="shared" si="5"/>
        <v/>
      </c>
    </row>
    <row r="83" spans="2:31" ht="20.25" customHeight="1" x14ac:dyDescent="0.25">
      <c r="B83" s="73"/>
      <c r="C83" s="409"/>
      <c r="D83" s="439"/>
      <c r="E83" s="438"/>
      <c r="F83" s="438"/>
      <c r="G83" s="438"/>
      <c r="H83" s="427"/>
      <c r="I83" s="440"/>
      <c r="J83" s="441"/>
      <c r="K83" s="442"/>
      <c r="L83" s="441"/>
      <c r="M83" s="443"/>
      <c r="N83" s="444"/>
      <c r="O83" s="445"/>
      <c r="P83" s="436"/>
      <c r="Q83" s="151"/>
      <c r="R83" s="61"/>
      <c r="S83" s="264"/>
      <c r="X83" s="18" t="str">
        <f t="shared" si="0"/>
        <v/>
      </c>
      <c r="Y83" s="18" t="str">
        <f t="shared" si="0"/>
        <v/>
      </c>
      <c r="Z83" s="18">
        <f t="shared" si="1"/>
        <v>1</v>
      </c>
      <c r="AA83" s="18">
        <f t="shared" si="2"/>
        <v>0</v>
      </c>
      <c r="AB83" s="18">
        <f t="shared" si="3"/>
        <v>0</v>
      </c>
      <c r="AC83" s="18">
        <f t="shared" si="3"/>
        <v>0</v>
      </c>
      <c r="AD83" s="18">
        <f t="shared" si="4"/>
        <v>1</v>
      </c>
      <c r="AE83" s="18" t="str">
        <f t="shared" si="5"/>
        <v/>
      </c>
    </row>
    <row r="84" spans="2:31" ht="20.25" customHeight="1" x14ac:dyDescent="0.25">
      <c r="B84" s="73"/>
      <c r="C84" s="409"/>
      <c r="D84" s="439"/>
      <c r="E84" s="438"/>
      <c r="F84" s="438"/>
      <c r="G84" s="438"/>
      <c r="H84" s="427"/>
      <c r="I84" s="440"/>
      <c r="J84" s="441"/>
      <c r="K84" s="442"/>
      <c r="L84" s="441"/>
      <c r="M84" s="443"/>
      <c r="N84" s="444"/>
      <c r="O84" s="445"/>
      <c r="P84" s="436"/>
      <c r="Q84" s="151"/>
      <c r="R84" s="61"/>
      <c r="S84" s="264"/>
      <c r="X84" s="18" t="str">
        <f t="shared" si="0"/>
        <v/>
      </c>
      <c r="Y84" s="18" t="str">
        <f t="shared" si="0"/>
        <v/>
      </c>
      <c r="Z84" s="18">
        <f t="shared" si="1"/>
        <v>1</v>
      </c>
      <c r="AA84" s="18">
        <f t="shared" si="2"/>
        <v>0</v>
      </c>
      <c r="AB84" s="18">
        <f t="shared" si="3"/>
        <v>0</v>
      </c>
      <c r="AC84" s="18">
        <f t="shared" si="3"/>
        <v>0</v>
      </c>
      <c r="AD84" s="18">
        <f t="shared" si="4"/>
        <v>1</v>
      </c>
      <c r="AE84" s="18" t="str">
        <f t="shared" si="5"/>
        <v/>
      </c>
    </row>
    <row r="85" spans="2:31" ht="20.25" customHeight="1" x14ac:dyDescent="0.25">
      <c r="B85" s="73"/>
      <c r="C85" s="409"/>
      <c r="D85" s="439"/>
      <c r="E85" s="438"/>
      <c r="F85" s="438"/>
      <c r="G85" s="438"/>
      <c r="H85" s="427"/>
      <c r="I85" s="440"/>
      <c r="J85" s="441"/>
      <c r="K85" s="442"/>
      <c r="L85" s="441"/>
      <c r="M85" s="443"/>
      <c r="N85" s="444"/>
      <c r="O85" s="445"/>
      <c r="P85" s="436"/>
      <c r="Q85" s="151"/>
      <c r="R85" s="61"/>
      <c r="S85" s="264"/>
      <c r="X85" s="18" t="str">
        <f t="shared" si="0"/>
        <v/>
      </c>
      <c r="Y85" s="18" t="str">
        <f t="shared" si="0"/>
        <v/>
      </c>
      <c r="Z85" s="18">
        <f t="shared" si="1"/>
        <v>1</v>
      </c>
      <c r="AA85" s="18">
        <f t="shared" si="2"/>
        <v>0</v>
      </c>
      <c r="AB85" s="18">
        <f t="shared" si="3"/>
        <v>0</v>
      </c>
      <c r="AC85" s="18">
        <f t="shared" si="3"/>
        <v>0</v>
      </c>
      <c r="AD85" s="18">
        <f t="shared" si="4"/>
        <v>1</v>
      </c>
      <c r="AE85" s="18" t="str">
        <f t="shared" si="5"/>
        <v/>
      </c>
    </row>
    <row r="86" spans="2:31" ht="20.25" customHeight="1" x14ac:dyDescent="0.25">
      <c r="B86" s="73"/>
      <c r="C86" s="409"/>
      <c r="D86" s="439"/>
      <c r="E86" s="438"/>
      <c r="F86" s="438"/>
      <c r="G86" s="438"/>
      <c r="H86" s="427"/>
      <c r="I86" s="440"/>
      <c r="J86" s="441"/>
      <c r="K86" s="442"/>
      <c r="L86" s="441"/>
      <c r="M86" s="443"/>
      <c r="N86" s="444"/>
      <c r="O86" s="445"/>
      <c r="P86" s="436"/>
      <c r="Q86" s="151"/>
      <c r="R86" s="61"/>
      <c r="S86" s="264"/>
      <c r="X86" s="18" t="str">
        <f t="shared" ref="X86:Y120" si="6">IF($R86&lt;&gt;$AE$2,"",X$20)</f>
        <v/>
      </c>
      <c r="Y86" s="18" t="str">
        <f t="shared" si="6"/>
        <v/>
      </c>
      <c r="Z86" s="18">
        <f t="shared" ref="Z86:Z120" si="7">IF(ISERROR(MATCH(S86,$X$20:$Y$20,0)),0,1)</f>
        <v>1</v>
      </c>
      <c r="AA86" s="18">
        <f t="shared" ref="AA86:AA120" si="8">IF(E86="",0,IFERROR(IF(E86*1&gt;=0,1,0),0))</f>
        <v>0</v>
      </c>
      <c r="AB86" s="18">
        <f t="shared" ref="AB86:AC120" si="9">IF(F86="",0,IF(ISERROR(F86*1)=FALSE,1,0))</f>
        <v>0</v>
      </c>
      <c r="AC86" s="18">
        <f t="shared" si="9"/>
        <v>0</v>
      </c>
      <c r="AD86" s="18">
        <f t="shared" ref="AD86:AD120" si="10">IFERROR(IF(H86*1&gt;=0,1,0),0)</f>
        <v>1</v>
      </c>
      <c r="AE86" s="18" t="str">
        <f t="shared" ref="AE86:AE120" si="11">IF(C86="","",IF(SUM(AA86:AD86)=COUNT(AA86:AD86),1,0))</f>
        <v/>
      </c>
    </row>
    <row r="87" spans="2:31" ht="20.25" customHeight="1" x14ac:dyDescent="0.25">
      <c r="B87" s="73"/>
      <c r="C87" s="409"/>
      <c r="D87" s="439"/>
      <c r="E87" s="438"/>
      <c r="F87" s="438"/>
      <c r="G87" s="438"/>
      <c r="H87" s="427"/>
      <c r="I87" s="440"/>
      <c r="J87" s="441"/>
      <c r="K87" s="442"/>
      <c r="L87" s="441"/>
      <c r="M87" s="443"/>
      <c r="N87" s="444"/>
      <c r="O87" s="445"/>
      <c r="P87" s="436"/>
      <c r="Q87" s="151"/>
      <c r="R87" s="61"/>
      <c r="S87" s="264"/>
      <c r="X87" s="18" t="str">
        <f t="shared" si="6"/>
        <v/>
      </c>
      <c r="Y87" s="18" t="str">
        <f t="shared" si="6"/>
        <v/>
      </c>
      <c r="Z87" s="18">
        <f t="shared" si="7"/>
        <v>1</v>
      </c>
      <c r="AA87" s="18">
        <f t="shared" si="8"/>
        <v>0</v>
      </c>
      <c r="AB87" s="18">
        <f t="shared" si="9"/>
        <v>0</v>
      </c>
      <c r="AC87" s="18">
        <f t="shared" si="9"/>
        <v>0</v>
      </c>
      <c r="AD87" s="18">
        <f t="shared" si="10"/>
        <v>1</v>
      </c>
      <c r="AE87" s="18" t="str">
        <f t="shared" si="11"/>
        <v/>
      </c>
    </row>
    <row r="88" spans="2:31" ht="20.25" customHeight="1" x14ac:dyDescent="0.25">
      <c r="B88" s="73"/>
      <c r="C88" s="409"/>
      <c r="D88" s="439"/>
      <c r="E88" s="438"/>
      <c r="F88" s="438"/>
      <c r="G88" s="438"/>
      <c r="H88" s="427"/>
      <c r="I88" s="440"/>
      <c r="J88" s="441"/>
      <c r="K88" s="442"/>
      <c r="L88" s="441"/>
      <c r="M88" s="443"/>
      <c r="N88" s="444"/>
      <c r="O88" s="445"/>
      <c r="P88" s="436"/>
      <c r="Q88" s="151"/>
      <c r="R88" s="61"/>
      <c r="S88" s="264"/>
      <c r="X88" s="18" t="str">
        <f t="shared" si="6"/>
        <v/>
      </c>
      <c r="Y88" s="18" t="str">
        <f t="shared" si="6"/>
        <v/>
      </c>
      <c r="Z88" s="18">
        <f t="shared" si="7"/>
        <v>1</v>
      </c>
      <c r="AA88" s="18">
        <f t="shared" si="8"/>
        <v>0</v>
      </c>
      <c r="AB88" s="18">
        <f t="shared" si="9"/>
        <v>0</v>
      </c>
      <c r="AC88" s="18">
        <f t="shared" si="9"/>
        <v>0</v>
      </c>
      <c r="AD88" s="18">
        <f t="shared" si="10"/>
        <v>1</v>
      </c>
      <c r="AE88" s="18" t="str">
        <f t="shared" si="11"/>
        <v/>
      </c>
    </row>
    <row r="89" spans="2:31" ht="20.25" customHeight="1" x14ac:dyDescent="0.25">
      <c r="B89" s="73"/>
      <c r="C89" s="409"/>
      <c r="D89" s="439"/>
      <c r="E89" s="438"/>
      <c r="F89" s="438"/>
      <c r="G89" s="438"/>
      <c r="H89" s="427"/>
      <c r="I89" s="440"/>
      <c r="J89" s="441"/>
      <c r="K89" s="442"/>
      <c r="L89" s="441"/>
      <c r="M89" s="443"/>
      <c r="N89" s="444"/>
      <c r="O89" s="445"/>
      <c r="P89" s="436"/>
      <c r="Q89" s="151"/>
      <c r="R89" s="61"/>
      <c r="S89" s="264"/>
      <c r="X89" s="18" t="str">
        <f t="shared" si="6"/>
        <v/>
      </c>
      <c r="Y89" s="18" t="str">
        <f t="shared" si="6"/>
        <v/>
      </c>
      <c r="Z89" s="18">
        <f t="shared" si="7"/>
        <v>1</v>
      </c>
      <c r="AA89" s="18">
        <f t="shared" si="8"/>
        <v>0</v>
      </c>
      <c r="AB89" s="18">
        <f t="shared" si="9"/>
        <v>0</v>
      </c>
      <c r="AC89" s="18">
        <f t="shared" si="9"/>
        <v>0</v>
      </c>
      <c r="AD89" s="18">
        <f t="shared" si="10"/>
        <v>1</v>
      </c>
      <c r="AE89" s="18" t="str">
        <f t="shared" si="11"/>
        <v/>
      </c>
    </row>
    <row r="90" spans="2:31" ht="20.25" customHeight="1" x14ac:dyDescent="0.25">
      <c r="B90" s="73"/>
      <c r="C90" s="409"/>
      <c r="D90" s="439"/>
      <c r="E90" s="438"/>
      <c r="F90" s="438"/>
      <c r="G90" s="438"/>
      <c r="H90" s="427"/>
      <c r="I90" s="440"/>
      <c r="J90" s="441"/>
      <c r="K90" s="442"/>
      <c r="L90" s="441"/>
      <c r="M90" s="443"/>
      <c r="N90" s="444"/>
      <c r="O90" s="445"/>
      <c r="P90" s="436"/>
      <c r="Q90" s="151"/>
      <c r="R90" s="61"/>
      <c r="S90" s="264"/>
      <c r="X90" s="18" t="str">
        <f t="shared" si="6"/>
        <v/>
      </c>
      <c r="Y90" s="18" t="str">
        <f t="shared" si="6"/>
        <v/>
      </c>
      <c r="Z90" s="18">
        <f t="shared" si="7"/>
        <v>1</v>
      </c>
      <c r="AA90" s="18">
        <f t="shared" si="8"/>
        <v>0</v>
      </c>
      <c r="AB90" s="18">
        <f t="shared" si="9"/>
        <v>0</v>
      </c>
      <c r="AC90" s="18">
        <f t="shared" si="9"/>
        <v>0</v>
      </c>
      <c r="AD90" s="18">
        <f t="shared" si="10"/>
        <v>1</v>
      </c>
      <c r="AE90" s="18" t="str">
        <f t="shared" si="11"/>
        <v/>
      </c>
    </row>
    <row r="91" spans="2:31" ht="15.75" x14ac:dyDescent="0.25">
      <c r="B91" s="73"/>
      <c r="C91" s="409"/>
      <c r="D91" s="439"/>
      <c r="E91" s="438"/>
      <c r="F91" s="438"/>
      <c r="G91" s="438"/>
      <c r="H91" s="427"/>
      <c r="I91" s="440"/>
      <c r="J91" s="441"/>
      <c r="K91" s="442"/>
      <c r="L91" s="441"/>
      <c r="M91" s="443"/>
      <c r="N91" s="444"/>
      <c r="O91" s="445"/>
      <c r="P91" s="436"/>
      <c r="Q91" s="151"/>
      <c r="R91" s="61"/>
      <c r="S91" s="264"/>
      <c r="X91" s="18" t="str">
        <f t="shared" si="6"/>
        <v/>
      </c>
      <c r="Y91" s="18" t="str">
        <f t="shared" si="6"/>
        <v/>
      </c>
      <c r="Z91" s="18">
        <f t="shared" si="7"/>
        <v>1</v>
      </c>
      <c r="AA91" s="18">
        <f t="shared" si="8"/>
        <v>0</v>
      </c>
      <c r="AB91" s="18">
        <f t="shared" si="9"/>
        <v>0</v>
      </c>
      <c r="AC91" s="18">
        <f t="shared" si="9"/>
        <v>0</v>
      </c>
      <c r="AD91" s="18">
        <f t="shared" si="10"/>
        <v>1</v>
      </c>
      <c r="AE91" s="18" t="str">
        <f t="shared" si="11"/>
        <v/>
      </c>
    </row>
    <row r="92" spans="2:31" ht="15.75" x14ac:dyDescent="0.25">
      <c r="B92" s="73"/>
      <c r="C92" s="409"/>
      <c r="D92" s="439"/>
      <c r="E92" s="438"/>
      <c r="F92" s="438"/>
      <c r="G92" s="438"/>
      <c r="H92" s="427"/>
      <c r="I92" s="440"/>
      <c r="J92" s="441"/>
      <c r="K92" s="442"/>
      <c r="L92" s="441"/>
      <c r="M92" s="443"/>
      <c r="N92" s="444"/>
      <c r="O92" s="445"/>
      <c r="P92" s="436"/>
      <c r="Q92" s="151"/>
      <c r="R92" s="61"/>
      <c r="S92" s="264"/>
      <c r="X92" s="18" t="str">
        <f t="shared" si="6"/>
        <v/>
      </c>
      <c r="Y92" s="18" t="str">
        <f t="shared" si="6"/>
        <v/>
      </c>
      <c r="Z92" s="18">
        <f t="shared" si="7"/>
        <v>1</v>
      </c>
      <c r="AA92" s="18">
        <f t="shared" si="8"/>
        <v>0</v>
      </c>
      <c r="AB92" s="18">
        <f t="shared" si="9"/>
        <v>0</v>
      </c>
      <c r="AC92" s="18">
        <f t="shared" si="9"/>
        <v>0</v>
      </c>
      <c r="AD92" s="18">
        <f t="shared" si="10"/>
        <v>1</v>
      </c>
      <c r="AE92" s="18" t="str">
        <f t="shared" si="11"/>
        <v/>
      </c>
    </row>
    <row r="93" spans="2:31" ht="15.75" x14ac:dyDescent="0.25">
      <c r="B93" s="73"/>
      <c r="C93" s="409"/>
      <c r="D93" s="439"/>
      <c r="E93" s="438"/>
      <c r="F93" s="438"/>
      <c r="G93" s="438"/>
      <c r="H93" s="427"/>
      <c r="I93" s="440"/>
      <c r="J93" s="441"/>
      <c r="K93" s="442"/>
      <c r="L93" s="441"/>
      <c r="M93" s="443"/>
      <c r="N93" s="444"/>
      <c r="O93" s="445"/>
      <c r="P93" s="436"/>
      <c r="Q93" s="151"/>
      <c r="R93" s="61"/>
      <c r="S93" s="264"/>
      <c r="X93" s="18" t="str">
        <f t="shared" si="6"/>
        <v/>
      </c>
      <c r="Y93" s="18" t="str">
        <f t="shared" si="6"/>
        <v/>
      </c>
      <c r="Z93" s="18">
        <f t="shared" si="7"/>
        <v>1</v>
      </c>
      <c r="AA93" s="18">
        <f t="shared" si="8"/>
        <v>0</v>
      </c>
      <c r="AB93" s="18">
        <f t="shared" si="9"/>
        <v>0</v>
      </c>
      <c r="AC93" s="18">
        <f t="shared" si="9"/>
        <v>0</v>
      </c>
      <c r="AD93" s="18">
        <f t="shared" si="10"/>
        <v>1</v>
      </c>
      <c r="AE93" s="18" t="str">
        <f t="shared" si="11"/>
        <v/>
      </c>
    </row>
    <row r="94" spans="2:31" ht="15.75" x14ac:dyDescent="0.25">
      <c r="B94" s="73"/>
      <c r="C94" s="409"/>
      <c r="D94" s="439"/>
      <c r="E94" s="438"/>
      <c r="F94" s="438"/>
      <c r="G94" s="438"/>
      <c r="H94" s="427"/>
      <c r="I94" s="440"/>
      <c r="J94" s="441"/>
      <c r="K94" s="442"/>
      <c r="L94" s="441"/>
      <c r="M94" s="443"/>
      <c r="N94" s="444"/>
      <c r="O94" s="445"/>
      <c r="P94" s="436"/>
      <c r="Q94" s="151"/>
      <c r="R94" s="61"/>
      <c r="S94" s="264"/>
      <c r="X94" s="18" t="str">
        <f t="shared" si="6"/>
        <v/>
      </c>
      <c r="Y94" s="18" t="str">
        <f t="shared" si="6"/>
        <v/>
      </c>
      <c r="Z94" s="18">
        <f t="shared" si="7"/>
        <v>1</v>
      </c>
      <c r="AA94" s="18">
        <f t="shared" si="8"/>
        <v>0</v>
      </c>
      <c r="AB94" s="18">
        <f t="shared" si="9"/>
        <v>0</v>
      </c>
      <c r="AC94" s="18">
        <f t="shared" si="9"/>
        <v>0</v>
      </c>
      <c r="AD94" s="18">
        <f t="shared" si="10"/>
        <v>1</v>
      </c>
      <c r="AE94" s="18" t="str">
        <f t="shared" si="11"/>
        <v/>
      </c>
    </row>
    <row r="95" spans="2:31" ht="15.75" x14ac:dyDescent="0.25">
      <c r="B95" s="73"/>
      <c r="C95" s="409"/>
      <c r="D95" s="439"/>
      <c r="E95" s="438"/>
      <c r="F95" s="438"/>
      <c r="G95" s="438"/>
      <c r="H95" s="427"/>
      <c r="I95" s="440"/>
      <c r="J95" s="441"/>
      <c r="K95" s="442"/>
      <c r="L95" s="441"/>
      <c r="M95" s="443"/>
      <c r="N95" s="444"/>
      <c r="O95" s="445"/>
      <c r="P95" s="436"/>
      <c r="Q95" s="151"/>
      <c r="R95" s="61"/>
      <c r="S95" s="264"/>
      <c r="X95" s="18" t="str">
        <f t="shared" si="6"/>
        <v/>
      </c>
      <c r="Y95" s="18" t="str">
        <f t="shared" si="6"/>
        <v/>
      </c>
      <c r="Z95" s="18">
        <f t="shared" si="7"/>
        <v>1</v>
      </c>
      <c r="AA95" s="18">
        <f t="shared" si="8"/>
        <v>0</v>
      </c>
      <c r="AB95" s="18">
        <f t="shared" si="9"/>
        <v>0</v>
      </c>
      <c r="AC95" s="18">
        <f t="shared" si="9"/>
        <v>0</v>
      </c>
      <c r="AD95" s="18">
        <f t="shared" si="10"/>
        <v>1</v>
      </c>
      <c r="AE95" s="18" t="str">
        <f t="shared" si="11"/>
        <v/>
      </c>
    </row>
    <row r="96" spans="2:31" ht="15.75" x14ac:dyDescent="0.25">
      <c r="B96" s="73"/>
      <c r="C96" s="409"/>
      <c r="D96" s="439"/>
      <c r="E96" s="438"/>
      <c r="F96" s="438"/>
      <c r="G96" s="438"/>
      <c r="H96" s="340"/>
      <c r="I96" s="440"/>
      <c r="J96" s="441"/>
      <c r="K96" s="442"/>
      <c r="L96" s="441"/>
      <c r="M96" s="443"/>
      <c r="N96" s="444"/>
      <c r="O96" s="445"/>
      <c r="P96" s="436"/>
      <c r="Q96" s="151"/>
      <c r="R96" s="61"/>
      <c r="S96" s="264"/>
      <c r="X96" s="18" t="str">
        <f t="shared" si="6"/>
        <v/>
      </c>
      <c r="Y96" s="18" t="str">
        <f t="shared" si="6"/>
        <v/>
      </c>
      <c r="Z96" s="18">
        <f t="shared" si="7"/>
        <v>1</v>
      </c>
      <c r="AA96" s="18">
        <f t="shared" si="8"/>
        <v>0</v>
      </c>
      <c r="AB96" s="18">
        <f t="shared" si="9"/>
        <v>0</v>
      </c>
      <c r="AC96" s="18">
        <f t="shared" si="9"/>
        <v>0</v>
      </c>
      <c r="AD96" s="18">
        <f t="shared" si="10"/>
        <v>1</v>
      </c>
      <c r="AE96" s="18" t="str">
        <f t="shared" si="11"/>
        <v/>
      </c>
    </row>
    <row r="97" spans="2:31" ht="15.75" x14ac:dyDescent="0.25">
      <c r="B97" s="73"/>
      <c r="C97" s="409"/>
      <c r="D97" s="439"/>
      <c r="E97" s="438"/>
      <c r="F97" s="438"/>
      <c r="G97" s="438"/>
      <c r="H97" s="427"/>
      <c r="I97" s="440"/>
      <c r="J97" s="441"/>
      <c r="K97" s="442"/>
      <c r="L97" s="441"/>
      <c r="M97" s="443"/>
      <c r="N97" s="444"/>
      <c r="O97" s="445"/>
      <c r="P97" s="436"/>
      <c r="Q97" s="151"/>
      <c r="R97" s="61"/>
      <c r="S97" s="264"/>
      <c r="X97" s="18" t="str">
        <f t="shared" si="6"/>
        <v/>
      </c>
      <c r="Y97" s="18" t="str">
        <f t="shared" si="6"/>
        <v/>
      </c>
      <c r="Z97" s="18">
        <f t="shared" si="7"/>
        <v>1</v>
      </c>
      <c r="AA97" s="18">
        <f t="shared" si="8"/>
        <v>0</v>
      </c>
      <c r="AB97" s="18">
        <f t="shared" si="9"/>
        <v>0</v>
      </c>
      <c r="AC97" s="18">
        <f t="shared" si="9"/>
        <v>0</v>
      </c>
      <c r="AD97" s="18">
        <f t="shared" si="10"/>
        <v>1</v>
      </c>
      <c r="AE97" s="18" t="str">
        <f t="shared" si="11"/>
        <v/>
      </c>
    </row>
    <row r="98" spans="2:31" ht="15.75" x14ac:dyDescent="0.25">
      <c r="B98" s="73"/>
      <c r="C98" s="409"/>
      <c r="D98" s="439"/>
      <c r="E98" s="427"/>
      <c r="F98" s="447"/>
      <c r="G98" s="447"/>
      <c r="H98" s="427"/>
      <c r="I98" s="440"/>
      <c r="J98" s="441"/>
      <c r="K98" s="442"/>
      <c r="L98" s="441"/>
      <c r="M98" s="443"/>
      <c r="N98" s="444"/>
      <c r="O98" s="445"/>
      <c r="P98" s="436"/>
      <c r="Q98" s="151"/>
      <c r="R98" s="61"/>
      <c r="S98" s="264"/>
      <c r="X98" s="18" t="str">
        <f t="shared" si="6"/>
        <v/>
      </c>
      <c r="Y98" s="18" t="str">
        <f t="shared" si="6"/>
        <v/>
      </c>
      <c r="Z98" s="18">
        <f t="shared" si="7"/>
        <v>1</v>
      </c>
      <c r="AA98" s="18">
        <f t="shared" si="8"/>
        <v>0</v>
      </c>
      <c r="AB98" s="18">
        <f t="shared" si="9"/>
        <v>0</v>
      </c>
      <c r="AC98" s="18">
        <f t="shared" si="9"/>
        <v>0</v>
      </c>
      <c r="AD98" s="18">
        <f t="shared" si="10"/>
        <v>1</v>
      </c>
      <c r="AE98" s="18" t="str">
        <f t="shared" si="11"/>
        <v/>
      </c>
    </row>
    <row r="99" spans="2:31" ht="15.75" x14ac:dyDescent="0.25">
      <c r="B99" s="73"/>
      <c r="C99" s="409"/>
      <c r="D99" s="439"/>
      <c r="E99" s="438"/>
      <c r="F99" s="438"/>
      <c r="G99" s="438"/>
      <c r="H99" s="427"/>
      <c r="I99" s="440"/>
      <c r="J99" s="441"/>
      <c r="K99" s="442"/>
      <c r="L99" s="441"/>
      <c r="M99" s="443"/>
      <c r="N99" s="444"/>
      <c r="O99" s="445"/>
      <c r="P99" s="436"/>
      <c r="Q99" s="151"/>
      <c r="R99" s="61"/>
      <c r="S99" s="264"/>
      <c r="X99" s="18" t="str">
        <f t="shared" si="6"/>
        <v/>
      </c>
      <c r="Y99" s="18" t="str">
        <f t="shared" si="6"/>
        <v/>
      </c>
      <c r="Z99" s="18">
        <f t="shared" si="7"/>
        <v>1</v>
      </c>
      <c r="AA99" s="18">
        <f t="shared" si="8"/>
        <v>0</v>
      </c>
      <c r="AB99" s="18">
        <f t="shared" si="9"/>
        <v>0</v>
      </c>
      <c r="AC99" s="18">
        <f t="shared" si="9"/>
        <v>0</v>
      </c>
      <c r="AD99" s="18">
        <f t="shared" si="10"/>
        <v>1</v>
      </c>
      <c r="AE99" s="18" t="str">
        <f t="shared" si="11"/>
        <v/>
      </c>
    </row>
    <row r="100" spans="2:31" ht="15.75" x14ac:dyDescent="0.25">
      <c r="B100" s="73"/>
      <c r="C100" s="409"/>
      <c r="D100" s="439"/>
      <c r="E100" s="427"/>
      <c r="F100" s="447"/>
      <c r="G100" s="447"/>
      <c r="H100" s="427"/>
      <c r="I100" s="440"/>
      <c r="J100" s="441"/>
      <c r="K100" s="442"/>
      <c r="L100" s="441"/>
      <c r="M100" s="443"/>
      <c r="N100" s="444"/>
      <c r="O100" s="445"/>
      <c r="P100" s="436"/>
      <c r="Q100" s="151"/>
      <c r="R100" s="61"/>
      <c r="S100" s="264"/>
      <c r="X100" s="18" t="str">
        <f t="shared" si="6"/>
        <v/>
      </c>
      <c r="Y100" s="18" t="str">
        <f t="shared" si="6"/>
        <v/>
      </c>
      <c r="Z100" s="18">
        <f t="shared" si="7"/>
        <v>1</v>
      </c>
      <c r="AA100" s="18">
        <f t="shared" si="8"/>
        <v>0</v>
      </c>
      <c r="AB100" s="18">
        <f t="shared" si="9"/>
        <v>0</v>
      </c>
      <c r="AC100" s="18">
        <f t="shared" si="9"/>
        <v>0</v>
      </c>
      <c r="AD100" s="18">
        <f t="shared" si="10"/>
        <v>1</v>
      </c>
      <c r="AE100" s="18" t="str">
        <f t="shared" si="11"/>
        <v/>
      </c>
    </row>
    <row r="101" spans="2:31" ht="15.75" x14ac:dyDescent="0.25">
      <c r="B101" s="73"/>
      <c r="C101" s="409"/>
      <c r="D101" s="439"/>
      <c r="E101" s="438"/>
      <c r="F101" s="438"/>
      <c r="G101" s="438"/>
      <c r="H101" s="427"/>
      <c r="I101" s="440"/>
      <c r="J101" s="441"/>
      <c r="K101" s="442"/>
      <c r="L101" s="441"/>
      <c r="M101" s="443"/>
      <c r="N101" s="444"/>
      <c r="O101" s="445"/>
      <c r="P101" s="436"/>
      <c r="Q101" s="151"/>
      <c r="R101" s="61"/>
      <c r="S101" s="264"/>
      <c r="X101" s="18" t="str">
        <f t="shared" si="6"/>
        <v/>
      </c>
      <c r="Y101" s="18" t="str">
        <f t="shared" si="6"/>
        <v/>
      </c>
      <c r="Z101" s="18">
        <f t="shared" si="7"/>
        <v>1</v>
      </c>
      <c r="AA101" s="18">
        <f t="shared" si="8"/>
        <v>0</v>
      </c>
      <c r="AB101" s="18">
        <f t="shared" si="9"/>
        <v>0</v>
      </c>
      <c r="AC101" s="18">
        <f t="shared" si="9"/>
        <v>0</v>
      </c>
      <c r="AD101" s="18">
        <f t="shared" si="10"/>
        <v>1</v>
      </c>
      <c r="AE101" s="18" t="str">
        <f t="shared" si="11"/>
        <v/>
      </c>
    </row>
    <row r="102" spans="2:31" ht="15.75" x14ac:dyDescent="0.25">
      <c r="B102" s="73"/>
      <c r="C102" s="409"/>
      <c r="D102" s="439"/>
      <c r="E102" s="438"/>
      <c r="F102" s="438"/>
      <c r="G102" s="438"/>
      <c r="H102" s="427"/>
      <c r="I102" s="440"/>
      <c r="J102" s="441"/>
      <c r="K102" s="442"/>
      <c r="L102" s="441"/>
      <c r="M102" s="443"/>
      <c r="N102" s="444"/>
      <c r="O102" s="445"/>
      <c r="P102" s="436"/>
      <c r="Q102" s="151"/>
      <c r="R102" s="61"/>
      <c r="S102" s="264"/>
      <c r="X102" s="18" t="str">
        <f t="shared" si="6"/>
        <v/>
      </c>
      <c r="Y102" s="18" t="str">
        <f t="shared" si="6"/>
        <v/>
      </c>
      <c r="Z102" s="18">
        <f t="shared" si="7"/>
        <v>1</v>
      </c>
      <c r="AA102" s="18">
        <f t="shared" si="8"/>
        <v>0</v>
      </c>
      <c r="AB102" s="18">
        <f t="shared" si="9"/>
        <v>0</v>
      </c>
      <c r="AC102" s="18">
        <f t="shared" si="9"/>
        <v>0</v>
      </c>
      <c r="AD102" s="18">
        <f t="shared" si="10"/>
        <v>1</v>
      </c>
      <c r="AE102" s="18" t="str">
        <f t="shared" si="11"/>
        <v/>
      </c>
    </row>
    <row r="103" spans="2:31" ht="15.75" x14ac:dyDescent="0.25">
      <c r="B103" s="73"/>
      <c r="C103" s="409"/>
      <c r="D103" s="439"/>
      <c r="E103" s="438"/>
      <c r="F103" s="438"/>
      <c r="G103" s="438"/>
      <c r="H103" s="427"/>
      <c r="I103" s="440"/>
      <c r="J103" s="441"/>
      <c r="K103" s="442"/>
      <c r="L103" s="441"/>
      <c r="M103" s="443"/>
      <c r="N103" s="444"/>
      <c r="O103" s="445"/>
      <c r="P103" s="436"/>
      <c r="Q103" s="151"/>
      <c r="R103" s="61"/>
      <c r="S103" s="264"/>
      <c r="X103" s="18" t="str">
        <f t="shared" si="6"/>
        <v/>
      </c>
      <c r="Y103" s="18" t="str">
        <f t="shared" si="6"/>
        <v/>
      </c>
      <c r="Z103" s="18">
        <f t="shared" si="7"/>
        <v>1</v>
      </c>
      <c r="AA103" s="18">
        <f t="shared" si="8"/>
        <v>0</v>
      </c>
      <c r="AB103" s="18">
        <f t="shared" si="9"/>
        <v>0</v>
      </c>
      <c r="AC103" s="18">
        <f t="shared" si="9"/>
        <v>0</v>
      </c>
      <c r="AD103" s="18">
        <f t="shared" si="10"/>
        <v>1</v>
      </c>
      <c r="AE103" s="18" t="str">
        <f t="shared" si="11"/>
        <v/>
      </c>
    </row>
    <row r="104" spans="2:31" ht="15.75" x14ac:dyDescent="0.25">
      <c r="B104" s="73"/>
      <c r="C104" s="409"/>
      <c r="D104" s="439"/>
      <c r="E104" s="427"/>
      <c r="F104" s="447"/>
      <c r="G104" s="447"/>
      <c r="H104" s="427"/>
      <c r="I104" s="440"/>
      <c r="J104" s="441"/>
      <c r="K104" s="442"/>
      <c r="L104" s="441"/>
      <c r="M104" s="443"/>
      <c r="N104" s="444"/>
      <c r="O104" s="445"/>
      <c r="P104" s="436"/>
      <c r="Q104" s="151"/>
      <c r="R104" s="61"/>
      <c r="S104" s="264"/>
      <c r="X104" s="18" t="str">
        <f t="shared" si="6"/>
        <v/>
      </c>
      <c r="Y104" s="18" t="str">
        <f t="shared" si="6"/>
        <v/>
      </c>
      <c r="Z104" s="18">
        <f t="shared" si="7"/>
        <v>1</v>
      </c>
      <c r="AA104" s="18">
        <f t="shared" si="8"/>
        <v>0</v>
      </c>
      <c r="AB104" s="18">
        <f t="shared" si="9"/>
        <v>0</v>
      </c>
      <c r="AC104" s="18">
        <f t="shared" si="9"/>
        <v>0</v>
      </c>
      <c r="AD104" s="18">
        <f t="shared" si="10"/>
        <v>1</v>
      </c>
      <c r="AE104" s="18" t="str">
        <f t="shared" si="11"/>
        <v/>
      </c>
    </row>
    <row r="105" spans="2:31" ht="15.75" x14ac:dyDescent="0.25">
      <c r="B105" s="73"/>
      <c r="C105" s="409"/>
      <c r="D105" s="439"/>
      <c r="E105" s="438"/>
      <c r="F105" s="438"/>
      <c r="G105" s="438"/>
      <c r="H105" s="427"/>
      <c r="I105" s="440"/>
      <c r="J105" s="441"/>
      <c r="K105" s="442"/>
      <c r="L105" s="441"/>
      <c r="M105" s="443"/>
      <c r="N105" s="444"/>
      <c r="O105" s="445"/>
      <c r="P105" s="436"/>
      <c r="Q105" s="151"/>
      <c r="R105" s="61"/>
      <c r="S105" s="264"/>
      <c r="X105" s="18" t="str">
        <f t="shared" si="6"/>
        <v/>
      </c>
      <c r="Y105" s="18" t="str">
        <f t="shared" si="6"/>
        <v/>
      </c>
      <c r="Z105" s="18">
        <f t="shared" si="7"/>
        <v>1</v>
      </c>
      <c r="AA105" s="18">
        <f t="shared" si="8"/>
        <v>0</v>
      </c>
      <c r="AB105" s="18">
        <f t="shared" si="9"/>
        <v>0</v>
      </c>
      <c r="AC105" s="18">
        <f t="shared" si="9"/>
        <v>0</v>
      </c>
      <c r="AD105" s="18">
        <f t="shared" si="10"/>
        <v>1</v>
      </c>
      <c r="AE105" s="18" t="str">
        <f t="shared" si="11"/>
        <v/>
      </c>
    </row>
    <row r="106" spans="2:31" ht="15.75" x14ac:dyDescent="0.25">
      <c r="B106" s="73"/>
      <c r="C106" s="409"/>
      <c r="D106" s="439"/>
      <c r="E106" s="438"/>
      <c r="F106" s="438"/>
      <c r="G106" s="438"/>
      <c r="H106" s="427"/>
      <c r="I106" s="440"/>
      <c r="J106" s="441"/>
      <c r="K106" s="442"/>
      <c r="L106" s="441"/>
      <c r="M106" s="443"/>
      <c r="N106" s="444"/>
      <c r="O106" s="445"/>
      <c r="P106" s="436"/>
      <c r="Q106" s="151"/>
      <c r="R106" s="61"/>
      <c r="S106" s="264"/>
      <c r="X106" s="18" t="str">
        <f t="shared" si="6"/>
        <v/>
      </c>
      <c r="Y106" s="18" t="str">
        <f t="shared" si="6"/>
        <v/>
      </c>
      <c r="Z106" s="18">
        <f t="shared" si="7"/>
        <v>1</v>
      </c>
      <c r="AA106" s="18">
        <f t="shared" si="8"/>
        <v>0</v>
      </c>
      <c r="AB106" s="18">
        <f t="shared" si="9"/>
        <v>0</v>
      </c>
      <c r="AC106" s="18">
        <f t="shared" si="9"/>
        <v>0</v>
      </c>
      <c r="AD106" s="18">
        <f t="shared" si="10"/>
        <v>1</v>
      </c>
      <c r="AE106" s="18" t="str">
        <f t="shared" si="11"/>
        <v/>
      </c>
    </row>
    <row r="107" spans="2:31" ht="15.75" x14ac:dyDescent="0.25">
      <c r="B107" s="73"/>
      <c r="C107" s="409"/>
      <c r="D107" s="439"/>
      <c r="E107" s="438"/>
      <c r="F107" s="438"/>
      <c r="G107" s="438"/>
      <c r="H107" s="427"/>
      <c r="I107" s="440"/>
      <c r="J107" s="441"/>
      <c r="K107" s="442"/>
      <c r="L107" s="441"/>
      <c r="M107" s="443"/>
      <c r="N107" s="444"/>
      <c r="O107" s="445"/>
      <c r="P107" s="436"/>
      <c r="Q107" s="151"/>
      <c r="R107" s="61"/>
      <c r="S107" s="264"/>
      <c r="X107" s="18" t="str">
        <f t="shared" si="6"/>
        <v/>
      </c>
      <c r="Y107" s="18" t="str">
        <f t="shared" si="6"/>
        <v/>
      </c>
      <c r="Z107" s="18">
        <f t="shared" si="7"/>
        <v>1</v>
      </c>
      <c r="AA107" s="18">
        <f t="shared" si="8"/>
        <v>0</v>
      </c>
      <c r="AB107" s="18">
        <f t="shared" si="9"/>
        <v>0</v>
      </c>
      <c r="AC107" s="18">
        <f t="shared" si="9"/>
        <v>0</v>
      </c>
      <c r="AD107" s="18">
        <f t="shared" si="10"/>
        <v>1</v>
      </c>
      <c r="AE107" s="18" t="str">
        <f t="shared" si="11"/>
        <v/>
      </c>
    </row>
    <row r="108" spans="2:31" ht="15.75" x14ac:dyDescent="0.25">
      <c r="B108" s="73"/>
      <c r="C108" s="409"/>
      <c r="D108" s="439"/>
      <c r="E108" s="438"/>
      <c r="F108" s="438"/>
      <c r="G108" s="438"/>
      <c r="H108" s="427"/>
      <c r="I108" s="440"/>
      <c r="J108" s="441"/>
      <c r="K108" s="442"/>
      <c r="L108" s="441"/>
      <c r="M108" s="443"/>
      <c r="N108" s="444"/>
      <c r="O108" s="445"/>
      <c r="P108" s="436"/>
      <c r="Q108" s="151"/>
      <c r="R108" s="61"/>
      <c r="S108" s="264"/>
      <c r="X108" s="18" t="str">
        <f t="shared" si="6"/>
        <v/>
      </c>
      <c r="Y108" s="18" t="str">
        <f t="shared" si="6"/>
        <v/>
      </c>
      <c r="Z108" s="18">
        <f t="shared" si="7"/>
        <v>1</v>
      </c>
      <c r="AA108" s="18">
        <f t="shared" si="8"/>
        <v>0</v>
      </c>
      <c r="AB108" s="18">
        <f t="shared" si="9"/>
        <v>0</v>
      </c>
      <c r="AC108" s="18">
        <f t="shared" si="9"/>
        <v>0</v>
      </c>
      <c r="AD108" s="18">
        <f t="shared" si="10"/>
        <v>1</v>
      </c>
      <c r="AE108" s="18" t="str">
        <f t="shared" si="11"/>
        <v/>
      </c>
    </row>
    <row r="109" spans="2:31" ht="15.75" x14ac:dyDescent="0.25">
      <c r="B109" s="73"/>
      <c r="C109" s="409"/>
      <c r="D109" s="439"/>
      <c r="E109" s="427"/>
      <c r="F109" s="447"/>
      <c r="G109" s="447"/>
      <c r="H109" s="427"/>
      <c r="I109" s="440"/>
      <c r="J109" s="441"/>
      <c r="K109" s="442"/>
      <c r="L109" s="441"/>
      <c r="M109" s="443"/>
      <c r="N109" s="444"/>
      <c r="O109" s="445"/>
      <c r="P109" s="436"/>
      <c r="Q109" s="151"/>
      <c r="R109" s="61"/>
      <c r="S109" s="264"/>
      <c r="X109" s="18" t="str">
        <f t="shared" si="6"/>
        <v/>
      </c>
      <c r="Y109" s="18" t="str">
        <f t="shared" si="6"/>
        <v/>
      </c>
      <c r="Z109" s="18">
        <f t="shared" si="7"/>
        <v>1</v>
      </c>
      <c r="AA109" s="18">
        <f t="shared" si="8"/>
        <v>0</v>
      </c>
      <c r="AB109" s="18">
        <f t="shared" si="9"/>
        <v>0</v>
      </c>
      <c r="AC109" s="18">
        <f t="shared" si="9"/>
        <v>0</v>
      </c>
      <c r="AD109" s="18">
        <f t="shared" si="10"/>
        <v>1</v>
      </c>
      <c r="AE109" s="18" t="str">
        <f t="shared" si="11"/>
        <v/>
      </c>
    </row>
    <row r="110" spans="2:31" ht="15.75" x14ac:dyDescent="0.25">
      <c r="B110" s="73"/>
      <c r="C110" s="409"/>
      <c r="D110" s="439"/>
      <c r="E110" s="427"/>
      <c r="F110" s="447"/>
      <c r="G110" s="447"/>
      <c r="H110" s="427"/>
      <c r="I110" s="440"/>
      <c r="J110" s="441"/>
      <c r="K110" s="442"/>
      <c r="L110" s="441"/>
      <c r="M110" s="443"/>
      <c r="N110" s="444"/>
      <c r="O110" s="445"/>
      <c r="P110" s="436"/>
      <c r="Q110" s="151"/>
      <c r="R110" s="61"/>
      <c r="S110" s="264"/>
      <c r="X110" s="18" t="str">
        <f t="shared" si="6"/>
        <v/>
      </c>
      <c r="Y110" s="18" t="str">
        <f t="shared" si="6"/>
        <v/>
      </c>
      <c r="Z110" s="18">
        <f t="shared" si="7"/>
        <v>1</v>
      </c>
      <c r="AA110" s="18">
        <f t="shared" si="8"/>
        <v>0</v>
      </c>
      <c r="AB110" s="18">
        <f t="shared" si="9"/>
        <v>0</v>
      </c>
      <c r="AC110" s="18">
        <f t="shared" si="9"/>
        <v>0</v>
      </c>
      <c r="AD110" s="18">
        <f t="shared" si="10"/>
        <v>1</v>
      </c>
      <c r="AE110" s="18" t="str">
        <f t="shared" si="11"/>
        <v/>
      </c>
    </row>
    <row r="111" spans="2:31" ht="15.75" x14ac:dyDescent="0.25">
      <c r="B111" s="73"/>
      <c r="C111" s="409"/>
      <c r="D111" s="439"/>
      <c r="E111" s="427"/>
      <c r="F111" s="447"/>
      <c r="G111" s="447"/>
      <c r="H111" s="427"/>
      <c r="I111" s="440"/>
      <c r="J111" s="441"/>
      <c r="K111" s="442"/>
      <c r="L111" s="441"/>
      <c r="M111" s="443"/>
      <c r="N111" s="444"/>
      <c r="O111" s="445"/>
      <c r="P111" s="436"/>
      <c r="Q111" s="151"/>
      <c r="R111" s="61"/>
      <c r="S111" s="264"/>
      <c r="X111" s="18" t="str">
        <f t="shared" si="6"/>
        <v/>
      </c>
      <c r="Y111" s="18" t="str">
        <f t="shared" si="6"/>
        <v/>
      </c>
      <c r="Z111" s="18">
        <f t="shared" si="7"/>
        <v>1</v>
      </c>
      <c r="AA111" s="18">
        <f t="shared" si="8"/>
        <v>0</v>
      </c>
      <c r="AB111" s="18">
        <f t="shared" si="9"/>
        <v>0</v>
      </c>
      <c r="AC111" s="18">
        <f t="shared" si="9"/>
        <v>0</v>
      </c>
      <c r="AD111" s="18">
        <f t="shared" si="10"/>
        <v>1</v>
      </c>
      <c r="AE111" s="18" t="str">
        <f t="shared" si="11"/>
        <v/>
      </c>
    </row>
    <row r="112" spans="2:31" ht="15.75" x14ac:dyDescent="0.25">
      <c r="B112" s="73"/>
      <c r="C112" s="409"/>
      <c r="D112" s="439"/>
      <c r="E112" s="427"/>
      <c r="F112" s="447"/>
      <c r="G112" s="447"/>
      <c r="H112" s="427"/>
      <c r="I112" s="440"/>
      <c r="J112" s="441"/>
      <c r="K112" s="442"/>
      <c r="L112" s="441"/>
      <c r="M112" s="443"/>
      <c r="N112" s="444"/>
      <c r="O112" s="445"/>
      <c r="P112" s="436"/>
      <c r="Q112" s="151"/>
      <c r="R112" s="61"/>
      <c r="S112" s="264"/>
      <c r="X112" s="18" t="str">
        <f t="shared" si="6"/>
        <v/>
      </c>
      <c r="Y112" s="18" t="str">
        <f t="shared" si="6"/>
        <v/>
      </c>
      <c r="Z112" s="18">
        <f t="shared" si="7"/>
        <v>1</v>
      </c>
      <c r="AA112" s="18">
        <f t="shared" si="8"/>
        <v>0</v>
      </c>
      <c r="AB112" s="18">
        <f t="shared" si="9"/>
        <v>0</v>
      </c>
      <c r="AC112" s="18">
        <f t="shared" si="9"/>
        <v>0</v>
      </c>
      <c r="AD112" s="18">
        <f t="shared" si="10"/>
        <v>1</v>
      </c>
      <c r="AE112" s="18" t="str">
        <f t="shared" si="11"/>
        <v/>
      </c>
    </row>
    <row r="113" spans="2:31" ht="15.75" x14ac:dyDescent="0.25">
      <c r="B113" s="73"/>
      <c r="C113" s="409"/>
      <c r="D113" s="439"/>
      <c r="E113" s="427"/>
      <c r="F113" s="447"/>
      <c r="G113" s="447"/>
      <c r="H113" s="427"/>
      <c r="I113" s="440"/>
      <c r="J113" s="441"/>
      <c r="K113" s="442"/>
      <c r="L113" s="441"/>
      <c r="M113" s="443"/>
      <c r="N113" s="444"/>
      <c r="O113" s="445"/>
      <c r="P113" s="436"/>
      <c r="Q113" s="151"/>
      <c r="R113" s="61"/>
      <c r="S113" s="264"/>
      <c r="X113" s="18" t="str">
        <f t="shared" si="6"/>
        <v/>
      </c>
      <c r="Y113" s="18" t="str">
        <f t="shared" si="6"/>
        <v/>
      </c>
      <c r="Z113" s="18">
        <f t="shared" si="7"/>
        <v>1</v>
      </c>
      <c r="AA113" s="18">
        <f t="shared" si="8"/>
        <v>0</v>
      </c>
      <c r="AB113" s="18">
        <f t="shared" si="9"/>
        <v>0</v>
      </c>
      <c r="AC113" s="18">
        <f t="shared" si="9"/>
        <v>0</v>
      </c>
      <c r="AD113" s="18">
        <f t="shared" si="10"/>
        <v>1</v>
      </c>
      <c r="AE113" s="18" t="str">
        <f t="shared" si="11"/>
        <v/>
      </c>
    </row>
    <row r="114" spans="2:31" ht="15.75" x14ac:dyDescent="0.25">
      <c r="B114" s="73"/>
      <c r="C114" s="409"/>
      <c r="D114" s="439"/>
      <c r="E114" s="427"/>
      <c r="F114" s="447"/>
      <c r="G114" s="447"/>
      <c r="H114" s="427"/>
      <c r="I114" s="440"/>
      <c r="J114" s="441"/>
      <c r="K114" s="442"/>
      <c r="L114" s="441"/>
      <c r="M114" s="443"/>
      <c r="N114" s="444"/>
      <c r="O114" s="445"/>
      <c r="P114" s="436"/>
      <c r="Q114" s="151"/>
      <c r="R114" s="61"/>
      <c r="S114" s="264"/>
      <c r="X114" s="18" t="str">
        <f t="shared" si="6"/>
        <v/>
      </c>
      <c r="Y114" s="18" t="str">
        <f t="shared" si="6"/>
        <v/>
      </c>
      <c r="Z114" s="18">
        <f t="shared" si="7"/>
        <v>1</v>
      </c>
      <c r="AA114" s="18">
        <f t="shared" si="8"/>
        <v>0</v>
      </c>
      <c r="AB114" s="18">
        <f t="shared" si="9"/>
        <v>0</v>
      </c>
      <c r="AC114" s="18">
        <f t="shared" si="9"/>
        <v>0</v>
      </c>
      <c r="AD114" s="18">
        <f t="shared" si="10"/>
        <v>1</v>
      </c>
      <c r="AE114" s="18" t="str">
        <f t="shared" si="11"/>
        <v/>
      </c>
    </row>
    <row r="115" spans="2:31" ht="15.75" x14ac:dyDescent="0.25">
      <c r="B115" s="73"/>
      <c r="C115" s="409"/>
      <c r="D115" s="439"/>
      <c r="E115" s="427"/>
      <c r="F115" s="447"/>
      <c r="G115" s="447"/>
      <c r="H115" s="427"/>
      <c r="I115" s="440"/>
      <c r="J115" s="441"/>
      <c r="K115" s="442"/>
      <c r="L115" s="441"/>
      <c r="M115" s="443"/>
      <c r="N115" s="444"/>
      <c r="O115" s="445"/>
      <c r="P115" s="436"/>
      <c r="Q115" s="151"/>
      <c r="R115" s="61"/>
      <c r="S115" s="264"/>
      <c r="X115" s="18" t="str">
        <f t="shared" si="6"/>
        <v/>
      </c>
      <c r="Y115" s="18" t="str">
        <f t="shared" si="6"/>
        <v/>
      </c>
      <c r="Z115" s="18">
        <f t="shared" si="7"/>
        <v>1</v>
      </c>
      <c r="AA115" s="18">
        <f t="shared" si="8"/>
        <v>0</v>
      </c>
      <c r="AB115" s="18">
        <f t="shared" si="9"/>
        <v>0</v>
      </c>
      <c r="AC115" s="18">
        <f t="shared" si="9"/>
        <v>0</v>
      </c>
      <c r="AD115" s="18">
        <f t="shared" si="10"/>
        <v>1</v>
      </c>
      <c r="AE115" s="18" t="str">
        <f t="shared" si="11"/>
        <v/>
      </c>
    </row>
    <row r="116" spans="2:31" ht="15.75" x14ac:dyDescent="0.25">
      <c r="B116" s="73"/>
      <c r="C116" s="409"/>
      <c r="D116" s="439"/>
      <c r="E116" s="427"/>
      <c r="F116" s="447"/>
      <c r="G116" s="447"/>
      <c r="H116" s="427"/>
      <c r="I116" s="440"/>
      <c r="J116" s="441"/>
      <c r="K116" s="442"/>
      <c r="L116" s="441"/>
      <c r="M116" s="443"/>
      <c r="N116" s="444"/>
      <c r="O116" s="445"/>
      <c r="P116" s="436"/>
      <c r="Q116" s="151"/>
      <c r="R116" s="61"/>
      <c r="S116" s="264"/>
      <c r="X116" s="18" t="str">
        <f t="shared" si="6"/>
        <v/>
      </c>
      <c r="Y116" s="18" t="str">
        <f t="shared" si="6"/>
        <v/>
      </c>
      <c r="Z116" s="18">
        <f t="shared" si="7"/>
        <v>1</v>
      </c>
      <c r="AA116" s="18">
        <f t="shared" si="8"/>
        <v>0</v>
      </c>
      <c r="AB116" s="18">
        <f t="shared" si="9"/>
        <v>0</v>
      </c>
      <c r="AC116" s="18">
        <f t="shared" si="9"/>
        <v>0</v>
      </c>
      <c r="AD116" s="18">
        <f t="shared" si="10"/>
        <v>1</v>
      </c>
      <c r="AE116" s="18" t="str">
        <f t="shared" si="11"/>
        <v/>
      </c>
    </row>
    <row r="117" spans="2:31" ht="15.75" x14ac:dyDescent="0.25">
      <c r="B117" s="73"/>
      <c r="C117" s="409"/>
      <c r="D117" s="439"/>
      <c r="E117" s="427"/>
      <c r="F117" s="447"/>
      <c r="G117" s="447"/>
      <c r="H117" s="427"/>
      <c r="I117" s="440"/>
      <c r="J117" s="441"/>
      <c r="K117" s="442"/>
      <c r="L117" s="441"/>
      <c r="M117" s="443"/>
      <c r="N117" s="444"/>
      <c r="O117" s="445"/>
      <c r="P117" s="436"/>
      <c r="Q117" s="151"/>
      <c r="R117" s="61"/>
      <c r="S117" s="264"/>
      <c r="X117" s="18" t="str">
        <f t="shared" si="6"/>
        <v/>
      </c>
      <c r="Y117" s="18" t="str">
        <f t="shared" si="6"/>
        <v/>
      </c>
      <c r="Z117" s="18">
        <f t="shared" si="7"/>
        <v>1</v>
      </c>
      <c r="AA117" s="18">
        <f t="shared" si="8"/>
        <v>0</v>
      </c>
      <c r="AB117" s="18">
        <f t="shared" si="9"/>
        <v>0</v>
      </c>
      <c r="AC117" s="18">
        <f t="shared" si="9"/>
        <v>0</v>
      </c>
      <c r="AD117" s="18">
        <f t="shared" si="10"/>
        <v>1</v>
      </c>
      <c r="AE117" s="18" t="str">
        <f t="shared" si="11"/>
        <v/>
      </c>
    </row>
    <row r="118" spans="2:31" ht="15.75" x14ac:dyDescent="0.25">
      <c r="B118" s="73"/>
      <c r="C118" s="409"/>
      <c r="D118" s="439"/>
      <c r="E118" s="427"/>
      <c r="F118" s="447"/>
      <c r="G118" s="447"/>
      <c r="H118" s="427"/>
      <c r="I118" s="440"/>
      <c r="J118" s="441"/>
      <c r="K118" s="442"/>
      <c r="L118" s="441"/>
      <c r="M118" s="443"/>
      <c r="N118" s="444"/>
      <c r="O118" s="445"/>
      <c r="P118" s="436"/>
      <c r="Q118" s="151"/>
      <c r="R118" s="61"/>
      <c r="S118" s="264"/>
      <c r="X118" s="18" t="str">
        <f t="shared" si="6"/>
        <v/>
      </c>
      <c r="Y118" s="18" t="str">
        <f t="shared" si="6"/>
        <v/>
      </c>
      <c r="Z118" s="18">
        <f t="shared" si="7"/>
        <v>1</v>
      </c>
      <c r="AA118" s="18">
        <f t="shared" si="8"/>
        <v>0</v>
      </c>
      <c r="AB118" s="18">
        <f t="shared" si="9"/>
        <v>0</v>
      </c>
      <c r="AC118" s="18">
        <f t="shared" si="9"/>
        <v>0</v>
      </c>
      <c r="AD118" s="18">
        <f t="shared" si="10"/>
        <v>1</v>
      </c>
      <c r="AE118" s="18" t="str">
        <f t="shared" si="11"/>
        <v/>
      </c>
    </row>
    <row r="119" spans="2:31" ht="15.75" x14ac:dyDescent="0.25">
      <c r="B119" s="73"/>
      <c r="C119" s="409"/>
      <c r="D119" s="439"/>
      <c r="E119" s="427"/>
      <c r="F119" s="447"/>
      <c r="G119" s="447"/>
      <c r="H119" s="427"/>
      <c r="I119" s="440"/>
      <c r="J119" s="441"/>
      <c r="K119" s="442"/>
      <c r="L119" s="441"/>
      <c r="M119" s="443"/>
      <c r="N119" s="444"/>
      <c r="O119" s="445"/>
      <c r="P119" s="436"/>
      <c r="Q119" s="151"/>
      <c r="R119" s="61"/>
      <c r="S119" s="264"/>
      <c r="X119" s="18" t="str">
        <f t="shared" si="6"/>
        <v/>
      </c>
      <c r="Y119" s="18" t="str">
        <f t="shared" si="6"/>
        <v/>
      </c>
      <c r="Z119" s="18">
        <f t="shared" si="7"/>
        <v>1</v>
      </c>
      <c r="AA119" s="18">
        <f t="shared" si="8"/>
        <v>0</v>
      </c>
      <c r="AB119" s="18">
        <f t="shared" si="9"/>
        <v>0</v>
      </c>
      <c r="AC119" s="18">
        <f t="shared" si="9"/>
        <v>0</v>
      </c>
      <c r="AD119" s="18">
        <f t="shared" si="10"/>
        <v>1</v>
      </c>
      <c r="AE119" s="18" t="str">
        <f t="shared" si="11"/>
        <v/>
      </c>
    </row>
    <row r="120" spans="2:31" ht="16.5" thickBot="1" x14ac:dyDescent="0.3">
      <c r="B120" s="207"/>
      <c r="C120" s="208"/>
      <c r="D120" s="224"/>
      <c r="E120" s="209"/>
      <c r="F120" s="225"/>
      <c r="G120" s="225"/>
      <c r="H120" s="209"/>
      <c r="I120" s="226"/>
      <c r="J120" s="227"/>
      <c r="K120" s="228"/>
      <c r="L120" s="227"/>
      <c r="M120" s="229"/>
      <c r="N120" s="230"/>
      <c r="O120" s="231"/>
      <c r="P120" s="152"/>
      <c r="Q120" s="153"/>
      <c r="R120" s="61"/>
      <c r="S120" s="264"/>
      <c r="X120" s="18" t="str">
        <f t="shared" si="6"/>
        <v/>
      </c>
      <c r="Y120" s="18" t="str">
        <f t="shared" si="6"/>
        <v/>
      </c>
      <c r="Z120" s="18">
        <f t="shared" si="7"/>
        <v>1</v>
      </c>
      <c r="AA120" s="18">
        <f t="shared" si="8"/>
        <v>0</v>
      </c>
      <c r="AB120" s="18">
        <f t="shared" si="9"/>
        <v>0</v>
      </c>
      <c r="AC120" s="18">
        <f t="shared" si="9"/>
        <v>0</v>
      </c>
      <c r="AD120" s="18">
        <f t="shared" si="10"/>
        <v>1</v>
      </c>
      <c r="AE120" s="18" t="str">
        <f t="shared" si="11"/>
        <v/>
      </c>
    </row>
    <row r="121" spans="2:31" ht="16.5" thickBot="1" x14ac:dyDescent="0.3">
      <c r="B121" s="863"/>
      <c r="C121" s="864"/>
      <c r="D121" s="865"/>
      <c r="E121" s="215"/>
      <c r="F121" s="215"/>
      <c r="G121" s="215"/>
      <c r="H121" s="215"/>
      <c r="I121" s="215"/>
      <c r="J121" s="286"/>
      <c r="K121" s="215"/>
      <c r="L121" s="286"/>
      <c r="M121" s="215"/>
      <c r="N121" s="20"/>
      <c r="O121" s="287"/>
      <c r="P121" s="20"/>
      <c r="Q121" s="287"/>
      <c r="R121" s="60"/>
      <c r="S121" s="265"/>
      <c r="V121" s="170"/>
    </row>
  </sheetData>
  <sheetProtection algorithmName="SHA-512" hashValue="ropBA5EE8B04hz5soP4pKpVF7ELfZti2AkieQ5brlnWbR/Lp5waUPNRCoOZG0sgYjK1Gk1HSgAKvc12vau3Suw==" saltValue="Js88gBeSIgj7rtUopCZIKA==" spinCount="100000" sheet="1" scenarios="1" formatColumns="0" formatRows="0" autoFilter="0"/>
  <dataConsolidate link="1"/>
  <mergeCells count="19">
    <mergeCell ref="C1:E1"/>
    <mergeCell ref="J1:L1"/>
    <mergeCell ref="E3:E4"/>
    <mergeCell ref="L3:L4"/>
    <mergeCell ref="B18:S18"/>
    <mergeCell ref="Q19:Q20"/>
    <mergeCell ref="R19:R20"/>
    <mergeCell ref="B121:D121"/>
    <mergeCell ref="K19:K20"/>
    <mergeCell ref="L19:L20"/>
    <mergeCell ref="M19:M20"/>
    <mergeCell ref="N19:N20"/>
    <mergeCell ref="O19:O20"/>
    <mergeCell ref="P19:P20"/>
    <mergeCell ref="B19:B20"/>
    <mergeCell ref="C19:C20"/>
    <mergeCell ref="D19:D20"/>
    <mergeCell ref="I19:I20"/>
    <mergeCell ref="J19:J20"/>
  </mergeCells>
  <conditionalFormatting sqref="B21:D120">
    <cfRule type="containsBlanks" dxfId="89" priority="610">
      <formula>LEN(TRIM(B21))=0</formula>
    </cfRule>
  </conditionalFormatting>
  <conditionalFormatting sqref="C3:D5">
    <cfRule type="containsBlanks" dxfId="88" priority="598">
      <formula>LEN(TRIM(C3))=0</formula>
    </cfRule>
  </conditionalFormatting>
  <conditionalFormatting sqref="E48:E64">
    <cfRule type="expression" dxfId="87" priority="103">
      <formula>AND($C48="",E48&lt;&gt;"")</formula>
    </cfRule>
    <cfRule type="expression" dxfId="86" priority="104">
      <formula>$C48=""</formula>
    </cfRule>
    <cfRule type="expression" dxfId="85" priority="105">
      <formula>$C48&lt;&gt;""</formula>
    </cfRule>
  </conditionalFormatting>
  <conditionalFormatting sqref="E97:E120">
    <cfRule type="expression" dxfId="84" priority="19">
      <formula>AND($C97="",E97&lt;&gt;"")</formula>
    </cfRule>
  </conditionalFormatting>
  <conditionalFormatting sqref="E98">
    <cfRule type="expression" dxfId="83" priority="594">
      <formula>$C98=""</formula>
    </cfRule>
    <cfRule type="expression" dxfId="82" priority="595">
      <formula>$C98&lt;&gt;""</formula>
    </cfRule>
  </conditionalFormatting>
  <conditionalFormatting sqref="E100:E120">
    <cfRule type="expression" dxfId="81" priority="20">
      <formula>$C100=""</formula>
    </cfRule>
    <cfRule type="expression" dxfId="80" priority="21">
      <formula>$C100&lt;&gt;""</formula>
    </cfRule>
  </conditionalFormatting>
  <conditionalFormatting sqref="E21:G47">
    <cfRule type="expression" dxfId="79" priority="142">
      <formula>AND($C21="",E21&lt;&gt;"")</formula>
    </cfRule>
    <cfRule type="expression" dxfId="78" priority="143">
      <formula>$C21=""</formula>
    </cfRule>
    <cfRule type="expression" dxfId="77" priority="144">
      <formula>$C21&lt;&gt;""</formula>
    </cfRule>
  </conditionalFormatting>
  <conditionalFormatting sqref="E65:G94">
    <cfRule type="expression" dxfId="76" priority="2">
      <formula>$C65=""</formula>
    </cfRule>
    <cfRule type="expression" dxfId="75" priority="3">
      <formula>$C65&lt;&gt;""</formula>
    </cfRule>
  </conditionalFormatting>
  <conditionalFormatting sqref="E65:G96">
    <cfRule type="expression" dxfId="74" priority="1">
      <formula>AND($C65="",E65&lt;&gt;"")</formula>
    </cfRule>
  </conditionalFormatting>
  <conditionalFormatting sqref="E95:G97">
    <cfRule type="expression" dxfId="73" priority="282">
      <formula>$C95&lt;&gt;""</formula>
    </cfRule>
    <cfRule type="expression" dxfId="72" priority="281">
      <formula>$C95=""</formula>
    </cfRule>
  </conditionalFormatting>
  <conditionalFormatting sqref="E99:G99">
    <cfRule type="expression" dxfId="71" priority="275">
      <formula>$C99=""</formula>
    </cfRule>
    <cfRule type="expression" dxfId="70" priority="276">
      <formula>$C99&lt;&gt;""</formula>
    </cfRule>
  </conditionalFormatting>
  <conditionalFormatting sqref="F48:G50">
    <cfRule type="expression" dxfId="69" priority="259">
      <formula>AND($C48="",F48&lt;&gt;"")</formula>
    </cfRule>
    <cfRule type="expression" dxfId="68" priority="260">
      <formula>$C48=""</formula>
    </cfRule>
    <cfRule type="expression" dxfId="67" priority="261">
      <formula>$C48&lt;&gt;""</formula>
    </cfRule>
  </conditionalFormatting>
  <conditionalFormatting sqref="F51:G51">
    <cfRule type="expression" dxfId="66" priority="440">
      <formula>$D51&lt;&gt;""</formula>
    </cfRule>
    <cfRule type="expression" dxfId="65" priority="439">
      <formula>AND($D51="",F51&lt;&gt;"")</formula>
    </cfRule>
  </conditionalFormatting>
  <conditionalFormatting sqref="F52:G64">
    <cfRule type="expression" dxfId="64" priority="257">
      <formula>$C52=""</formula>
    </cfRule>
    <cfRule type="expression" dxfId="63" priority="258">
      <formula>$C52&lt;&gt;""</formula>
    </cfRule>
    <cfRule type="expression" dxfId="62" priority="256">
      <formula>AND($C52="",F52&lt;&gt;"")</formula>
    </cfRule>
  </conditionalFormatting>
  <conditionalFormatting sqref="F97:G97">
    <cfRule type="expression" dxfId="61" priority="280">
      <formula>AND($C97="",F97&lt;&gt;"")</formula>
    </cfRule>
  </conditionalFormatting>
  <conditionalFormatting sqref="F98:G98">
    <cfRule type="expression" dxfId="60" priority="471">
      <formula>AND($D98="",F98&lt;&gt;"")</formula>
    </cfRule>
    <cfRule type="expression" dxfId="59" priority="472">
      <formula>$D98&lt;&gt;""</formula>
    </cfRule>
  </conditionalFormatting>
  <conditionalFormatting sqref="F99:G99">
    <cfRule type="expression" dxfId="58" priority="274">
      <formula>AND($C99="",F99&lt;&gt;"")</formula>
    </cfRule>
  </conditionalFormatting>
  <conditionalFormatting sqref="F100:G100">
    <cfRule type="expression" dxfId="57" priority="469">
      <formula>AND($D100="",F100&lt;&gt;"")</formula>
    </cfRule>
    <cfRule type="expression" dxfId="56" priority="470">
      <formula>$D100&lt;&gt;""</formula>
    </cfRule>
  </conditionalFormatting>
  <conditionalFormatting sqref="F101:G103">
    <cfRule type="expression" dxfId="55" priority="246">
      <formula>$C101&lt;&gt;""</formula>
    </cfRule>
    <cfRule type="expression" dxfId="54" priority="245">
      <formula>$C101=""</formula>
    </cfRule>
    <cfRule type="expression" dxfId="53" priority="244">
      <formula>AND($C101="",F101&lt;&gt;"")</formula>
    </cfRule>
  </conditionalFormatting>
  <conditionalFormatting sqref="F104:G104">
    <cfRule type="expression" dxfId="52" priority="467">
      <formula>AND($D104="",F104&lt;&gt;"")</formula>
    </cfRule>
    <cfRule type="expression" dxfId="51" priority="468">
      <formula>$D104&lt;&gt;""</formula>
    </cfRule>
  </conditionalFormatting>
  <conditionalFormatting sqref="F105:G108">
    <cfRule type="expression" dxfId="50" priority="234">
      <formula>$C105&lt;&gt;""</formula>
    </cfRule>
    <cfRule type="expression" dxfId="49" priority="233">
      <formula>$C105=""</formula>
    </cfRule>
    <cfRule type="expression" dxfId="48" priority="232">
      <formula>AND($C105="",F105&lt;&gt;"")</formula>
    </cfRule>
  </conditionalFormatting>
  <conditionalFormatting sqref="F109:G120">
    <cfRule type="expression" dxfId="47" priority="614">
      <formula>$D109&lt;&gt;""</formula>
    </cfRule>
    <cfRule type="expression" dxfId="46" priority="613">
      <formula>AND($D109="",F109&lt;&gt;"")</formula>
    </cfRule>
  </conditionalFormatting>
  <conditionalFormatting sqref="H21:H120">
    <cfRule type="expression" dxfId="45" priority="590">
      <formula>AND($C21="",H21&lt;&gt;"")</formula>
    </cfRule>
    <cfRule type="expression" dxfId="44" priority="591">
      <formula>$C21=""</formula>
    </cfRule>
    <cfRule type="expression" dxfId="43" priority="592">
      <formula>$C21&lt;&gt;""</formula>
    </cfRule>
  </conditionalFormatting>
  <conditionalFormatting sqref="I21:Q120">
    <cfRule type="containsBlanks" dxfId="42" priority="585">
      <formula>LEN(TRIM(I21))=0</formula>
    </cfRule>
  </conditionalFormatting>
  <conditionalFormatting sqref="L6:L7">
    <cfRule type="containsBlanks" dxfId="41" priority="596">
      <formula>LEN(TRIM(L6))=0</formula>
    </cfRule>
  </conditionalFormatting>
  <conditionalFormatting sqref="O21:Q120">
    <cfRule type="expression" dxfId="40" priority="584">
      <formula>O21=$AE$1</formula>
    </cfRule>
  </conditionalFormatting>
  <conditionalFormatting sqref="S21:S120">
    <cfRule type="expression" dxfId="39" priority="589">
      <formula>R21=$AE$2</formula>
    </cfRule>
  </conditionalFormatting>
  <dataValidations count="4">
    <dataValidation type="list" allowBlank="1" showInputMessage="1" showErrorMessage="1" error="הציג תכנית הבראה = 1_x000a_לא הציג תכנית הבראה = 0" sqref="S21:S120" xr:uid="{00000000-0002-0000-1000-000000000000}">
      <formula1>X21:Y21</formula1>
    </dataValidation>
    <dataValidation errorStyle="warning" allowBlank="1" showInputMessage="1" showErrorMessage="1" errorTitle="טעות בהזנה" error="יש להזין סכום_x000a_סכום חיובי (או אפס) עבור עודף (או איזון)_x000a_סכום שלילי עבור גרעון" sqref="I21:I120 K21:K120" xr:uid="{00000000-0002-0000-1000-000001000000}"/>
    <dataValidation type="decimal" allowBlank="1" showInputMessage="1" showErrorMessage="1" errorTitle="טעות בהזנה" error="יש להזין סכום_x000a_סכום חיובי עבור עודף_x000a_סכום שלילי עבור גרעון_x000a_0 עבור איזון" sqref="F21:G120" xr:uid="{00000000-0002-0000-1000-000002000000}">
      <formula1>-1E+22</formula1>
      <formula2>1E+24</formula2>
    </dataValidation>
    <dataValidation type="decimal" operator="greaterThanOrEqual" allowBlank="1" showInputMessage="1" showErrorMessage="1" errorTitle="טעות בהזנה" error="יש להזין סכום שאינו שלילי" sqref="H21:H120 E21:E120" xr:uid="{00000000-0002-0000-1000-000003000000}">
      <formula1>0</formula1>
    </dataValidation>
  </dataValidations>
  <printOptions horizontalCentered="1"/>
  <pageMargins left="0.27559055118110237" right="0.19685039370078741" top="0.62992125984251968" bottom="0.47244094488188981" header="0.31496062992125984" footer="0.23622047244094491"/>
  <pageSetup paperSize="9" scale="30" orientation="portrait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602" operator="containsText" id="{FAB3CAA7-3092-4153-A823-67115DDE4273}">
            <xm:f>NOT(ISERROR(SEARCH($T$20,R21)))</xm:f>
            <xm:f>$T$20</xm:f>
            <x14:dxf>
              <font>
                <color rgb="FF9C0006"/>
              </font>
              <fill>
                <patternFill>
                  <bgColor rgb="FFFFC7CE"/>
                </patternFill>
              </fill>
            </x14:dxf>
          </x14:cfRule>
          <xm:sqref>R21:R120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9">
    <tabColor theme="4" tint="-0.249977111117893"/>
    <pageSetUpPr fitToPage="1"/>
  </sheetPr>
  <dimension ref="B1:S120"/>
  <sheetViews>
    <sheetView rightToLeft="1" view="pageBreakPreview" zoomScaleNormal="100" zoomScaleSheetLayoutView="100" workbookViewId="0">
      <pane ySplit="20" topLeftCell="A66" activePane="bottomLeft" state="frozen"/>
      <selection activeCell="F87" sqref="F87"/>
      <selection pane="bottomLeft" activeCell="G70" sqref="G70"/>
    </sheetView>
  </sheetViews>
  <sheetFormatPr defaultColWidth="9.140625" defaultRowHeight="15.75" outlineLevelRow="1" x14ac:dyDescent="0.25"/>
  <cols>
    <col min="1" max="1" width="4" style="171" customWidth="1"/>
    <col min="2" max="2" width="14.85546875" style="171" customWidth="1"/>
    <col min="3" max="3" width="29.42578125" style="171" customWidth="1"/>
    <col min="4" max="6" width="20.28515625" style="171" customWidth="1"/>
    <col min="7" max="7" width="36.85546875" style="171" customWidth="1"/>
    <col min="8" max="8" width="27.7109375" style="171" customWidth="1"/>
    <col min="9" max="9" width="21.42578125" style="171" bestFit="1" customWidth="1"/>
    <col min="10" max="10" width="15.28515625" style="171" bestFit="1" customWidth="1"/>
    <col min="11" max="11" width="16" style="171" customWidth="1"/>
    <col min="12" max="16" width="9.140625" style="171"/>
    <col min="17" max="19" width="9.140625" style="171" hidden="1" customWidth="1"/>
    <col min="20" max="16384" width="9.140625" style="171"/>
  </cols>
  <sheetData>
    <row r="1" spans="2:19" ht="15.75" customHeight="1" x14ac:dyDescent="0.25">
      <c r="B1" s="100" t="str">
        <f>'פרמטרים לעקרונות חישוב התמיכה'!$B$1</f>
        <v>שנה</v>
      </c>
      <c r="C1" s="13">
        <f>'פרמטרים לעקרונות חישוב התמיכה'!$C$1</f>
        <v>2025</v>
      </c>
      <c r="D1" s="15"/>
      <c r="E1" s="15"/>
      <c r="F1" s="15"/>
      <c r="G1" s="15"/>
      <c r="S1" s="171" t="s">
        <v>249</v>
      </c>
    </row>
    <row r="2" spans="2:19" ht="16.5" customHeight="1" thickBot="1" x14ac:dyDescent="0.3">
      <c r="B2" s="101" t="str">
        <f>'פרמטרים לעקרונות חישוב התמיכה'!$B$2</f>
        <v>תקציב התמיכה</v>
      </c>
      <c r="C2" s="14">
        <f>'פרמטרים לעקרונות חישוב התמיכה'!$C$2</f>
        <v>8082764</v>
      </c>
      <c r="D2" s="16"/>
      <c r="E2" s="16"/>
      <c r="F2" s="16"/>
      <c r="G2" s="16"/>
    </row>
    <row r="3" spans="2:19" ht="16.5" thickBot="1" x14ac:dyDescent="0.3">
      <c r="E3" s="16"/>
      <c r="F3" s="16"/>
    </row>
    <row r="4" spans="2:19" ht="16.5" outlineLevel="1" thickBot="1" x14ac:dyDescent="0.3">
      <c r="C4" s="875">
        <f>'פרמטרים לעקרונות חישוב התמיכה'!B42:C42</f>
        <v>0</v>
      </c>
      <c r="D4" s="876"/>
      <c r="E4" s="16"/>
      <c r="F4" s="16"/>
    </row>
    <row r="5" spans="2:19" ht="68.25" customHeight="1" outlineLevel="1" thickBot="1" x14ac:dyDescent="0.3">
      <c r="C5" s="112">
        <f>'פרמטרים לעקרונות חישוב התמיכה'!B43</f>
        <v>0</v>
      </c>
      <c r="D5" s="172">
        <f>'פרמטרים לעקרונות חישוב התמיכה'!C43</f>
        <v>0</v>
      </c>
      <c r="E5" s="16"/>
      <c r="F5" s="16"/>
    </row>
    <row r="6" spans="2:19" ht="16.5" outlineLevel="1" thickBot="1" x14ac:dyDescent="0.3">
      <c r="C6" s="173">
        <f>'פרמטרים לעקרונות חישוב התמיכה'!B44</f>
        <v>0</v>
      </c>
      <c r="D6" s="174">
        <f>'פרמטרים לעקרונות חישוב התמיכה'!C44</f>
        <v>0</v>
      </c>
      <c r="E6" s="16"/>
      <c r="F6" s="16"/>
    </row>
    <row r="7" spans="2:19" ht="47.25" hidden="1" customHeight="1" outlineLevel="1" x14ac:dyDescent="0.25">
      <c r="C7" s="175">
        <f>'פרמטרים לעקרונות חישוב התמיכה'!B45</f>
        <v>0</v>
      </c>
    </row>
    <row r="8" spans="2:19" outlineLevel="1" x14ac:dyDescent="0.25"/>
    <row r="9" spans="2:19" ht="16.5" hidden="1" outlineLevel="1" thickBot="1" x14ac:dyDescent="0.3"/>
    <row r="10" spans="2:19" ht="16.5" hidden="1" outlineLevel="1" thickBot="1" x14ac:dyDescent="0.3"/>
    <row r="11" spans="2:19" ht="16.5" hidden="1" outlineLevel="1" thickBot="1" x14ac:dyDescent="0.3"/>
    <row r="12" spans="2:19" ht="16.5" hidden="1" outlineLevel="1" thickBot="1" x14ac:dyDescent="0.3"/>
    <row r="13" spans="2:19" ht="16.5" hidden="1" outlineLevel="1" thickBot="1" x14ac:dyDescent="0.3"/>
    <row r="14" spans="2:19" ht="16.5" hidden="1" outlineLevel="1" thickBot="1" x14ac:dyDescent="0.3"/>
    <row r="15" spans="2:19" ht="16.5" hidden="1" outlineLevel="1" thickBot="1" x14ac:dyDescent="0.3"/>
    <row r="16" spans="2:19" ht="16.5" hidden="1" outlineLevel="1" thickBot="1" x14ac:dyDescent="0.3"/>
    <row r="17" spans="2:19" ht="16.5" outlineLevel="1" thickBot="1" x14ac:dyDescent="0.3"/>
    <row r="18" spans="2:19" ht="19.5" thickBot="1" x14ac:dyDescent="0.3">
      <c r="B18" s="877"/>
      <c r="C18" s="878"/>
      <c r="D18" s="878"/>
      <c r="E18" s="878"/>
      <c r="F18" s="878"/>
      <c r="G18" s="878"/>
      <c r="H18" s="878"/>
      <c r="I18" s="878"/>
      <c r="J18" s="878"/>
      <c r="K18" s="879"/>
    </row>
    <row r="19" spans="2:19" ht="59.25" customHeight="1" x14ac:dyDescent="0.25">
      <c r="B19" s="880"/>
      <c r="C19" s="820"/>
      <c r="D19" s="882"/>
      <c r="E19" s="176"/>
      <c r="F19" s="177"/>
      <c r="G19" s="882"/>
      <c r="H19" s="882"/>
      <c r="I19" s="882"/>
      <c r="J19" s="882"/>
      <c r="K19" s="884"/>
      <c r="Q19" s="840" t="s">
        <v>322</v>
      </c>
      <c r="R19" s="138"/>
      <c r="S19" s="21"/>
    </row>
    <row r="20" spans="2:19" ht="42.75" customHeight="1" thickBot="1" x14ac:dyDescent="0.3">
      <c r="B20" s="881"/>
      <c r="C20" s="844"/>
      <c r="D20" s="883"/>
      <c r="E20" s="178"/>
      <c r="F20" s="178"/>
      <c r="G20" s="883"/>
      <c r="H20" s="883"/>
      <c r="I20" s="883"/>
      <c r="J20" s="883"/>
      <c r="K20" s="885"/>
      <c r="Q20" s="840"/>
      <c r="R20" s="138" t="s">
        <v>323</v>
      </c>
      <c r="S20" s="18" t="s">
        <v>260</v>
      </c>
    </row>
    <row r="21" spans="2:19" x14ac:dyDescent="0.25">
      <c r="B21" s="156"/>
      <c r="C21" s="127"/>
      <c r="D21" s="168"/>
      <c r="E21" s="128"/>
      <c r="F21" s="128"/>
      <c r="G21" s="168"/>
      <c r="H21" s="179"/>
      <c r="I21" s="129"/>
      <c r="J21" s="129"/>
      <c r="K21" s="130"/>
      <c r="Q21" s="21">
        <f>IFERROR(IF(E21*1&gt;=0,1,0),0)</f>
        <v>1</v>
      </c>
      <c r="R21" s="21">
        <f>IFERROR(IF(F21*1&gt;=0,1,0),0)</f>
        <v>1</v>
      </c>
      <c r="S21" s="21">
        <f>IF($C21="",1,IFERROR(IF(SUM(P21:Q21)=COUNT(P21:Q21),1,0),0))</f>
        <v>1</v>
      </c>
    </row>
    <row r="22" spans="2:19" x14ac:dyDescent="0.25">
      <c r="B22" s="156"/>
      <c r="C22" s="127"/>
      <c r="D22" s="168"/>
      <c r="E22" s="128"/>
      <c r="F22" s="128"/>
      <c r="G22" s="168"/>
      <c r="H22" s="179"/>
      <c r="I22" s="129"/>
      <c r="J22" s="129"/>
      <c r="K22" s="130"/>
      <c r="Q22" s="21">
        <f t="shared" ref="Q22:R85" si="0">IFERROR(IF(E22*1&gt;=0,1,0),0)</f>
        <v>1</v>
      </c>
      <c r="R22" s="21">
        <f t="shared" si="0"/>
        <v>1</v>
      </c>
      <c r="S22" s="21">
        <f t="shared" ref="S22:S85" si="1">IF($C22="",1,IFERROR(IF(SUM(P22:Q22)=COUNT(P22:Q22),1,0),0))</f>
        <v>1</v>
      </c>
    </row>
    <row r="23" spans="2:19" x14ac:dyDescent="0.25">
      <c r="B23" s="156"/>
      <c r="C23" s="127"/>
      <c r="D23" s="168"/>
      <c r="E23" s="128"/>
      <c r="F23" s="128"/>
      <c r="G23" s="168"/>
      <c r="H23" s="179"/>
      <c r="I23" s="129"/>
      <c r="J23" s="129"/>
      <c r="K23" s="130"/>
      <c r="Q23" s="21">
        <f t="shared" si="0"/>
        <v>1</v>
      </c>
      <c r="R23" s="21">
        <f t="shared" si="0"/>
        <v>1</v>
      </c>
      <c r="S23" s="21">
        <f t="shared" si="1"/>
        <v>1</v>
      </c>
    </row>
    <row r="24" spans="2:19" x14ac:dyDescent="0.25">
      <c r="B24" s="156"/>
      <c r="C24" s="127"/>
      <c r="D24" s="168"/>
      <c r="E24" s="128"/>
      <c r="F24" s="128"/>
      <c r="G24" s="168"/>
      <c r="H24" s="179"/>
      <c r="I24" s="129"/>
      <c r="J24" s="129"/>
      <c r="K24" s="130"/>
      <c r="Q24" s="21">
        <f t="shared" si="0"/>
        <v>1</v>
      </c>
      <c r="R24" s="21">
        <f t="shared" si="0"/>
        <v>1</v>
      </c>
      <c r="S24" s="21">
        <f t="shared" si="1"/>
        <v>1</v>
      </c>
    </row>
    <row r="25" spans="2:19" x14ac:dyDescent="0.25">
      <c r="B25" s="156"/>
      <c r="C25" s="127"/>
      <c r="D25" s="168"/>
      <c r="E25" s="128"/>
      <c r="F25" s="128"/>
      <c r="G25" s="168"/>
      <c r="H25" s="179"/>
      <c r="I25" s="129"/>
      <c r="J25" s="129"/>
      <c r="K25" s="130"/>
      <c r="Q25" s="21">
        <f t="shared" si="0"/>
        <v>1</v>
      </c>
      <c r="R25" s="21">
        <f t="shared" si="0"/>
        <v>1</v>
      </c>
      <c r="S25" s="21">
        <f t="shared" si="1"/>
        <v>1</v>
      </c>
    </row>
    <row r="26" spans="2:19" x14ac:dyDescent="0.25">
      <c r="B26" s="156"/>
      <c r="C26" s="127"/>
      <c r="D26" s="168"/>
      <c r="E26" s="128"/>
      <c r="F26" s="128"/>
      <c r="G26" s="168"/>
      <c r="H26" s="179"/>
      <c r="I26" s="129"/>
      <c r="J26" s="129"/>
      <c r="K26" s="130"/>
      <c r="Q26" s="21">
        <f t="shared" si="0"/>
        <v>1</v>
      </c>
      <c r="R26" s="21">
        <f t="shared" si="0"/>
        <v>1</v>
      </c>
      <c r="S26" s="21">
        <f t="shared" si="1"/>
        <v>1</v>
      </c>
    </row>
    <row r="27" spans="2:19" x14ac:dyDescent="0.25">
      <c r="B27" s="156"/>
      <c r="C27" s="127"/>
      <c r="D27" s="168"/>
      <c r="E27" s="128"/>
      <c r="F27" s="128"/>
      <c r="G27" s="168"/>
      <c r="H27" s="179"/>
      <c r="I27" s="129"/>
      <c r="J27" s="129"/>
      <c r="K27" s="130"/>
      <c r="Q27" s="21">
        <f t="shared" si="0"/>
        <v>1</v>
      </c>
      <c r="R27" s="21">
        <f t="shared" si="0"/>
        <v>1</v>
      </c>
      <c r="S27" s="21">
        <f t="shared" si="1"/>
        <v>1</v>
      </c>
    </row>
    <row r="28" spans="2:19" x14ac:dyDescent="0.25">
      <c r="B28" s="156"/>
      <c r="C28" s="127"/>
      <c r="D28" s="168"/>
      <c r="E28" s="128"/>
      <c r="F28" s="128"/>
      <c r="G28" s="168"/>
      <c r="H28" s="179"/>
      <c r="I28" s="129"/>
      <c r="J28" s="129"/>
      <c r="K28" s="130"/>
      <c r="Q28" s="21">
        <f t="shared" si="0"/>
        <v>1</v>
      </c>
      <c r="R28" s="21">
        <f t="shared" si="0"/>
        <v>1</v>
      </c>
      <c r="S28" s="21">
        <f t="shared" si="1"/>
        <v>1</v>
      </c>
    </row>
    <row r="29" spans="2:19" x14ac:dyDescent="0.25">
      <c r="B29" s="156"/>
      <c r="C29" s="127"/>
      <c r="D29" s="168"/>
      <c r="E29" s="128"/>
      <c r="F29" s="128"/>
      <c r="G29" s="168"/>
      <c r="H29" s="179"/>
      <c r="I29" s="129"/>
      <c r="J29" s="129"/>
      <c r="K29" s="130"/>
      <c r="Q29" s="21">
        <f t="shared" si="0"/>
        <v>1</v>
      </c>
      <c r="R29" s="21">
        <f t="shared" si="0"/>
        <v>1</v>
      </c>
      <c r="S29" s="21">
        <f t="shared" si="1"/>
        <v>1</v>
      </c>
    </row>
    <row r="30" spans="2:19" x14ac:dyDescent="0.25">
      <c r="B30" s="156"/>
      <c r="C30" s="127"/>
      <c r="D30" s="168"/>
      <c r="E30" s="128"/>
      <c r="F30" s="128"/>
      <c r="G30" s="168"/>
      <c r="H30" s="179"/>
      <c r="I30" s="129"/>
      <c r="J30" s="129"/>
      <c r="K30" s="130"/>
      <c r="Q30" s="21">
        <f t="shared" si="0"/>
        <v>1</v>
      </c>
      <c r="R30" s="21">
        <f t="shared" si="0"/>
        <v>1</v>
      </c>
      <c r="S30" s="21">
        <f t="shared" si="1"/>
        <v>1</v>
      </c>
    </row>
    <row r="31" spans="2:19" x14ac:dyDescent="0.25">
      <c r="B31" s="156"/>
      <c r="C31" s="127"/>
      <c r="D31" s="168"/>
      <c r="E31" s="128"/>
      <c r="F31" s="128"/>
      <c r="G31" s="168"/>
      <c r="H31" s="179"/>
      <c r="I31" s="129"/>
      <c r="J31" s="129"/>
      <c r="K31" s="130"/>
      <c r="Q31" s="21">
        <f t="shared" si="0"/>
        <v>1</v>
      </c>
      <c r="R31" s="21">
        <f t="shared" si="0"/>
        <v>1</v>
      </c>
      <c r="S31" s="21">
        <f t="shared" si="1"/>
        <v>1</v>
      </c>
    </row>
    <row r="32" spans="2:19" x14ac:dyDescent="0.25">
      <c r="B32" s="156"/>
      <c r="C32" s="127"/>
      <c r="D32" s="168"/>
      <c r="E32" s="128"/>
      <c r="F32" s="128"/>
      <c r="G32" s="168"/>
      <c r="H32" s="179"/>
      <c r="I32" s="129"/>
      <c r="J32" s="129"/>
      <c r="K32" s="130"/>
      <c r="Q32" s="21">
        <f t="shared" si="0"/>
        <v>1</v>
      </c>
      <c r="R32" s="21">
        <f t="shared" si="0"/>
        <v>1</v>
      </c>
      <c r="S32" s="21">
        <f t="shared" si="1"/>
        <v>1</v>
      </c>
    </row>
    <row r="33" spans="2:19" x14ac:dyDescent="0.25">
      <c r="B33" s="156"/>
      <c r="C33" s="127"/>
      <c r="D33" s="168"/>
      <c r="E33" s="128"/>
      <c r="F33" s="128"/>
      <c r="G33" s="168"/>
      <c r="H33" s="179"/>
      <c r="I33" s="129"/>
      <c r="J33" s="129"/>
      <c r="K33" s="130"/>
      <c r="Q33" s="21">
        <f t="shared" si="0"/>
        <v>1</v>
      </c>
      <c r="R33" s="21">
        <f t="shared" si="0"/>
        <v>1</v>
      </c>
      <c r="S33" s="21">
        <f t="shared" si="1"/>
        <v>1</v>
      </c>
    </row>
    <row r="34" spans="2:19" x14ac:dyDescent="0.25">
      <c r="B34" s="156"/>
      <c r="C34" s="127"/>
      <c r="D34" s="168"/>
      <c r="E34" s="128"/>
      <c r="F34" s="128"/>
      <c r="G34" s="168"/>
      <c r="H34" s="179"/>
      <c r="I34" s="129"/>
      <c r="J34" s="129"/>
      <c r="K34" s="130"/>
      <c r="Q34" s="21">
        <f t="shared" si="0"/>
        <v>1</v>
      </c>
      <c r="R34" s="21">
        <f t="shared" si="0"/>
        <v>1</v>
      </c>
      <c r="S34" s="21">
        <f t="shared" si="1"/>
        <v>1</v>
      </c>
    </row>
    <row r="35" spans="2:19" x14ac:dyDescent="0.25">
      <c r="B35" s="156"/>
      <c r="C35" s="127"/>
      <c r="D35" s="168"/>
      <c r="E35" s="128"/>
      <c r="F35" s="128"/>
      <c r="G35" s="168"/>
      <c r="H35" s="179"/>
      <c r="I35" s="129"/>
      <c r="J35" s="129"/>
      <c r="K35" s="130"/>
      <c r="Q35" s="21">
        <f t="shared" si="0"/>
        <v>1</v>
      </c>
      <c r="R35" s="21">
        <f t="shared" si="0"/>
        <v>1</v>
      </c>
      <c r="S35" s="21">
        <f t="shared" si="1"/>
        <v>1</v>
      </c>
    </row>
    <row r="36" spans="2:19" x14ac:dyDescent="0.25">
      <c r="B36" s="156"/>
      <c r="C36" s="127"/>
      <c r="D36" s="168"/>
      <c r="E36" s="128"/>
      <c r="F36" s="128"/>
      <c r="G36" s="168"/>
      <c r="H36" s="179"/>
      <c r="I36" s="129"/>
      <c r="J36" s="129"/>
      <c r="K36" s="130"/>
      <c r="Q36" s="21">
        <f t="shared" si="0"/>
        <v>1</v>
      </c>
      <c r="R36" s="21">
        <f t="shared" si="0"/>
        <v>1</v>
      </c>
      <c r="S36" s="21">
        <f t="shared" si="1"/>
        <v>1</v>
      </c>
    </row>
    <row r="37" spans="2:19" x14ac:dyDescent="0.25">
      <c r="B37" s="156"/>
      <c r="C37" s="127"/>
      <c r="D37" s="168"/>
      <c r="E37" s="128"/>
      <c r="F37" s="128"/>
      <c r="G37" s="168"/>
      <c r="H37" s="179"/>
      <c r="I37" s="129"/>
      <c r="J37" s="129"/>
      <c r="K37" s="130"/>
      <c r="Q37" s="21">
        <f t="shared" si="0"/>
        <v>1</v>
      </c>
      <c r="R37" s="21">
        <f t="shared" si="0"/>
        <v>1</v>
      </c>
      <c r="S37" s="21">
        <f t="shared" si="1"/>
        <v>1</v>
      </c>
    </row>
    <row r="38" spans="2:19" x14ac:dyDescent="0.25">
      <c r="B38" s="156"/>
      <c r="C38" s="127"/>
      <c r="D38" s="168"/>
      <c r="E38" s="128"/>
      <c r="F38" s="128"/>
      <c r="G38" s="168"/>
      <c r="H38" s="179"/>
      <c r="I38" s="129"/>
      <c r="J38" s="129"/>
      <c r="K38" s="130"/>
      <c r="Q38" s="21">
        <f t="shared" si="0"/>
        <v>1</v>
      </c>
      <c r="R38" s="21">
        <f t="shared" si="0"/>
        <v>1</v>
      </c>
      <c r="S38" s="21">
        <f t="shared" si="1"/>
        <v>1</v>
      </c>
    </row>
    <row r="39" spans="2:19" x14ac:dyDescent="0.25">
      <c r="B39" s="156"/>
      <c r="C39" s="127"/>
      <c r="D39" s="168"/>
      <c r="E39" s="128"/>
      <c r="F39" s="128"/>
      <c r="G39" s="168"/>
      <c r="H39" s="179"/>
      <c r="I39" s="129"/>
      <c r="J39" s="129"/>
      <c r="K39" s="130"/>
      <c r="Q39" s="21">
        <f t="shared" si="0"/>
        <v>1</v>
      </c>
      <c r="R39" s="21">
        <f t="shared" si="0"/>
        <v>1</v>
      </c>
      <c r="S39" s="21">
        <f t="shared" si="1"/>
        <v>1</v>
      </c>
    </row>
    <row r="40" spans="2:19" x14ac:dyDescent="0.25">
      <c r="B40" s="156"/>
      <c r="C40" s="127"/>
      <c r="D40" s="168"/>
      <c r="E40" s="128"/>
      <c r="F40" s="128"/>
      <c r="G40" s="168"/>
      <c r="H40" s="179"/>
      <c r="I40" s="129"/>
      <c r="J40" s="129"/>
      <c r="K40" s="130"/>
      <c r="Q40" s="21">
        <f t="shared" si="0"/>
        <v>1</v>
      </c>
      <c r="R40" s="21">
        <f t="shared" si="0"/>
        <v>1</v>
      </c>
      <c r="S40" s="21">
        <f t="shared" si="1"/>
        <v>1</v>
      </c>
    </row>
    <row r="41" spans="2:19" x14ac:dyDescent="0.25">
      <c r="B41" s="156"/>
      <c r="C41" s="127"/>
      <c r="D41" s="168"/>
      <c r="E41" s="128"/>
      <c r="F41" s="128"/>
      <c r="G41" s="168"/>
      <c r="H41" s="179"/>
      <c r="I41" s="129"/>
      <c r="J41" s="129"/>
      <c r="K41" s="130"/>
      <c r="Q41" s="21">
        <f t="shared" si="0"/>
        <v>1</v>
      </c>
      <c r="R41" s="21">
        <f t="shared" si="0"/>
        <v>1</v>
      </c>
      <c r="S41" s="21">
        <f t="shared" si="1"/>
        <v>1</v>
      </c>
    </row>
    <row r="42" spans="2:19" x14ac:dyDescent="0.25">
      <c r="B42" s="156"/>
      <c r="C42" s="127"/>
      <c r="D42" s="168"/>
      <c r="E42" s="128"/>
      <c r="F42" s="128"/>
      <c r="G42" s="168"/>
      <c r="H42" s="179"/>
      <c r="I42" s="129"/>
      <c r="J42" s="129"/>
      <c r="K42" s="130"/>
      <c r="Q42" s="21">
        <f t="shared" si="0"/>
        <v>1</v>
      </c>
      <c r="R42" s="21">
        <f t="shared" si="0"/>
        <v>1</v>
      </c>
      <c r="S42" s="21">
        <f t="shared" si="1"/>
        <v>1</v>
      </c>
    </row>
    <row r="43" spans="2:19" x14ac:dyDescent="0.25">
      <c r="B43" s="156"/>
      <c r="C43" s="127"/>
      <c r="D43" s="168"/>
      <c r="E43" s="128"/>
      <c r="F43" s="128"/>
      <c r="G43" s="168"/>
      <c r="H43" s="179"/>
      <c r="I43" s="129"/>
      <c r="J43" s="129"/>
      <c r="K43" s="130"/>
      <c r="Q43" s="21">
        <f t="shared" si="0"/>
        <v>1</v>
      </c>
      <c r="R43" s="21">
        <f t="shared" si="0"/>
        <v>1</v>
      </c>
      <c r="S43" s="21">
        <f t="shared" si="1"/>
        <v>1</v>
      </c>
    </row>
    <row r="44" spans="2:19" x14ac:dyDescent="0.25">
      <c r="B44" s="156"/>
      <c r="C44" s="127"/>
      <c r="D44" s="168"/>
      <c r="E44" s="128"/>
      <c r="F44" s="128"/>
      <c r="G44" s="168"/>
      <c r="H44" s="179"/>
      <c r="I44" s="129"/>
      <c r="J44" s="129"/>
      <c r="K44" s="130"/>
      <c r="Q44" s="21">
        <f t="shared" si="0"/>
        <v>1</v>
      </c>
      <c r="R44" s="21">
        <f t="shared" si="0"/>
        <v>1</v>
      </c>
      <c r="S44" s="21">
        <f t="shared" si="1"/>
        <v>1</v>
      </c>
    </row>
    <row r="45" spans="2:19" x14ac:dyDescent="0.25">
      <c r="B45" s="156"/>
      <c r="C45" s="127"/>
      <c r="D45" s="168"/>
      <c r="E45" s="128"/>
      <c r="F45" s="128"/>
      <c r="G45" s="168"/>
      <c r="H45" s="179"/>
      <c r="I45" s="129"/>
      <c r="J45" s="129"/>
      <c r="K45" s="130"/>
      <c r="Q45" s="21">
        <f t="shared" si="0"/>
        <v>1</v>
      </c>
      <c r="R45" s="21">
        <f t="shared" si="0"/>
        <v>1</v>
      </c>
      <c r="S45" s="21">
        <f t="shared" si="1"/>
        <v>1</v>
      </c>
    </row>
    <row r="46" spans="2:19" x14ac:dyDescent="0.25">
      <c r="B46" s="156"/>
      <c r="C46" s="127"/>
      <c r="D46" s="168"/>
      <c r="E46" s="128"/>
      <c r="F46" s="128"/>
      <c r="G46" s="168"/>
      <c r="H46" s="179"/>
      <c r="I46" s="129"/>
      <c r="J46" s="129"/>
      <c r="K46" s="130"/>
      <c r="Q46" s="21">
        <f t="shared" si="0"/>
        <v>1</v>
      </c>
      <c r="R46" s="21">
        <f t="shared" si="0"/>
        <v>1</v>
      </c>
      <c r="S46" s="21">
        <f t="shared" si="1"/>
        <v>1</v>
      </c>
    </row>
    <row r="47" spans="2:19" x14ac:dyDescent="0.25">
      <c r="B47" s="156"/>
      <c r="C47" s="127"/>
      <c r="D47" s="168"/>
      <c r="E47" s="128"/>
      <c r="F47" s="128"/>
      <c r="G47" s="168"/>
      <c r="H47" s="179"/>
      <c r="I47" s="129"/>
      <c r="J47" s="129"/>
      <c r="K47" s="130"/>
      <c r="Q47" s="21">
        <f t="shared" si="0"/>
        <v>1</v>
      </c>
      <c r="R47" s="21">
        <f t="shared" si="0"/>
        <v>1</v>
      </c>
      <c r="S47" s="21">
        <f t="shared" si="1"/>
        <v>1</v>
      </c>
    </row>
    <row r="48" spans="2:19" x14ac:dyDescent="0.25">
      <c r="B48" s="156"/>
      <c r="C48" s="127"/>
      <c r="D48" s="168"/>
      <c r="E48" s="128"/>
      <c r="F48" s="128"/>
      <c r="G48" s="168"/>
      <c r="H48" s="179"/>
      <c r="I48" s="129"/>
      <c r="J48" s="129"/>
      <c r="K48" s="130"/>
      <c r="Q48" s="21">
        <f t="shared" si="0"/>
        <v>1</v>
      </c>
      <c r="R48" s="21">
        <f t="shared" si="0"/>
        <v>1</v>
      </c>
      <c r="S48" s="21">
        <f t="shared" si="1"/>
        <v>1</v>
      </c>
    </row>
    <row r="49" spans="2:19" x14ac:dyDescent="0.25">
      <c r="B49" s="156"/>
      <c r="C49" s="127"/>
      <c r="D49" s="168"/>
      <c r="E49" s="128"/>
      <c r="F49" s="128"/>
      <c r="G49" s="168"/>
      <c r="H49" s="179"/>
      <c r="I49" s="129"/>
      <c r="J49" s="129"/>
      <c r="K49" s="130"/>
      <c r="Q49" s="21">
        <f t="shared" si="0"/>
        <v>1</v>
      </c>
      <c r="R49" s="21">
        <f t="shared" si="0"/>
        <v>1</v>
      </c>
      <c r="S49" s="21">
        <f t="shared" si="1"/>
        <v>1</v>
      </c>
    </row>
    <row r="50" spans="2:19" x14ac:dyDescent="0.25">
      <c r="B50" s="156"/>
      <c r="C50" s="127"/>
      <c r="D50" s="168"/>
      <c r="E50" s="128"/>
      <c r="F50" s="128"/>
      <c r="G50" s="168"/>
      <c r="H50" s="179"/>
      <c r="I50" s="129"/>
      <c r="J50" s="129"/>
      <c r="K50" s="130"/>
      <c r="Q50" s="21">
        <f t="shared" si="0"/>
        <v>1</v>
      </c>
      <c r="R50" s="21">
        <f t="shared" si="0"/>
        <v>1</v>
      </c>
      <c r="S50" s="21">
        <f t="shared" si="1"/>
        <v>1</v>
      </c>
    </row>
    <row r="51" spans="2:19" x14ac:dyDescent="0.25">
      <c r="B51" s="156"/>
      <c r="C51" s="127"/>
      <c r="D51" s="168"/>
      <c r="E51" s="128"/>
      <c r="F51" s="128"/>
      <c r="G51" s="168"/>
      <c r="H51" s="179"/>
      <c r="I51" s="129"/>
      <c r="J51" s="129"/>
      <c r="K51" s="130"/>
      <c r="Q51" s="21">
        <f t="shared" si="0"/>
        <v>1</v>
      </c>
      <c r="R51" s="21">
        <f t="shared" si="0"/>
        <v>1</v>
      </c>
      <c r="S51" s="21">
        <f t="shared" si="1"/>
        <v>1</v>
      </c>
    </row>
    <row r="52" spans="2:19" x14ac:dyDescent="0.25">
      <c r="B52" s="156"/>
      <c r="C52" s="127"/>
      <c r="D52" s="168"/>
      <c r="E52" s="128"/>
      <c r="F52" s="128"/>
      <c r="G52" s="168"/>
      <c r="H52" s="179"/>
      <c r="I52" s="129"/>
      <c r="J52" s="129"/>
      <c r="K52" s="130"/>
      <c r="Q52" s="21">
        <f t="shared" si="0"/>
        <v>1</v>
      </c>
      <c r="R52" s="21">
        <f t="shared" si="0"/>
        <v>1</v>
      </c>
      <c r="S52" s="21">
        <f t="shared" si="1"/>
        <v>1</v>
      </c>
    </row>
    <row r="53" spans="2:19" x14ac:dyDescent="0.25">
      <c r="B53" s="156"/>
      <c r="C53" s="127"/>
      <c r="D53" s="168"/>
      <c r="E53" s="128"/>
      <c r="F53" s="128"/>
      <c r="G53" s="168"/>
      <c r="H53" s="179"/>
      <c r="I53" s="129"/>
      <c r="J53" s="129"/>
      <c r="K53" s="130"/>
      <c r="Q53" s="21">
        <f t="shared" si="0"/>
        <v>1</v>
      </c>
      <c r="R53" s="21">
        <f t="shared" si="0"/>
        <v>1</v>
      </c>
      <c r="S53" s="21">
        <f t="shared" si="1"/>
        <v>1</v>
      </c>
    </row>
    <row r="54" spans="2:19" x14ac:dyDescent="0.25">
      <c r="B54" s="156"/>
      <c r="C54" s="127"/>
      <c r="D54" s="168"/>
      <c r="E54" s="128"/>
      <c r="F54" s="128"/>
      <c r="G54" s="168"/>
      <c r="H54" s="179"/>
      <c r="I54" s="129"/>
      <c r="J54" s="129"/>
      <c r="K54" s="130"/>
      <c r="Q54" s="21">
        <f t="shared" si="0"/>
        <v>1</v>
      </c>
      <c r="R54" s="21">
        <f t="shared" si="0"/>
        <v>1</v>
      </c>
      <c r="S54" s="21">
        <f t="shared" si="1"/>
        <v>1</v>
      </c>
    </row>
    <row r="55" spans="2:19" x14ac:dyDescent="0.25">
      <c r="B55" s="156"/>
      <c r="C55" s="127"/>
      <c r="D55" s="168"/>
      <c r="E55" s="128"/>
      <c r="F55" s="128"/>
      <c r="G55" s="168"/>
      <c r="H55" s="179"/>
      <c r="I55" s="129"/>
      <c r="J55" s="129"/>
      <c r="K55" s="130"/>
      <c r="Q55" s="21">
        <f t="shared" si="0"/>
        <v>1</v>
      </c>
      <c r="R55" s="21">
        <f t="shared" si="0"/>
        <v>1</v>
      </c>
      <c r="S55" s="21">
        <f t="shared" si="1"/>
        <v>1</v>
      </c>
    </row>
    <row r="56" spans="2:19" x14ac:dyDescent="0.25">
      <c r="B56" s="156"/>
      <c r="C56" s="127"/>
      <c r="D56" s="168"/>
      <c r="E56" s="128"/>
      <c r="F56" s="128"/>
      <c r="G56" s="168"/>
      <c r="H56" s="179"/>
      <c r="I56" s="129"/>
      <c r="J56" s="129"/>
      <c r="K56" s="130"/>
      <c r="Q56" s="21">
        <f t="shared" si="0"/>
        <v>1</v>
      </c>
      <c r="R56" s="21">
        <f t="shared" si="0"/>
        <v>1</v>
      </c>
      <c r="S56" s="21">
        <f t="shared" si="1"/>
        <v>1</v>
      </c>
    </row>
    <row r="57" spans="2:19" x14ac:dyDescent="0.25">
      <c r="B57" s="156"/>
      <c r="C57" s="127"/>
      <c r="D57" s="168"/>
      <c r="E57" s="128"/>
      <c r="F57" s="128"/>
      <c r="G57" s="168"/>
      <c r="H57" s="179"/>
      <c r="I57" s="129"/>
      <c r="J57" s="129"/>
      <c r="K57" s="130"/>
      <c r="Q57" s="21">
        <f t="shared" si="0"/>
        <v>1</v>
      </c>
      <c r="R57" s="21">
        <f t="shared" si="0"/>
        <v>1</v>
      </c>
      <c r="S57" s="21">
        <f t="shared" si="1"/>
        <v>1</v>
      </c>
    </row>
    <row r="58" spans="2:19" x14ac:dyDescent="0.25">
      <c r="B58" s="156"/>
      <c r="C58" s="127"/>
      <c r="D58" s="168"/>
      <c r="E58" s="128"/>
      <c r="F58" s="128"/>
      <c r="G58" s="168"/>
      <c r="H58" s="179"/>
      <c r="I58" s="129"/>
      <c r="J58" s="129"/>
      <c r="K58" s="130"/>
      <c r="Q58" s="21">
        <f t="shared" si="0"/>
        <v>1</v>
      </c>
      <c r="R58" s="21">
        <f t="shared" si="0"/>
        <v>1</v>
      </c>
      <c r="S58" s="21">
        <f t="shared" si="1"/>
        <v>1</v>
      </c>
    </row>
    <row r="59" spans="2:19" x14ac:dyDescent="0.25">
      <c r="B59" s="156"/>
      <c r="C59" s="127"/>
      <c r="D59" s="168"/>
      <c r="E59" s="128"/>
      <c r="F59" s="128"/>
      <c r="G59" s="168"/>
      <c r="H59" s="179"/>
      <c r="I59" s="129"/>
      <c r="J59" s="129"/>
      <c r="K59" s="130"/>
      <c r="Q59" s="21">
        <f t="shared" si="0"/>
        <v>1</v>
      </c>
      <c r="R59" s="21">
        <f t="shared" si="0"/>
        <v>1</v>
      </c>
      <c r="S59" s="21">
        <f t="shared" si="1"/>
        <v>1</v>
      </c>
    </row>
    <row r="60" spans="2:19" x14ac:dyDescent="0.25">
      <c r="B60" s="156"/>
      <c r="C60" s="127"/>
      <c r="D60" s="168"/>
      <c r="E60" s="128"/>
      <c r="F60" s="128"/>
      <c r="G60" s="168"/>
      <c r="H60" s="179"/>
      <c r="I60" s="129"/>
      <c r="J60" s="129"/>
      <c r="K60" s="130"/>
      <c r="Q60" s="21">
        <f t="shared" si="0"/>
        <v>1</v>
      </c>
      <c r="R60" s="21">
        <f t="shared" si="0"/>
        <v>1</v>
      </c>
      <c r="S60" s="21">
        <f t="shared" si="1"/>
        <v>1</v>
      </c>
    </row>
    <row r="61" spans="2:19" x14ac:dyDescent="0.25">
      <c r="B61" s="156"/>
      <c r="C61" s="127"/>
      <c r="D61" s="168"/>
      <c r="E61" s="128"/>
      <c r="F61" s="128"/>
      <c r="G61" s="168"/>
      <c r="H61" s="179"/>
      <c r="I61" s="129"/>
      <c r="J61" s="129"/>
      <c r="K61" s="130"/>
      <c r="Q61" s="21">
        <f t="shared" si="0"/>
        <v>1</v>
      </c>
      <c r="R61" s="21">
        <f t="shared" si="0"/>
        <v>1</v>
      </c>
      <c r="S61" s="21">
        <f t="shared" si="1"/>
        <v>1</v>
      </c>
    </row>
    <row r="62" spans="2:19" x14ac:dyDescent="0.25">
      <c r="B62" s="156"/>
      <c r="C62" s="127"/>
      <c r="D62" s="168"/>
      <c r="E62" s="128"/>
      <c r="F62" s="128"/>
      <c r="G62" s="168"/>
      <c r="H62" s="179"/>
      <c r="I62" s="129"/>
      <c r="J62" s="129"/>
      <c r="K62" s="130"/>
      <c r="Q62" s="21">
        <f t="shared" si="0"/>
        <v>1</v>
      </c>
      <c r="R62" s="21">
        <f t="shared" si="0"/>
        <v>1</v>
      </c>
      <c r="S62" s="21">
        <f t="shared" si="1"/>
        <v>1</v>
      </c>
    </row>
    <row r="63" spans="2:19" x14ac:dyDescent="0.25">
      <c r="B63" s="156"/>
      <c r="C63" s="127"/>
      <c r="D63" s="168"/>
      <c r="E63" s="128"/>
      <c r="F63" s="128"/>
      <c r="G63" s="168"/>
      <c r="H63" s="179"/>
      <c r="I63" s="129"/>
      <c r="J63" s="129"/>
      <c r="K63" s="130"/>
      <c r="Q63" s="21">
        <f t="shared" si="0"/>
        <v>1</v>
      </c>
      <c r="R63" s="21">
        <f t="shared" si="0"/>
        <v>1</v>
      </c>
      <c r="S63" s="21">
        <f t="shared" si="1"/>
        <v>1</v>
      </c>
    </row>
    <row r="64" spans="2:19" x14ac:dyDescent="0.25">
      <c r="B64" s="156"/>
      <c r="C64" s="127"/>
      <c r="D64" s="168"/>
      <c r="E64" s="128"/>
      <c r="F64" s="128"/>
      <c r="G64" s="168"/>
      <c r="H64" s="179"/>
      <c r="I64" s="129"/>
      <c r="J64" s="129"/>
      <c r="K64" s="130"/>
      <c r="Q64" s="21">
        <f t="shared" si="0"/>
        <v>1</v>
      </c>
      <c r="R64" s="21">
        <f t="shared" si="0"/>
        <v>1</v>
      </c>
      <c r="S64" s="21">
        <f t="shared" si="1"/>
        <v>1</v>
      </c>
    </row>
    <row r="65" spans="2:19" x14ac:dyDescent="0.25">
      <c r="B65" s="156"/>
      <c r="C65" s="127"/>
      <c r="D65" s="168"/>
      <c r="E65" s="128"/>
      <c r="F65" s="128"/>
      <c r="G65" s="168"/>
      <c r="H65" s="179"/>
      <c r="I65" s="129"/>
      <c r="J65" s="129"/>
      <c r="K65" s="130"/>
      <c r="Q65" s="21">
        <f t="shared" si="0"/>
        <v>1</v>
      </c>
      <c r="R65" s="21">
        <f t="shared" si="0"/>
        <v>1</v>
      </c>
      <c r="S65" s="21">
        <f t="shared" si="1"/>
        <v>1</v>
      </c>
    </row>
    <row r="66" spans="2:19" x14ac:dyDescent="0.25">
      <c r="B66" s="156"/>
      <c r="C66" s="127"/>
      <c r="D66" s="168"/>
      <c r="E66" s="128"/>
      <c r="F66" s="128"/>
      <c r="G66" s="168"/>
      <c r="H66" s="179"/>
      <c r="I66" s="129"/>
      <c r="J66" s="129"/>
      <c r="K66" s="130"/>
      <c r="Q66" s="21">
        <f t="shared" si="0"/>
        <v>1</v>
      </c>
      <c r="R66" s="21">
        <f t="shared" si="0"/>
        <v>1</v>
      </c>
      <c r="S66" s="21">
        <f t="shared" si="1"/>
        <v>1</v>
      </c>
    </row>
    <row r="67" spans="2:19" x14ac:dyDescent="0.25">
      <c r="B67" s="156"/>
      <c r="C67" s="127"/>
      <c r="D67" s="168"/>
      <c r="E67" s="128"/>
      <c r="F67" s="128"/>
      <c r="G67" s="168"/>
      <c r="H67" s="179"/>
      <c r="I67" s="129"/>
      <c r="J67" s="129"/>
      <c r="K67" s="130"/>
      <c r="Q67" s="21">
        <f t="shared" si="0"/>
        <v>1</v>
      </c>
      <c r="R67" s="21">
        <f t="shared" si="0"/>
        <v>1</v>
      </c>
      <c r="S67" s="21">
        <f t="shared" si="1"/>
        <v>1</v>
      </c>
    </row>
    <row r="68" spans="2:19" x14ac:dyDescent="0.25">
      <c r="B68" s="156"/>
      <c r="C68" s="127"/>
      <c r="D68" s="168"/>
      <c r="E68" s="128"/>
      <c r="F68" s="128"/>
      <c r="G68" s="168"/>
      <c r="H68" s="179"/>
      <c r="I68" s="129"/>
      <c r="J68" s="129"/>
      <c r="K68" s="130"/>
      <c r="Q68" s="21">
        <f t="shared" si="0"/>
        <v>1</v>
      </c>
      <c r="R68" s="21">
        <f t="shared" si="0"/>
        <v>1</v>
      </c>
      <c r="S68" s="21">
        <f t="shared" si="1"/>
        <v>1</v>
      </c>
    </row>
    <row r="69" spans="2:19" x14ac:dyDescent="0.25">
      <c r="B69" s="156"/>
      <c r="C69" s="127"/>
      <c r="D69" s="168"/>
      <c r="E69" s="128"/>
      <c r="F69" s="128"/>
      <c r="G69" s="168"/>
      <c r="H69" s="179"/>
      <c r="I69" s="129"/>
      <c r="J69" s="129"/>
      <c r="K69" s="130"/>
      <c r="Q69" s="21">
        <f t="shared" si="0"/>
        <v>1</v>
      </c>
      <c r="R69" s="21">
        <f t="shared" si="0"/>
        <v>1</v>
      </c>
      <c r="S69" s="21">
        <f t="shared" si="1"/>
        <v>1</v>
      </c>
    </row>
    <row r="70" spans="2:19" x14ac:dyDescent="0.25">
      <c r="B70" s="156"/>
      <c r="C70" s="127"/>
      <c r="D70" s="168"/>
      <c r="E70" s="128"/>
      <c r="F70" s="128"/>
      <c r="G70" s="168"/>
      <c r="H70" s="179"/>
      <c r="I70" s="129"/>
      <c r="J70" s="129"/>
      <c r="K70" s="130"/>
      <c r="Q70" s="21">
        <f t="shared" si="0"/>
        <v>1</v>
      </c>
      <c r="R70" s="21">
        <f t="shared" si="0"/>
        <v>1</v>
      </c>
      <c r="S70" s="21">
        <f t="shared" si="1"/>
        <v>1</v>
      </c>
    </row>
    <row r="71" spans="2:19" x14ac:dyDescent="0.25">
      <c r="B71" s="156"/>
      <c r="C71" s="127"/>
      <c r="D71" s="168"/>
      <c r="E71" s="128"/>
      <c r="F71" s="128"/>
      <c r="G71" s="168"/>
      <c r="H71" s="179"/>
      <c r="I71" s="129"/>
      <c r="J71" s="129"/>
      <c r="K71" s="130"/>
      <c r="Q71" s="21">
        <f t="shared" si="0"/>
        <v>1</v>
      </c>
      <c r="R71" s="21">
        <f t="shared" si="0"/>
        <v>1</v>
      </c>
      <c r="S71" s="21">
        <f t="shared" si="1"/>
        <v>1</v>
      </c>
    </row>
    <row r="72" spans="2:19" x14ac:dyDescent="0.25">
      <c r="B72" s="156"/>
      <c r="C72" s="127"/>
      <c r="D72" s="168"/>
      <c r="E72" s="128"/>
      <c r="F72" s="128"/>
      <c r="G72" s="168"/>
      <c r="H72" s="179"/>
      <c r="I72" s="129"/>
      <c r="J72" s="129"/>
      <c r="K72" s="130"/>
      <c r="Q72" s="21">
        <f t="shared" si="0"/>
        <v>1</v>
      </c>
      <c r="R72" s="21">
        <f t="shared" si="0"/>
        <v>1</v>
      </c>
      <c r="S72" s="21">
        <f t="shared" si="1"/>
        <v>1</v>
      </c>
    </row>
    <row r="73" spans="2:19" x14ac:dyDescent="0.25">
      <c r="B73" s="156"/>
      <c r="C73" s="127"/>
      <c r="D73" s="168"/>
      <c r="E73" s="128"/>
      <c r="F73" s="128"/>
      <c r="G73" s="168"/>
      <c r="H73" s="179"/>
      <c r="I73" s="129"/>
      <c r="J73" s="129"/>
      <c r="K73" s="130"/>
      <c r="Q73" s="21">
        <f t="shared" si="0"/>
        <v>1</v>
      </c>
      <c r="R73" s="21">
        <f t="shared" si="0"/>
        <v>1</v>
      </c>
      <c r="S73" s="21">
        <f t="shared" si="1"/>
        <v>1</v>
      </c>
    </row>
    <row r="74" spans="2:19" x14ac:dyDescent="0.25">
      <c r="B74" s="156"/>
      <c r="C74" s="127"/>
      <c r="D74" s="168"/>
      <c r="E74" s="128"/>
      <c r="F74" s="128"/>
      <c r="G74" s="168"/>
      <c r="H74" s="179"/>
      <c r="I74" s="129"/>
      <c r="J74" s="129"/>
      <c r="K74" s="130"/>
      <c r="Q74" s="21">
        <f t="shared" si="0"/>
        <v>1</v>
      </c>
      <c r="R74" s="21">
        <f t="shared" si="0"/>
        <v>1</v>
      </c>
      <c r="S74" s="21">
        <f t="shared" si="1"/>
        <v>1</v>
      </c>
    </row>
    <row r="75" spans="2:19" x14ac:dyDescent="0.25">
      <c r="B75" s="156"/>
      <c r="C75" s="127"/>
      <c r="D75" s="168"/>
      <c r="E75" s="128"/>
      <c r="F75" s="128"/>
      <c r="G75" s="168"/>
      <c r="H75" s="179"/>
      <c r="I75" s="129"/>
      <c r="J75" s="129"/>
      <c r="K75" s="130"/>
      <c r="Q75" s="21">
        <f t="shared" si="0"/>
        <v>1</v>
      </c>
      <c r="R75" s="21">
        <f t="shared" si="0"/>
        <v>1</v>
      </c>
      <c r="S75" s="21">
        <f t="shared" si="1"/>
        <v>1</v>
      </c>
    </row>
    <row r="76" spans="2:19" x14ac:dyDescent="0.25">
      <c r="B76" s="156"/>
      <c r="C76" s="127"/>
      <c r="D76" s="168"/>
      <c r="E76" s="128"/>
      <c r="F76" s="128"/>
      <c r="G76" s="168"/>
      <c r="H76" s="179"/>
      <c r="I76" s="129"/>
      <c r="J76" s="129"/>
      <c r="K76" s="130"/>
      <c r="Q76" s="21">
        <f t="shared" si="0"/>
        <v>1</v>
      </c>
      <c r="R76" s="21">
        <f t="shared" si="0"/>
        <v>1</v>
      </c>
      <c r="S76" s="21">
        <f t="shared" si="1"/>
        <v>1</v>
      </c>
    </row>
    <row r="77" spans="2:19" x14ac:dyDescent="0.25">
      <c r="B77" s="156"/>
      <c r="C77" s="127"/>
      <c r="D77" s="168"/>
      <c r="E77" s="128"/>
      <c r="F77" s="128"/>
      <c r="G77" s="168"/>
      <c r="H77" s="179"/>
      <c r="I77" s="129"/>
      <c r="J77" s="129"/>
      <c r="K77" s="130"/>
      <c r="Q77" s="21">
        <f t="shared" si="0"/>
        <v>1</v>
      </c>
      <c r="R77" s="21">
        <f t="shared" si="0"/>
        <v>1</v>
      </c>
      <c r="S77" s="21">
        <f t="shared" si="1"/>
        <v>1</v>
      </c>
    </row>
    <row r="78" spans="2:19" x14ac:dyDescent="0.25">
      <c r="B78" s="156"/>
      <c r="C78" s="127"/>
      <c r="D78" s="168"/>
      <c r="E78" s="128"/>
      <c r="F78" s="128"/>
      <c r="G78" s="168"/>
      <c r="H78" s="179"/>
      <c r="I78" s="129"/>
      <c r="J78" s="129"/>
      <c r="K78" s="130"/>
      <c r="Q78" s="21">
        <f t="shared" si="0"/>
        <v>1</v>
      </c>
      <c r="R78" s="21">
        <f t="shared" si="0"/>
        <v>1</v>
      </c>
      <c r="S78" s="21">
        <f t="shared" si="1"/>
        <v>1</v>
      </c>
    </row>
    <row r="79" spans="2:19" x14ac:dyDescent="0.25">
      <c r="B79" s="156"/>
      <c r="C79" s="127"/>
      <c r="D79" s="168"/>
      <c r="E79" s="128"/>
      <c r="F79" s="128"/>
      <c r="G79" s="168"/>
      <c r="H79" s="179"/>
      <c r="I79" s="129"/>
      <c r="J79" s="129"/>
      <c r="K79" s="130"/>
      <c r="Q79" s="21">
        <f t="shared" si="0"/>
        <v>1</v>
      </c>
      <c r="R79" s="21">
        <f t="shared" si="0"/>
        <v>1</v>
      </c>
      <c r="S79" s="21">
        <f t="shared" si="1"/>
        <v>1</v>
      </c>
    </row>
    <row r="80" spans="2:19" x14ac:dyDescent="0.25">
      <c r="B80" s="156"/>
      <c r="C80" s="127"/>
      <c r="D80" s="168"/>
      <c r="E80" s="128"/>
      <c r="F80" s="128"/>
      <c r="G80" s="168"/>
      <c r="H80" s="179"/>
      <c r="I80" s="129"/>
      <c r="J80" s="129"/>
      <c r="K80" s="130"/>
      <c r="Q80" s="21">
        <f t="shared" si="0"/>
        <v>1</v>
      </c>
      <c r="R80" s="21">
        <f t="shared" si="0"/>
        <v>1</v>
      </c>
      <c r="S80" s="21">
        <f t="shared" si="1"/>
        <v>1</v>
      </c>
    </row>
    <row r="81" spans="2:19" x14ac:dyDescent="0.25">
      <c r="B81" s="156"/>
      <c r="C81" s="127"/>
      <c r="D81" s="168"/>
      <c r="E81" s="128"/>
      <c r="F81" s="128"/>
      <c r="G81" s="168"/>
      <c r="H81" s="179"/>
      <c r="I81" s="129"/>
      <c r="J81" s="129"/>
      <c r="K81" s="130"/>
      <c r="Q81" s="21">
        <f t="shared" si="0"/>
        <v>1</v>
      </c>
      <c r="R81" s="21">
        <f t="shared" si="0"/>
        <v>1</v>
      </c>
      <c r="S81" s="21">
        <f t="shared" si="1"/>
        <v>1</v>
      </c>
    </row>
    <row r="82" spans="2:19" x14ac:dyDescent="0.25">
      <c r="B82" s="156"/>
      <c r="C82" s="127"/>
      <c r="D82" s="168"/>
      <c r="E82" s="128"/>
      <c r="F82" s="128"/>
      <c r="G82" s="168"/>
      <c r="H82" s="179"/>
      <c r="I82" s="129"/>
      <c r="J82" s="129"/>
      <c r="K82" s="130"/>
      <c r="Q82" s="21">
        <f t="shared" si="0"/>
        <v>1</v>
      </c>
      <c r="R82" s="21">
        <f t="shared" si="0"/>
        <v>1</v>
      </c>
      <c r="S82" s="21">
        <f t="shared" si="1"/>
        <v>1</v>
      </c>
    </row>
    <row r="83" spans="2:19" x14ac:dyDescent="0.25">
      <c r="B83" s="156"/>
      <c r="C83" s="127"/>
      <c r="D83" s="168"/>
      <c r="E83" s="128"/>
      <c r="F83" s="128"/>
      <c r="G83" s="168"/>
      <c r="H83" s="179"/>
      <c r="I83" s="129"/>
      <c r="J83" s="129"/>
      <c r="K83" s="130"/>
      <c r="Q83" s="21">
        <f t="shared" si="0"/>
        <v>1</v>
      </c>
      <c r="R83" s="21">
        <f t="shared" si="0"/>
        <v>1</v>
      </c>
      <c r="S83" s="21">
        <f t="shared" si="1"/>
        <v>1</v>
      </c>
    </row>
    <row r="84" spans="2:19" x14ac:dyDescent="0.25">
      <c r="B84" s="156"/>
      <c r="C84" s="127"/>
      <c r="D84" s="168"/>
      <c r="E84" s="128"/>
      <c r="F84" s="128"/>
      <c r="G84" s="168"/>
      <c r="H84" s="179"/>
      <c r="I84" s="129"/>
      <c r="J84" s="129"/>
      <c r="K84" s="130"/>
      <c r="Q84" s="21">
        <f t="shared" si="0"/>
        <v>1</v>
      </c>
      <c r="R84" s="21">
        <f t="shared" si="0"/>
        <v>1</v>
      </c>
      <c r="S84" s="21">
        <f t="shared" si="1"/>
        <v>1</v>
      </c>
    </row>
    <row r="85" spans="2:19" x14ac:dyDescent="0.25">
      <c r="B85" s="156"/>
      <c r="C85" s="127"/>
      <c r="D85" s="168"/>
      <c r="E85" s="128"/>
      <c r="F85" s="128"/>
      <c r="G85" s="168"/>
      <c r="H85" s="179"/>
      <c r="I85" s="129"/>
      <c r="J85" s="129"/>
      <c r="K85" s="130"/>
      <c r="Q85" s="21">
        <f t="shared" si="0"/>
        <v>1</v>
      </c>
      <c r="R85" s="21">
        <f t="shared" si="0"/>
        <v>1</v>
      </c>
      <c r="S85" s="21">
        <f t="shared" si="1"/>
        <v>1</v>
      </c>
    </row>
    <row r="86" spans="2:19" x14ac:dyDescent="0.25">
      <c r="B86" s="156"/>
      <c r="C86" s="127"/>
      <c r="D86" s="168"/>
      <c r="E86" s="128"/>
      <c r="F86" s="128"/>
      <c r="G86" s="168"/>
      <c r="H86" s="179"/>
      <c r="I86" s="129"/>
      <c r="J86" s="129"/>
      <c r="K86" s="130"/>
      <c r="Q86" s="21">
        <f t="shared" ref="Q86:R120" si="2">IFERROR(IF(E86*1&gt;=0,1,0),0)</f>
        <v>1</v>
      </c>
      <c r="R86" s="21">
        <f t="shared" si="2"/>
        <v>1</v>
      </c>
      <c r="S86" s="21">
        <f t="shared" ref="S86:S120" si="3">IF($C86="",1,IFERROR(IF(SUM(P86:Q86)=COUNT(P86:Q86),1,0),0))</f>
        <v>1</v>
      </c>
    </row>
    <row r="87" spans="2:19" x14ac:dyDescent="0.25">
      <c r="B87" s="156"/>
      <c r="C87" s="127"/>
      <c r="D87" s="168"/>
      <c r="E87" s="128"/>
      <c r="F87" s="128"/>
      <c r="G87" s="168"/>
      <c r="H87" s="179"/>
      <c r="I87" s="129"/>
      <c r="J87" s="129"/>
      <c r="K87" s="130"/>
      <c r="Q87" s="21">
        <f t="shared" si="2"/>
        <v>1</v>
      </c>
      <c r="R87" s="21">
        <f t="shared" si="2"/>
        <v>1</v>
      </c>
      <c r="S87" s="21">
        <f t="shared" si="3"/>
        <v>1</v>
      </c>
    </row>
    <row r="88" spans="2:19" x14ac:dyDescent="0.25">
      <c r="B88" s="156"/>
      <c r="C88" s="127"/>
      <c r="D88" s="168"/>
      <c r="E88" s="128"/>
      <c r="F88" s="128"/>
      <c r="G88" s="168"/>
      <c r="H88" s="179"/>
      <c r="I88" s="129"/>
      <c r="J88" s="129"/>
      <c r="K88" s="130"/>
      <c r="Q88" s="21">
        <f t="shared" si="2"/>
        <v>1</v>
      </c>
      <c r="R88" s="21">
        <f t="shared" si="2"/>
        <v>1</v>
      </c>
      <c r="S88" s="21">
        <f t="shared" si="3"/>
        <v>1</v>
      </c>
    </row>
    <row r="89" spans="2:19" x14ac:dyDescent="0.25">
      <c r="B89" s="156"/>
      <c r="C89" s="127"/>
      <c r="D89" s="168"/>
      <c r="E89" s="128"/>
      <c r="F89" s="128"/>
      <c r="G89" s="168"/>
      <c r="H89" s="179"/>
      <c r="I89" s="129"/>
      <c r="J89" s="129"/>
      <c r="K89" s="130"/>
      <c r="Q89" s="21">
        <f t="shared" si="2"/>
        <v>1</v>
      </c>
      <c r="R89" s="21">
        <f t="shared" si="2"/>
        <v>1</v>
      </c>
      <c r="S89" s="21">
        <f t="shared" si="3"/>
        <v>1</v>
      </c>
    </row>
    <row r="90" spans="2:19" x14ac:dyDescent="0.25">
      <c r="B90" s="156"/>
      <c r="C90" s="127"/>
      <c r="D90" s="168"/>
      <c r="E90" s="128"/>
      <c r="F90" s="128"/>
      <c r="G90" s="168"/>
      <c r="H90" s="179"/>
      <c r="I90" s="129"/>
      <c r="J90" s="129"/>
      <c r="K90" s="130"/>
      <c r="Q90" s="21">
        <f t="shared" si="2"/>
        <v>1</v>
      </c>
      <c r="R90" s="21">
        <f t="shared" si="2"/>
        <v>1</v>
      </c>
      <c r="S90" s="21">
        <f t="shared" si="3"/>
        <v>1</v>
      </c>
    </row>
    <row r="91" spans="2:19" x14ac:dyDescent="0.25">
      <c r="B91" s="156"/>
      <c r="C91" s="127"/>
      <c r="D91" s="168"/>
      <c r="E91" s="128"/>
      <c r="F91" s="128"/>
      <c r="G91" s="168"/>
      <c r="H91" s="179"/>
      <c r="I91" s="129"/>
      <c r="J91" s="129"/>
      <c r="K91" s="130"/>
      <c r="Q91" s="21">
        <f t="shared" si="2"/>
        <v>1</v>
      </c>
      <c r="R91" s="21">
        <f t="shared" si="2"/>
        <v>1</v>
      </c>
      <c r="S91" s="21">
        <f t="shared" si="3"/>
        <v>1</v>
      </c>
    </row>
    <row r="92" spans="2:19" x14ac:dyDescent="0.25">
      <c r="B92" s="156"/>
      <c r="C92" s="127"/>
      <c r="D92" s="168"/>
      <c r="E92" s="128"/>
      <c r="F92" s="128"/>
      <c r="G92" s="168"/>
      <c r="H92" s="179"/>
      <c r="I92" s="129"/>
      <c r="J92" s="129"/>
      <c r="K92" s="130"/>
      <c r="Q92" s="21">
        <f t="shared" si="2"/>
        <v>1</v>
      </c>
      <c r="R92" s="21">
        <f t="shared" si="2"/>
        <v>1</v>
      </c>
      <c r="S92" s="21">
        <f t="shared" si="3"/>
        <v>1</v>
      </c>
    </row>
    <row r="93" spans="2:19" x14ac:dyDescent="0.25">
      <c r="B93" s="156"/>
      <c r="C93" s="127"/>
      <c r="D93" s="168"/>
      <c r="E93" s="128"/>
      <c r="F93" s="128"/>
      <c r="G93" s="168"/>
      <c r="H93" s="179"/>
      <c r="I93" s="129"/>
      <c r="J93" s="129"/>
      <c r="K93" s="130"/>
      <c r="Q93" s="21">
        <f t="shared" si="2"/>
        <v>1</v>
      </c>
      <c r="R93" s="21">
        <f t="shared" si="2"/>
        <v>1</v>
      </c>
      <c r="S93" s="21">
        <f t="shared" si="3"/>
        <v>1</v>
      </c>
    </row>
    <row r="94" spans="2:19" x14ac:dyDescent="0.25">
      <c r="B94" s="156"/>
      <c r="C94" s="127"/>
      <c r="D94" s="168"/>
      <c r="E94" s="128"/>
      <c r="F94" s="128"/>
      <c r="G94" s="168"/>
      <c r="H94" s="179"/>
      <c r="I94" s="129"/>
      <c r="J94" s="129"/>
      <c r="K94" s="130"/>
      <c r="Q94" s="21">
        <f t="shared" si="2"/>
        <v>1</v>
      </c>
      <c r="R94" s="21">
        <f t="shared" si="2"/>
        <v>1</v>
      </c>
      <c r="S94" s="21">
        <f t="shared" si="3"/>
        <v>1</v>
      </c>
    </row>
    <row r="95" spans="2:19" x14ac:dyDescent="0.25">
      <c r="B95" s="156"/>
      <c r="C95" s="127"/>
      <c r="D95" s="168"/>
      <c r="E95" s="128"/>
      <c r="F95" s="128"/>
      <c r="G95" s="168"/>
      <c r="H95" s="179"/>
      <c r="I95" s="129"/>
      <c r="J95" s="129"/>
      <c r="K95" s="130"/>
      <c r="Q95" s="21">
        <f t="shared" si="2"/>
        <v>1</v>
      </c>
      <c r="R95" s="21">
        <f t="shared" si="2"/>
        <v>1</v>
      </c>
      <c r="S95" s="21">
        <f t="shared" si="3"/>
        <v>1</v>
      </c>
    </row>
    <row r="96" spans="2:19" x14ac:dyDescent="0.25">
      <c r="B96" s="156"/>
      <c r="C96" s="127"/>
      <c r="D96" s="168"/>
      <c r="E96" s="128"/>
      <c r="F96" s="128"/>
      <c r="G96" s="168"/>
      <c r="H96" s="179"/>
      <c r="I96" s="129"/>
      <c r="J96" s="129"/>
      <c r="K96" s="130"/>
      <c r="Q96" s="21">
        <f t="shared" si="2"/>
        <v>1</v>
      </c>
      <c r="R96" s="21">
        <f t="shared" si="2"/>
        <v>1</v>
      </c>
      <c r="S96" s="21">
        <f t="shared" si="3"/>
        <v>1</v>
      </c>
    </row>
    <row r="97" spans="2:19" x14ac:dyDescent="0.25">
      <c r="B97" s="156"/>
      <c r="C97" s="127"/>
      <c r="D97" s="168"/>
      <c r="E97" s="128"/>
      <c r="F97" s="128"/>
      <c r="G97" s="168"/>
      <c r="H97" s="179"/>
      <c r="I97" s="129"/>
      <c r="J97" s="129"/>
      <c r="K97" s="130"/>
      <c r="Q97" s="21">
        <f t="shared" si="2"/>
        <v>1</v>
      </c>
      <c r="R97" s="21">
        <f t="shared" si="2"/>
        <v>1</v>
      </c>
      <c r="S97" s="21">
        <f t="shared" si="3"/>
        <v>1</v>
      </c>
    </row>
    <row r="98" spans="2:19" x14ac:dyDescent="0.25">
      <c r="B98" s="156"/>
      <c r="C98" s="127"/>
      <c r="D98" s="168"/>
      <c r="E98" s="128"/>
      <c r="F98" s="128"/>
      <c r="G98" s="168"/>
      <c r="H98" s="179"/>
      <c r="I98" s="129"/>
      <c r="J98" s="129"/>
      <c r="K98" s="130"/>
      <c r="Q98" s="21">
        <f t="shared" si="2"/>
        <v>1</v>
      </c>
      <c r="R98" s="21">
        <f t="shared" si="2"/>
        <v>1</v>
      </c>
      <c r="S98" s="21">
        <f t="shared" si="3"/>
        <v>1</v>
      </c>
    </row>
    <row r="99" spans="2:19" x14ac:dyDescent="0.25">
      <c r="B99" s="156"/>
      <c r="C99" s="127"/>
      <c r="D99" s="168"/>
      <c r="E99" s="128"/>
      <c r="F99" s="128"/>
      <c r="G99" s="168"/>
      <c r="H99" s="179"/>
      <c r="I99" s="129"/>
      <c r="J99" s="129"/>
      <c r="K99" s="130"/>
      <c r="Q99" s="21">
        <f t="shared" si="2"/>
        <v>1</v>
      </c>
      <c r="R99" s="21">
        <f t="shared" si="2"/>
        <v>1</v>
      </c>
      <c r="S99" s="21">
        <f t="shared" si="3"/>
        <v>1</v>
      </c>
    </row>
    <row r="100" spans="2:19" x14ac:dyDescent="0.25">
      <c r="B100" s="156"/>
      <c r="C100" s="127"/>
      <c r="D100" s="168"/>
      <c r="E100" s="128"/>
      <c r="F100" s="128"/>
      <c r="G100" s="168"/>
      <c r="H100" s="179"/>
      <c r="I100" s="129"/>
      <c r="J100" s="129"/>
      <c r="K100" s="130"/>
      <c r="Q100" s="21">
        <f t="shared" si="2"/>
        <v>1</v>
      </c>
      <c r="R100" s="21">
        <f t="shared" si="2"/>
        <v>1</v>
      </c>
      <c r="S100" s="21">
        <f t="shared" si="3"/>
        <v>1</v>
      </c>
    </row>
    <row r="101" spans="2:19" x14ac:dyDescent="0.25">
      <c r="B101" s="156"/>
      <c r="C101" s="127"/>
      <c r="D101" s="168"/>
      <c r="E101" s="128"/>
      <c r="F101" s="128"/>
      <c r="G101" s="168"/>
      <c r="H101" s="179"/>
      <c r="I101" s="129"/>
      <c r="J101" s="129"/>
      <c r="K101" s="130"/>
      <c r="Q101" s="21">
        <f t="shared" si="2"/>
        <v>1</v>
      </c>
      <c r="R101" s="21">
        <f t="shared" si="2"/>
        <v>1</v>
      </c>
      <c r="S101" s="21">
        <f t="shared" si="3"/>
        <v>1</v>
      </c>
    </row>
    <row r="102" spans="2:19" x14ac:dyDescent="0.25">
      <c r="B102" s="156"/>
      <c r="C102" s="127"/>
      <c r="D102" s="168"/>
      <c r="E102" s="128"/>
      <c r="F102" s="128"/>
      <c r="G102" s="168"/>
      <c r="H102" s="179"/>
      <c r="I102" s="129"/>
      <c r="J102" s="129"/>
      <c r="K102" s="130"/>
      <c r="Q102" s="21">
        <f t="shared" si="2"/>
        <v>1</v>
      </c>
      <c r="R102" s="21">
        <f t="shared" si="2"/>
        <v>1</v>
      </c>
      <c r="S102" s="21">
        <f t="shared" si="3"/>
        <v>1</v>
      </c>
    </row>
    <row r="103" spans="2:19" x14ac:dyDescent="0.25">
      <c r="B103" s="156"/>
      <c r="C103" s="127"/>
      <c r="D103" s="168"/>
      <c r="E103" s="128"/>
      <c r="F103" s="128"/>
      <c r="G103" s="168"/>
      <c r="H103" s="179"/>
      <c r="I103" s="129"/>
      <c r="J103" s="129"/>
      <c r="K103" s="130"/>
      <c r="Q103" s="21">
        <f t="shared" si="2"/>
        <v>1</v>
      </c>
      <c r="R103" s="21">
        <f t="shared" si="2"/>
        <v>1</v>
      </c>
      <c r="S103" s="21">
        <f t="shared" si="3"/>
        <v>1</v>
      </c>
    </row>
    <row r="104" spans="2:19" x14ac:dyDescent="0.25">
      <c r="B104" s="156"/>
      <c r="C104" s="127"/>
      <c r="D104" s="168"/>
      <c r="E104" s="128"/>
      <c r="F104" s="128"/>
      <c r="G104" s="168"/>
      <c r="H104" s="179"/>
      <c r="I104" s="129"/>
      <c r="J104" s="129"/>
      <c r="K104" s="130"/>
      <c r="Q104" s="21">
        <f t="shared" si="2"/>
        <v>1</v>
      </c>
      <c r="R104" s="21">
        <f t="shared" si="2"/>
        <v>1</v>
      </c>
      <c r="S104" s="21">
        <f t="shared" si="3"/>
        <v>1</v>
      </c>
    </row>
    <row r="105" spans="2:19" x14ac:dyDescent="0.25">
      <c r="B105" s="156"/>
      <c r="C105" s="127"/>
      <c r="D105" s="168"/>
      <c r="E105" s="128"/>
      <c r="F105" s="128"/>
      <c r="G105" s="168"/>
      <c r="H105" s="179"/>
      <c r="I105" s="129"/>
      <c r="J105" s="129"/>
      <c r="K105" s="130"/>
      <c r="Q105" s="21">
        <f t="shared" si="2"/>
        <v>1</v>
      </c>
      <c r="R105" s="21">
        <f t="shared" si="2"/>
        <v>1</v>
      </c>
      <c r="S105" s="21">
        <f t="shared" si="3"/>
        <v>1</v>
      </c>
    </row>
    <row r="106" spans="2:19" x14ac:dyDescent="0.25">
      <c r="B106" s="156"/>
      <c r="C106" s="127"/>
      <c r="D106" s="168"/>
      <c r="E106" s="128"/>
      <c r="F106" s="128"/>
      <c r="G106" s="168"/>
      <c r="H106" s="179"/>
      <c r="I106" s="129"/>
      <c r="J106" s="129"/>
      <c r="K106" s="130"/>
      <c r="Q106" s="21">
        <f t="shared" si="2"/>
        <v>1</v>
      </c>
      <c r="R106" s="21">
        <f t="shared" si="2"/>
        <v>1</v>
      </c>
      <c r="S106" s="21">
        <f t="shared" si="3"/>
        <v>1</v>
      </c>
    </row>
    <row r="107" spans="2:19" x14ac:dyDescent="0.25">
      <c r="B107" s="156"/>
      <c r="C107" s="127"/>
      <c r="D107" s="168"/>
      <c r="E107" s="128"/>
      <c r="F107" s="128"/>
      <c r="G107" s="168"/>
      <c r="H107" s="179"/>
      <c r="I107" s="129"/>
      <c r="J107" s="129"/>
      <c r="K107" s="130"/>
      <c r="Q107" s="21">
        <f t="shared" si="2"/>
        <v>1</v>
      </c>
      <c r="R107" s="21">
        <f t="shared" si="2"/>
        <v>1</v>
      </c>
      <c r="S107" s="21">
        <f t="shared" si="3"/>
        <v>1</v>
      </c>
    </row>
    <row r="108" spans="2:19" x14ac:dyDescent="0.25">
      <c r="B108" s="156"/>
      <c r="C108" s="127"/>
      <c r="D108" s="168"/>
      <c r="E108" s="128"/>
      <c r="F108" s="128"/>
      <c r="G108" s="168"/>
      <c r="H108" s="179"/>
      <c r="I108" s="129"/>
      <c r="J108" s="129"/>
      <c r="K108" s="130"/>
      <c r="Q108" s="21">
        <f t="shared" si="2"/>
        <v>1</v>
      </c>
      <c r="R108" s="21">
        <f t="shared" si="2"/>
        <v>1</v>
      </c>
      <c r="S108" s="21">
        <f t="shared" si="3"/>
        <v>1</v>
      </c>
    </row>
    <row r="109" spans="2:19" x14ac:dyDescent="0.25">
      <c r="B109" s="156"/>
      <c r="C109" s="127"/>
      <c r="D109" s="168"/>
      <c r="E109" s="128"/>
      <c r="F109" s="128"/>
      <c r="G109" s="168"/>
      <c r="H109" s="179"/>
      <c r="I109" s="129"/>
      <c r="J109" s="129"/>
      <c r="K109" s="130"/>
      <c r="Q109" s="21">
        <f t="shared" si="2"/>
        <v>1</v>
      </c>
      <c r="R109" s="21">
        <f t="shared" si="2"/>
        <v>1</v>
      </c>
      <c r="S109" s="21">
        <f t="shared" si="3"/>
        <v>1</v>
      </c>
    </row>
    <row r="110" spans="2:19" x14ac:dyDescent="0.25">
      <c r="B110" s="156"/>
      <c r="C110" s="127"/>
      <c r="D110" s="168"/>
      <c r="E110" s="128"/>
      <c r="F110" s="128"/>
      <c r="G110" s="168"/>
      <c r="H110" s="179"/>
      <c r="I110" s="129"/>
      <c r="J110" s="129"/>
      <c r="K110" s="130"/>
      <c r="Q110" s="21">
        <f t="shared" si="2"/>
        <v>1</v>
      </c>
      <c r="R110" s="21">
        <f t="shared" si="2"/>
        <v>1</v>
      </c>
      <c r="S110" s="21">
        <f t="shared" si="3"/>
        <v>1</v>
      </c>
    </row>
    <row r="111" spans="2:19" x14ac:dyDescent="0.25">
      <c r="B111" s="156"/>
      <c r="C111" s="127"/>
      <c r="D111" s="168"/>
      <c r="E111" s="128"/>
      <c r="F111" s="128"/>
      <c r="G111" s="168"/>
      <c r="H111" s="179"/>
      <c r="I111" s="129"/>
      <c r="J111" s="129"/>
      <c r="K111" s="130"/>
      <c r="Q111" s="21">
        <f t="shared" si="2"/>
        <v>1</v>
      </c>
      <c r="R111" s="21">
        <f t="shared" si="2"/>
        <v>1</v>
      </c>
      <c r="S111" s="21">
        <f t="shared" si="3"/>
        <v>1</v>
      </c>
    </row>
    <row r="112" spans="2:19" x14ac:dyDescent="0.25">
      <c r="B112" s="156"/>
      <c r="C112" s="127"/>
      <c r="D112" s="168"/>
      <c r="E112" s="128"/>
      <c r="F112" s="128"/>
      <c r="G112" s="168"/>
      <c r="H112" s="179"/>
      <c r="I112" s="129"/>
      <c r="J112" s="129"/>
      <c r="K112" s="130"/>
      <c r="Q112" s="21">
        <f t="shared" si="2"/>
        <v>1</v>
      </c>
      <c r="R112" s="21">
        <f t="shared" si="2"/>
        <v>1</v>
      </c>
      <c r="S112" s="21">
        <f t="shared" si="3"/>
        <v>1</v>
      </c>
    </row>
    <row r="113" spans="2:19" x14ac:dyDescent="0.25">
      <c r="B113" s="156"/>
      <c r="C113" s="127"/>
      <c r="D113" s="168"/>
      <c r="E113" s="128"/>
      <c r="F113" s="128"/>
      <c r="G113" s="168"/>
      <c r="H113" s="179"/>
      <c r="I113" s="129"/>
      <c r="J113" s="129"/>
      <c r="K113" s="130"/>
      <c r="Q113" s="21">
        <f t="shared" si="2"/>
        <v>1</v>
      </c>
      <c r="R113" s="21">
        <f t="shared" si="2"/>
        <v>1</v>
      </c>
      <c r="S113" s="21">
        <f t="shared" si="3"/>
        <v>1</v>
      </c>
    </row>
    <row r="114" spans="2:19" x14ac:dyDescent="0.25">
      <c r="B114" s="156"/>
      <c r="C114" s="127"/>
      <c r="D114" s="168"/>
      <c r="E114" s="128"/>
      <c r="F114" s="128"/>
      <c r="G114" s="168"/>
      <c r="H114" s="179"/>
      <c r="I114" s="129"/>
      <c r="J114" s="129"/>
      <c r="K114" s="130"/>
      <c r="Q114" s="21">
        <f t="shared" si="2"/>
        <v>1</v>
      </c>
      <c r="R114" s="21">
        <f t="shared" si="2"/>
        <v>1</v>
      </c>
      <c r="S114" s="21">
        <f t="shared" si="3"/>
        <v>1</v>
      </c>
    </row>
    <row r="115" spans="2:19" x14ac:dyDescent="0.25">
      <c r="B115" s="156"/>
      <c r="C115" s="127"/>
      <c r="D115" s="168"/>
      <c r="E115" s="128"/>
      <c r="F115" s="128"/>
      <c r="G115" s="168"/>
      <c r="H115" s="179"/>
      <c r="I115" s="129"/>
      <c r="J115" s="129"/>
      <c r="K115" s="130"/>
      <c r="Q115" s="21">
        <f t="shared" si="2"/>
        <v>1</v>
      </c>
      <c r="R115" s="21">
        <f t="shared" si="2"/>
        <v>1</v>
      </c>
      <c r="S115" s="21">
        <f t="shared" si="3"/>
        <v>1</v>
      </c>
    </row>
    <row r="116" spans="2:19" x14ac:dyDescent="0.25">
      <c r="B116" s="156"/>
      <c r="C116" s="127"/>
      <c r="D116" s="168"/>
      <c r="E116" s="128"/>
      <c r="F116" s="128"/>
      <c r="G116" s="168"/>
      <c r="H116" s="179"/>
      <c r="I116" s="129"/>
      <c r="J116" s="129"/>
      <c r="K116" s="130"/>
      <c r="Q116" s="21">
        <f t="shared" si="2"/>
        <v>1</v>
      </c>
      <c r="R116" s="21">
        <f t="shared" si="2"/>
        <v>1</v>
      </c>
      <c r="S116" s="21">
        <f t="shared" si="3"/>
        <v>1</v>
      </c>
    </row>
    <row r="117" spans="2:19" x14ac:dyDescent="0.25">
      <c r="B117" s="156"/>
      <c r="C117" s="127"/>
      <c r="D117" s="168"/>
      <c r="E117" s="128"/>
      <c r="F117" s="128"/>
      <c r="G117" s="168"/>
      <c r="H117" s="179"/>
      <c r="I117" s="129"/>
      <c r="J117" s="129"/>
      <c r="K117" s="130"/>
      <c r="Q117" s="21">
        <f t="shared" si="2"/>
        <v>1</v>
      </c>
      <c r="R117" s="21">
        <f t="shared" si="2"/>
        <v>1</v>
      </c>
      <c r="S117" s="21">
        <f t="shared" si="3"/>
        <v>1</v>
      </c>
    </row>
    <row r="118" spans="2:19" x14ac:dyDescent="0.25">
      <c r="B118" s="156"/>
      <c r="C118" s="127"/>
      <c r="D118" s="168"/>
      <c r="E118" s="128"/>
      <c r="F118" s="128"/>
      <c r="G118" s="168"/>
      <c r="H118" s="179"/>
      <c r="I118" s="129"/>
      <c r="J118" s="129"/>
      <c r="K118" s="130"/>
      <c r="Q118" s="21">
        <f t="shared" si="2"/>
        <v>1</v>
      </c>
      <c r="R118" s="21">
        <f t="shared" si="2"/>
        <v>1</v>
      </c>
      <c r="S118" s="21">
        <f t="shared" si="3"/>
        <v>1</v>
      </c>
    </row>
    <row r="119" spans="2:19" x14ac:dyDescent="0.25">
      <c r="B119" s="156"/>
      <c r="C119" s="127"/>
      <c r="D119" s="168"/>
      <c r="E119" s="128"/>
      <c r="F119" s="128"/>
      <c r="G119" s="168"/>
      <c r="H119" s="179"/>
      <c r="I119" s="129"/>
      <c r="J119" s="129"/>
      <c r="K119" s="130"/>
      <c r="Q119" s="21">
        <f t="shared" si="2"/>
        <v>1</v>
      </c>
      <c r="R119" s="21">
        <f t="shared" si="2"/>
        <v>1</v>
      </c>
      <c r="S119" s="21">
        <f t="shared" si="3"/>
        <v>1</v>
      </c>
    </row>
    <row r="120" spans="2:19" x14ac:dyDescent="0.25">
      <c r="B120" s="156"/>
      <c r="C120" s="127"/>
      <c r="D120" s="168"/>
      <c r="E120" s="128"/>
      <c r="F120" s="128"/>
      <c r="G120" s="168"/>
      <c r="H120" s="179"/>
      <c r="I120" s="129"/>
      <c r="J120" s="129"/>
      <c r="K120" s="130"/>
      <c r="Q120" s="21">
        <f t="shared" si="2"/>
        <v>1</v>
      </c>
      <c r="R120" s="21">
        <f t="shared" si="2"/>
        <v>1</v>
      </c>
      <c r="S120" s="21">
        <f t="shared" si="3"/>
        <v>1</v>
      </c>
    </row>
  </sheetData>
  <sheetProtection algorithmName="SHA-512" hashValue="7G+lKiCw9xoyTmDWVgkDeWrtDM6qXanxvnIgKuq6LEzjDiOaOBHX0E1X+ZUwGmLqfY7dWynTRkNkZZJQM8KxZw==" saltValue="OXehMUFGCK7WVT8ihMX8uA==" spinCount="100000" sheet="1" scenarios="1" formatColumns="0" formatRows="0" autoFilter="0"/>
  <mergeCells count="11">
    <mergeCell ref="Q19:Q20"/>
    <mergeCell ref="C4:D4"/>
    <mergeCell ref="B18:K18"/>
    <mergeCell ref="B19:B20"/>
    <mergeCell ref="C19:C20"/>
    <mergeCell ref="D19:D20"/>
    <mergeCell ref="G19:G20"/>
    <mergeCell ref="H19:H20"/>
    <mergeCell ref="I19:I20"/>
    <mergeCell ref="J19:J20"/>
    <mergeCell ref="K19:K20"/>
  </mergeCells>
  <conditionalFormatting sqref="B21:D120">
    <cfRule type="containsBlanks" dxfId="37" priority="399">
      <formula>LEN(TRIM(B21))=0</formula>
    </cfRule>
  </conditionalFormatting>
  <conditionalFormatting sqref="C1:G2">
    <cfRule type="containsBlanks" dxfId="36" priority="406">
      <formula>LEN(TRIM(C1))=0</formula>
    </cfRule>
  </conditionalFormatting>
  <conditionalFormatting sqref="E3:F6">
    <cfRule type="containsBlanks" dxfId="35" priority="408">
      <formula>LEN(TRIM(E3))=0</formula>
    </cfRule>
  </conditionalFormatting>
  <conditionalFormatting sqref="E21:F120">
    <cfRule type="expression" dxfId="34" priority="1">
      <formula>AND($C21="",E21&lt;&gt;"")</formula>
    </cfRule>
    <cfRule type="expression" dxfId="33" priority="2">
      <formula>$C21=""</formula>
    </cfRule>
    <cfRule type="expression" dxfId="32" priority="3">
      <formula>$C21&lt;&gt;""</formula>
    </cfRule>
  </conditionalFormatting>
  <conditionalFormatting sqref="G21:K120">
    <cfRule type="containsBlanks" dxfId="31" priority="392">
      <formula>LEN(TRIM(G21))=0</formula>
    </cfRule>
  </conditionalFormatting>
  <conditionalFormatting sqref="I21:K120">
    <cfRule type="expression" dxfId="30" priority="391">
      <formula>I21=$S$1</formula>
    </cfRule>
  </conditionalFormatting>
  <dataValidations count="1">
    <dataValidation type="decimal" operator="greaterThanOrEqual" allowBlank="1" showInputMessage="1" showErrorMessage="1" errorTitle="טעות בהזנה" error="יש להזין מספר שאינו שלילי" sqref="E21:F120" xr:uid="{00000000-0002-0000-1100-000000000000}">
      <formula1>0</formula1>
    </dataValidation>
  </dataValidations>
  <printOptions horizontalCentered="1"/>
  <pageMargins left="0.27559055118110237" right="0.19685039370078741" top="0.62992125984251968" bottom="0.47244094488188981" header="0.31496062992125984" footer="0.23622047244094491"/>
  <pageSetup paperSize="9" scale="40" orientation="portrait" horizontalDpi="1200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0">
    <tabColor theme="4" tint="-0.249977111117893"/>
    <pageSetUpPr fitToPage="1"/>
  </sheetPr>
  <dimension ref="A1:U133"/>
  <sheetViews>
    <sheetView rightToLeft="1" view="pageBreakPreview" zoomScaleNormal="100" zoomScaleSheetLayoutView="100" workbookViewId="0"/>
  </sheetViews>
  <sheetFormatPr defaultColWidth="9.140625" defaultRowHeight="12.75" x14ac:dyDescent="0.2"/>
  <cols>
    <col min="1" max="1" width="4" style="18" customWidth="1"/>
    <col min="2" max="2" width="8.42578125" style="18" bestFit="1" customWidth="1"/>
    <col min="3" max="3" width="29.85546875" style="18" customWidth="1"/>
    <col min="4" max="4" width="16.7109375" style="18" customWidth="1"/>
    <col min="5" max="5" width="17.42578125" style="18" customWidth="1"/>
    <col min="6" max="6" width="21.7109375" style="18" customWidth="1"/>
    <col min="7" max="7" width="17" style="183" customWidth="1"/>
    <col min="8" max="8" width="21.7109375" style="18" customWidth="1"/>
    <col min="9" max="9" width="22.42578125" style="18" customWidth="1"/>
    <col min="10" max="10" width="18.140625" style="18" customWidth="1"/>
    <col min="11" max="11" width="16" style="18" customWidth="1"/>
    <col min="12" max="20" width="9.140625" style="18"/>
    <col min="21" max="21" width="0" style="18" hidden="1" customWidth="1"/>
    <col min="22" max="16384" width="9.140625" style="18"/>
  </cols>
  <sheetData>
    <row r="1" spans="2:21" ht="18.75" x14ac:dyDescent="0.3">
      <c r="B1" s="17"/>
      <c r="D1" s="100" t="str">
        <f>'פרמטרים לעקרונות חישוב התמיכה'!$B$1</f>
        <v>שנה</v>
      </c>
      <c r="E1" s="13">
        <f>'פרמטרים לעקרונות חישוב התמיכה'!$C$1</f>
        <v>2025</v>
      </c>
      <c r="F1" s="887"/>
      <c r="G1" s="887"/>
      <c r="H1" s="887"/>
      <c r="I1" s="887"/>
      <c r="U1" s="18" t="s">
        <v>249</v>
      </c>
    </row>
    <row r="2" spans="2:21" ht="19.5" thickBot="1" x14ac:dyDescent="0.35">
      <c r="B2" s="17"/>
      <c r="D2" s="101" t="str">
        <f>'פרמטרים לעקרונות חישוב התמיכה'!$B$2</f>
        <v>תקציב התמיכה</v>
      </c>
      <c r="E2" s="14">
        <f>'פרמטרים לעקרונות חישוב התמיכה'!$C$2</f>
        <v>8082764</v>
      </c>
      <c r="F2" s="887"/>
      <c r="G2" s="887"/>
      <c r="H2" s="887"/>
      <c r="I2" s="887"/>
    </row>
    <row r="3" spans="2:21" x14ac:dyDescent="0.2">
      <c r="G3" s="18"/>
    </row>
    <row r="4" spans="2:21" ht="14.25" hidden="1" customHeight="1" x14ac:dyDescent="0.2">
      <c r="G4" s="18"/>
    </row>
    <row r="5" spans="2:21" ht="14.25" hidden="1" customHeight="1" x14ac:dyDescent="0.2">
      <c r="G5" s="18"/>
    </row>
    <row r="6" spans="2:21" ht="14.25" hidden="1" customHeight="1" x14ac:dyDescent="0.2">
      <c r="G6" s="18"/>
    </row>
    <row r="7" spans="2:21" ht="14.25" hidden="1" customHeight="1" x14ac:dyDescent="0.2">
      <c r="G7" s="18"/>
    </row>
    <row r="8" spans="2:21" ht="14.25" hidden="1" customHeight="1" x14ac:dyDescent="0.2">
      <c r="G8" s="18"/>
    </row>
    <row r="9" spans="2:21" ht="14.25" hidden="1" customHeight="1" x14ac:dyDescent="0.2">
      <c r="G9" s="18"/>
    </row>
    <row r="10" spans="2:21" ht="14.25" hidden="1" customHeight="1" x14ac:dyDescent="0.2">
      <c r="G10" s="18"/>
    </row>
    <row r="11" spans="2:21" ht="14.25" hidden="1" customHeight="1" x14ac:dyDescent="0.2">
      <c r="G11" s="18"/>
    </row>
    <row r="12" spans="2:21" ht="14.25" hidden="1" customHeight="1" x14ac:dyDescent="0.2">
      <c r="G12" s="18"/>
    </row>
    <row r="13" spans="2:21" ht="14.25" hidden="1" customHeight="1" x14ac:dyDescent="0.2">
      <c r="G13" s="18"/>
    </row>
    <row r="14" spans="2:21" ht="14.25" hidden="1" customHeight="1" x14ac:dyDescent="0.2">
      <c r="G14" s="18"/>
    </row>
    <row r="15" spans="2:21" ht="14.25" hidden="1" customHeight="1" x14ac:dyDescent="0.2">
      <c r="G15" s="18"/>
    </row>
    <row r="16" spans="2:21" hidden="1" x14ac:dyDescent="0.2">
      <c r="G16" s="18"/>
    </row>
    <row r="17" spans="1:11" x14ac:dyDescent="0.2">
      <c r="G17" s="18"/>
    </row>
    <row r="18" spans="1:11" ht="19.5" thickBot="1" x14ac:dyDescent="0.35">
      <c r="B18" s="886" t="s">
        <v>324</v>
      </c>
      <c r="C18" s="778"/>
      <c r="D18" s="778"/>
      <c r="E18" s="778"/>
      <c r="F18" s="778"/>
      <c r="G18" s="778"/>
      <c r="H18" s="778"/>
      <c r="I18" s="778"/>
      <c r="J18" s="778"/>
      <c r="K18" s="778"/>
    </row>
    <row r="19" spans="1:11" ht="39" customHeight="1" x14ac:dyDescent="0.2">
      <c r="A19" s="267"/>
      <c r="B19" s="861" t="s">
        <v>206</v>
      </c>
      <c r="C19" s="820" t="s">
        <v>225</v>
      </c>
      <c r="D19" s="820" t="s">
        <v>46</v>
      </c>
      <c r="E19" s="848" t="s">
        <v>325</v>
      </c>
      <c r="F19" s="889" t="s">
        <v>326</v>
      </c>
      <c r="G19" s="848" t="s">
        <v>327</v>
      </c>
      <c r="H19" s="848" t="s">
        <v>403</v>
      </c>
      <c r="I19" s="848" t="s">
        <v>404</v>
      </c>
      <c r="J19" s="848" t="s">
        <v>328</v>
      </c>
      <c r="K19" s="850" t="s">
        <v>329</v>
      </c>
    </row>
    <row r="20" spans="1:11" ht="41.25" customHeight="1" thickBot="1" x14ac:dyDescent="0.25">
      <c r="A20" s="268"/>
      <c r="B20" s="862"/>
      <c r="C20" s="844"/>
      <c r="D20" s="844"/>
      <c r="E20" s="849"/>
      <c r="F20" s="890"/>
      <c r="G20" s="849"/>
      <c r="H20" s="849"/>
      <c r="I20" s="849"/>
      <c r="J20" s="849"/>
      <c r="K20" s="851"/>
    </row>
    <row r="21" spans="1:11" ht="15.75" x14ac:dyDescent="0.25">
      <c r="B21" s="126">
        <f>IF(C21="","",ROW()-20)</f>
        <v>1</v>
      </c>
      <c r="C21" s="274" t="str">
        <f>הגנה!C21</f>
        <v>סילביה דוראן</v>
      </c>
      <c r="D21" s="275">
        <f>IF($C21="","",סיווג!AB21)</f>
        <v>0.33</v>
      </c>
      <c r="E21" s="276">
        <f>IF(C21="","",ייצוב!G21)</f>
        <v>3.7878017866227434E-3</v>
      </c>
      <c r="F21" s="277">
        <f>IF($C21="","",ייצוב!E21)</f>
        <v>28695</v>
      </c>
      <c r="G21" s="277">
        <f>IF($C21="","",'התחשיב הבסיסי'!O7)</f>
        <v>10488.31930910429</v>
      </c>
      <c r="H21" s="129">
        <f>הגנה!AU21</f>
        <v>2.5340262864117806E-3</v>
      </c>
      <c r="I21" s="280">
        <f>הגנה!AV21</f>
        <v>20481.936442862829</v>
      </c>
      <c r="J21" s="281">
        <f>IF($C21="","",IFERROR(I21/F21-1,""))</f>
        <v>-0.2862193259152177</v>
      </c>
      <c r="K21" s="278">
        <f>IF($C21="","",I21-F21)</f>
        <v>-8213.0635571371713</v>
      </c>
    </row>
    <row r="22" spans="1:11" ht="15.75" x14ac:dyDescent="0.25">
      <c r="B22" s="73">
        <f t="shared" ref="B22:B85" si="0">IF(C22="","",ROW()-20)</f>
        <v>2</v>
      </c>
      <c r="C22" s="274" t="str">
        <f>הגנה!C22</f>
        <v>רנה שינפלד</v>
      </c>
      <c r="D22" s="448">
        <f>IF($C22="","",סיווג!AB22)</f>
        <v>1</v>
      </c>
      <c r="E22" s="449">
        <f>IF(C22="","",ייצוב!G22)</f>
        <v>1.5735448676638814E-2</v>
      </c>
      <c r="F22" s="277">
        <f>IF($C22="","",ייצוב!E22)</f>
        <v>119206</v>
      </c>
      <c r="G22" s="277">
        <f>IF($C22="","",'התחשיב הבסיסי'!O8)</f>
        <v>80484.734667700919</v>
      </c>
      <c r="H22" s="129">
        <f>הגנה!AU22</f>
        <v>1.3586313696796153E-2</v>
      </c>
      <c r="I22" s="280">
        <f>הגנה!AV22</f>
        <v>109814.96724117086</v>
      </c>
      <c r="J22" s="281">
        <f t="shared" ref="J22:J85" si="1">IF($C22="","",IFERROR(I22/F22-1,""))</f>
        <v>-7.8779866439853241E-2</v>
      </c>
      <c r="K22" s="279">
        <f t="shared" ref="K22:K85" si="2">IF(C22="","",I22-F22)</f>
        <v>-9391.0327588291402</v>
      </c>
    </row>
    <row r="23" spans="1:11" ht="15.75" x14ac:dyDescent="0.25">
      <c r="B23" s="73">
        <f t="shared" si="0"/>
        <v>3</v>
      </c>
      <c r="C23" s="274" t="str">
        <f>הגנה!C23</f>
        <v>אבי קייזר וסרג'יו אנטוניניו</v>
      </c>
      <c r="D23" s="448">
        <f>IF($C23="","",סיווג!AB23)</f>
        <v>1</v>
      </c>
      <c r="E23" s="449">
        <f>IF(C23="","",ייצוב!G23)</f>
        <v>8.392960905978299E-3</v>
      </c>
      <c r="F23" s="277">
        <f>IF($C23="","",ייצוב!E23)</f>
        <v>63582</v>
      </c>
      <c r="G23" s="277">
        <f>IF($C23="","",'התחשיב הבסיסי'!O9)</f>
        <v>67124.18447412597</v>
      </c>
      <c r="H23" s="129">
        <f>הגנה!AU23</f>
        <v>8.2413432515307059E-3</v>
      </c>
      <c r="I23" s="280">
        <f>הגנה!AV23</f>
        <v>66612.832545115336</v>
      </c>
      <c r="J23" s="281">
        <f t="shared" si="1"/>
        <v>4.7668090735040414E-2</v>
      </c>
      <c r="K23" s="279">
        <f t="shared" si="2"/>
        <v>3030.832545115336</v>
      </c>
    </row>
    <row r="24" spans="1:11" ht="15.75" x14ac:dyDescent="0.25">
      <c r="B24" s="73" t="str">
        <f t="shared" si="0"/>
        <v/>
      </c>
      <c r="C24" s="274" t="str">
        <f>הגנה!C24</f>
        <v/>
      </c>
      <c r="D24" s="448" t="str">
        <f>IF($C24="","",סיווג!AB24)</f>
        <v/>
      </c>
      <c r="E24" s="449" t="str">
        <f>IF(C24="","",ייצוב!G24)</f>
        <v/>
      </c>
      <c r="F24" s="277" t="str">
        <f>IF($C24="","",ייצוב!E24)</f>
        <v/>
      </c>
      <c r="G24" s="277" t="str">
        <f>IF($C24="","",'התחשיב הבסיסי'!O10)</f>
        <v/>
      </c>
      <c r="H24" s="129" t="str">
        <f>הגנה!AU24</f>
        <v/>
      </c>
      <c r="I24" s="280" t="str">
        <f>הגנה!AV24</f>
        <v/>
      </c>
      <c r="J24" s="281" t="str">
        <f t="shared" si="1"/>
        <v/>
      </c>
      <c r="K24" s="279" t="str">
        <f t="shared" si="2"/>
        <v/>
      </c>
    </row>
    <row r="25" spans="1:11" ht="15.75" x14ac:dyDescent="0.25">
      <c r="B25" s="73">
        <f t="shared" si="0"/>
        <v>5</v>
      </c>
      <c r="C25" s="274" t="str">
        <f>הגנה!C25</f>
        <v>אדוה ירמיהו</v>
      </c>
      <c r="D25" s="448">
        <f>IF($C25="","",סיווג!AB25)</f>
        <v>1</v>
      </c>
      <c r="E25" s="449">
        <f>IF(C25="","",ייצוב!G25)</f>
        <v>1.1825412896135161E-2</v>
      </c>
      <c r="F25" s="277">
        <f>IF($C25="","",ייצוב!E25)</f>
        <v>89585</v>
      </c>
      <c r="G25" s="277">
        <f>IF($C25="","",'התחשיב הבסיסי'!O11)</f>
        <v>101957.01050232763</v>
      </c>
      <c r="H25" s="129">
        <f>הגנה!AU25</f>
        <v>1.2053553436885314E-2</v>
      </c>
      <c r="I25" s="280">
        <f>הגנה!AV25</f>
        <v>97426.027791732893</v>
      </c>
      <c r="J25" s="281">
        <f t="shared" si="1"/>
        <v>8.7526123700763403E-2</v>
      </c>
      <c r="K25" s="279">
        <f t="shared" si="2"/>
        <v>7841.0277917328931</v>
      </c>
    </row>
    <row r="26" spans="1:11" ht="15.75" x14ac:dyDescent="0.25">
      <c r="B26" s="73">
        <f t="shared" si="0"/>
        <v>6</v>
      </c>
      <c r="C26" s="274" t="str">
        <f>הגנה!C26</f>
        <v>אהרונה ישראל</v>
      </c>
      <c r="D26" s="448">
        <f>IF($C26="","",סיווג!AB26)</f>
        <v>1</v>
      </c>
      <c r="E26" s="449">
        <f>IF(C26="","",ייצוב!G26)</f>
        <v>8.0952960504691758E-3</v>
      </c>
      <c r="F26" s="277">
        <f>IF($C26="","",ייצוב!E26)</f>
        <v>61327</v>
      </c>
      <c r="G26" s="277">
        <f>IF($C26="","",'התחשיב הבסיסי'!O12)</f>
        <v>39847.398885343202</v>
      </c>
      <c r="H26" s="129">
        <f>הגנה!AU26</f>
        <v>6.4762368403753429E-3</v>
      </c>
      <c r="I26" s="280">
        <f>הגנה!AV26</f>
        <v>52345.893988859571</v>
      </c>
      <c r="J26" s="281">
        <f t="shared" si="1"/>
        <v>-0.14644619843038842</v>
      </c>
      <c r="K26" s="279">
        <f t="shared" si="2"/>
        <v>-8981.1060111404295</v>
      </c>
    </row>
    <row r="27" spans="1:11" ht="15.75" x14ac:dyDescent="0.25">
      <c r="B27" s="73">
        <f t="shared" si="0"/>
        <v>7</v>
      </c>
      <c r="C27" s="274" t="str">
        <f>הגנה!C27</f>
        <v>אופיר יודילביץ</v>
      </c>
      <c r="D27" s="448">
        <f>IF($C27="","",סיווג!AB27)</f>
        <v>1</v>
      </c>
      <c r="E27" s="449">
        <f>IF(C27="","",ייצוב!G27)</f>
        <v>1.5404387276365252E-2</v>
      </c>
      <c r="F27" s="277">
        <f>IF($C27="","",ייצוב!E27)</f>
        <v>116698</v>
      </c>
      <c r="G27" s="277">
        <f>IF($C27="","",'התחשיב הבסיסי'!O13)</f>
        <v>107906.05175510018</v>
      </c>
      <c r="H27" s="129">
        <f>הגנה!AU27</f>
        <v>1.4210806106740749E-2</v>
      </c>
      <c r="I27" s="280">
        <f>הגנה!AV27</f>
        <v>114862.59201054429</v>
      </c>
      <c r="J27" s="281">
        <f t="shared" si="1"/>
        <v>-1.5727844431401627E-2</v>
      </c>
      <c r="K27" s="279">
        <f t="shared" si="2"/>
        <v>-1835.4079894557071</v>
      </c>
    </row>
    <row r="28" spans="1:11" ht="15.75" x14ac:dyDescent="0.25">
      <c r="B28" s="73">
        <f t="shared" si="0"/>
        <v>8</v>
      </c>
      <c r="C28" s="274" t="str">
        <f>הגנה!C28</f>
        <v>אור מרין ואורן נחום</v>
      </c>
      <c r="D28" s="448">
        <f>IF($C28="","",סיווג!AB28)</f>
        <v>1</v>
      </c>
      <c r="E28" s="449">
        <f>IF(C28="","",ייצוב!G28)</f>
        <v>1.316563075776892E-2</v>
      </c>
      <c r="F28" s="277">
        <f>IF($C28="","",ייצוב!E28)</f>
        <v>99738</v>
      </c>
      <c r="G28" s="277">
        <f>IF($C28="","",'התחשיב הבסיסי'!O14)</f>
        <v>79433.084203877777</v>
      </c>
      <c r="H28" s="129">
        <f>הגנה!AU28</f>
        <v>1.1608827921221945E-2</v>
      </c>
      <c r="I28" s="280">
        <f>הגנה!AV28</f>
        <v>93831.416403847572</v>
      </c>
      <c r="J28" s="281">
        <f t="shared" si="1"/>
        <v>-5.9220994968341323E-2</v>
      </c>
      <c r="K28" s="279">
        <f t="shared" si="2"/>
        <v>-5906.5835961524281</v>
      </c>
    </row>
    <row r="29" spans="1:11" ht="15.75" x14ac:dyDescent="0.25">
      <c r="B29" s="73">
        <f t="shared" si="0"/>
        <v>9</v>
      </c>
      <c r="C29" s="274" t="str">
        <f>הגנה!C29</f>
        <v>אורי שפיר</v>
      </c>
      <c r="D29" s="448">
        <f>IF($C29="","",סיווג!AB29)</f>
        <v>1</v>
      </c>
      <c r="E29" s="449">
        <f>IF(C29="","",ייצוב!G29)</f>
        <v>1.0515819534048239E-2</v>
      </c>
      <c r="F29" s="277">
        <f>IF($C29="","",ייצוב!E29)</f>
        <v>79664</v>
      </c>
      <c r="G29" s="277">
        <f>IF($C29="","",'התחשיב הבסיסי'!O15)</f>
        <v>113006.64281937206</v>
      </c>
      <c r="H29" s="129">
        <f>הגנה!AU29</f>
        <v>1.2055792179625347E-2</v>
      </c>
      <c r="I29" s="280">
        <f>הגנה!AV29</f>
        <v>97444.123020957282</v>
      </c>
      <c r="J29" s="281">
        <f t="shared" si="1"/>
        <v>0.22318893127331396</v>
      </c>
      <c r="K29" s="279">
        <f t="shared" si="2"/>
        <v>17780.123020957282</v>
      </c>
    </row>
    <row r="30" spans="1:11" ht="15.75" x14ac:dyDescent="0.25">
      <c r="B30" s="73">
        <f t="shared" si="0"/>
        <v>10</v>
      </c>
      <c r="C30" s="274" t="str">
        <f>הגנה!C30</f>
        <v>אורלי פורטל</v>
      </c>
      <c r="D30" s="448">
        <f>IF($C30="","",סיווג!AB30)</f>
        <v>1</v>
      </c>
      <c r="E30" s="449">
        <f>IF(C30="","",ייצוב!G30)</f>
        <v>2.1973474431314925E-2</v>
      </c>
      <c r="F30" s="277">
        <f>IF($C30="","",ייצוב!E30)</f>
        <v>166463</v>
      </c>
      <c r="G30" s="277">
        <f>IF($C30="","",'התחשיב הבסיסי'!O16)</f>
        <v>148867.13920857164</v>
      </c>
      <c r="H30" s="129">
        <f>הגנה!AU30</f>
        <v>1.9968377854843875E-2</v>
      </c>
      <c r="I30" s="280">
        <f>הגנה!AV30</f>
        <v>161399.68566352929</v>
      </c>
      <c r="J30" s="281">
        <f t="shared" si="1"/>
        <v>-3.0417055660841741E-2</v>
      </c>
      <c r="K30" s="279">
        <f t="shared" si="2"/>
        <v>-5063.3143364707066</v>
      </c>
    </row>
    <row r="31" spans="1:11" ht="15.75" x14ac:dyDescent="0.25">
      <c r="B31" s="73" t="str">
        <f t="shared" si="0"/>
        <v/>
      </c>
      <c r="C31" s="274" t="str">
        <f>הגנה!C31</f>
        <v/>
      </c>
      <c r="D31" s="448" t="str">
        <f>IF($C31="","",סיווג!AB31)</f>
        <v/>
      </c>
      <c r="E31" s="449" t="str">
        <f>IF(C31="","",ייצוב!G31)</f>
        <v/>
      </c>
      <c r="F31" s="277" t="str">
        <f>IF($C31="","",ייצוב!E31)</f>
        <v/>
      </c>
      <c r="G31" s="277" t="str">
        <f>IF($C31="","",'התחשיב הבסיסי'!O17)</f>
        <v/>
      </c>
      <c r="H31" s="129" t="str">
        <f>הגנה!AU31</f>
        <v/>
      </c>
      <c r="I31" s="280" t="str">
        <f>הגנה!AV31</f>
        <v/>
      </c>
      <c r="J31" s="281" t="str">
        <f t="shared" si="1"/>
        <v/>
      </c>
      <c r="K31" s="279" t="str">
        <f t="shared" si="2"/>
        <v/>
      </c>
    </row>
    <row r="32" spans="1:11" ht="15.75" x14ac:dyDescent="0.25">
      <c r="B32" s="73">
        <f t="shared" si="0"/>
        <v>12</v>
      </c>
      <c r="C32" s="274" t="str">
        <f>הגנה!C32</f>
        <v>אורין יוחנן</v>
      </c>
      <c r="D32" s="448">
        <f>IF($C32="","",סיווג!AB32)</f>
        <v>1</v>
      </c>
      <c r="E32" s="449">
        <f>IF(C32="","",ייצוב!G32)</f>
        <v>7.7427182992208972E-3</v>
      </c>
      <c r="F32" s="277">
        <f>IF($C32="","",ייצוב!E32)</f>
        <v>58656</v>
      </c>
      <c r="G32" s="277">
        <f>IF($C32="","",'התחשיב הבסיסי'!O18)</f>
        <v>59558.515243769936</v>
      </c>
      <c r="H32" s="129">
        <f>הגנה!AU32</f>
        <v>7.461287300810083E-3</v>
      </c>
      <c r="I32" s="280">
        <f>הגנה!AV32</f>
        <v>60307.824388644913</v>
      </c>
      <c r="J32" s="281">
        <f t="shared" si="1"/>
        <v>2.816121775513003E-2</v>
      </c>
      <c r="K32" s="279">
        <f t="shared" si="2"/>
        <v>1651.8243886449127</v>
      </c>
    </row>
    <row r="33" spans="2:11" ht="15.75" x14ac:dyDescent="0.25">
      <c r="B33" s="73">
        <f t="shared" si="0"/>
        <v>13</v>
      </c>
      <c r="C33" s="274" t="str">
        <f>הגנה!C33</f>
        <v>איריס ארז</v>
      </c>
      <c r="D33" s="448">
        <f>IF($C33="","",סיווג!AB33)</f>
        <v>1</v>
      </c>
      <c r="E33" s="449">
        <f>IF(C33="","",ייצוב!G33)</f>
        <v>1.8617055681412274E-2</v>
      </c>
      <c r="F33" s="277">
        <f>IF($C33="","",ייצוב!E33)</f>
        <v>141036</v>
      </c>
      <c r="G33" s="277">
        <f>IF($C33="","",'התחשיב הבסיסי'!O19)</f>
        <v>193820.45411226875</v>
      </c>
      <c r="H33" s="129">
        <f>הגנה!AU33</f>
        <v>2.2098417617309015E-2</v>
      </c>
      <c r="I33" s="280">
        <f>הגנה!AV33</f>
        <v>178616.2943741511</v>
      </c>
      <c r="J33" s="281">
        <f t="shared" si="1"/>
        <v>0.26645887840091254</v>
      </c>
      <c r="K33" s="279">
        <f t="shared" si="2"/>
        <v>37580.294374151097</v>
      </c>
    </row>
    <row r="34" spans="2:11" ht="15.75" x14ac:dyDescent="0.25">
      <c r="B34" s="73" t="str">
        <f t="shared" si="0"/>
        <v/>
      </c>
      <c r="C34" s="274" t="str">
        <f>הגנה!C34</f>
        <v/>
      </c>
      <c r="D34" s="448" t="str">
        <f>IF($C34="","",סיווג!AB34)</f>
        <v/>
      </c>
      <c r="E34" s="449" t="str">
        <f>IF(C34="","",ייצוב!G34)</f>
        <v/>
      </c>
      <c r="F34" s="277" t="str">
        <f>IF($C34="","",ייצוב!E34)</f>
        <v/>
      </c>
      <c r="G34" s="277" t="str">
        <f>IF($C34="","",'התחשיב הבסיסי'!O20)</f>
        <v/>
      </c>
      <c r="H34" s="129" t="str">
        <f>הגנה!AU34</f>
        <v/>
      </c>
      <c r="I34" s="280" t="str">
        <f>הגנה!AV34</f>
        <v/>
      </c>
      <c r="J34" s="281" t="str">
        <f t="shared" si="1"/>
        <v/>
      </c>
      <c r="K34" s="279" t="str">
        <f t="shared" si="2"/>
        <v/>
      </c>
    </row>
    <row r="35" spans="2:11" ht="15.75" x14ac:dyDescent="0.25">
      <c r="B35" s="73">
        <f t="shared" si="0"/>
        <v>15</v>
      </c>
      <c r="C35" s="274" t="str">
        <f>הגנה!C35</f>
        <v>ענבל אושמן</v>
      </c>
      <c r="D35" s="448">
        <f>IF($C35="","",סיווג!AB35)</f>
        <v>1</v>
      </c>
      <c r="E35" s="449">
        <f>IF(C35="","",ייצוב!G35)</f>
        <v>7.0016582110487384E-3</v>
      </c>
      <c r="F35" s="277">
        <f>IF($C35="","",ייצוב!E35)</f>
        <v>53042</v>
      </c>
      <c r="G35" s="277">
        <f>IF($C35="","",'התחשיב הבסיסי'!O21)</f>
        <v>88439.743246150625</v>
      </c>
      <c r="H35" s="129">
        <f>הגנה!AU35</f>
        <v>8.9929067198736279E-3</v>
      </c>
      <c r="I35" s="280">
        <f>הגנה!AV35</f>
        <v>72687.542690752642</v>
      </c>
      <c r="J35" s="281">
        <f t="shared" si="1"/>
        <v>0.3703771104172664</v>
      </c>
      <c r="K35" s="279">
        <f t="shared" si="2"/>
        <v>19645.542690752642</v>
      </c>
    </row>
    <row r="36" spans="2:11" ht="15.75" x14ac:dyDescent="0.25">
      <c r="B36" s="73">
        <f t="shared" si="0"/>
        <v>16</v>
      </c>
      <c r="C36" s="274" t="str">
        <f>הגנה!C36</f>
        <v>אנדריאה מרטיני</v>
      </c>
      <c r="D36" s="448">
        <f>IF($C36="","",סיווג!AB36)</f>
        <v>1</v>
      </c>
      <c r="E36" s="449">
        <f>IF(C36="","",ייצוב!G36)</f>
        <v>1.2397114221727184E-2</v>
      </c>
      <c r="F36" s="277">
        <f>IF($C36="","",ייצוב!E36)</f>
        <v>93916</v>
      </c>
      <c r="G36" s="277">
        <f>IF($C36="","",'התחשיב הבסיסי'!O22)</f>
        <v>78684.123536932238</v>
      </c>
      <c r="H36" s="129">
        <f>הגנה!AU36</f>
        <v>1.0948390039874308E-2</v>
      </c>
      <c r="I36" s="280">
        <f>הגנה!AV36</f>
        <v>88493.252872254612</v>
      </c>
      <c r="J36" s="281">
        <f t="shared" si="1"/>
        <v>-5.7740397032937762E-2</v>
      </c>
      <c r="K36" s="279">
        <f t="shared" si="2"/>
        <v>-5422.7471277453878</v>
      </c>
    </row>
    <row r="37" spans="2:11" ht="15.75" x14ac:dyDescent="0.25">
      <c r="B37" s="73">
        <f t="shared" si="0"/>
        <v>17</v>
      </c>
      <c r="C37" s="274" t="str">
        <f>הגנה!C37</f>
        <v>אפרת רובין</v>
      </c>
      <c r="D37" s="448">
        <f>IF($C37="","",סיווג!AB37)</f>
        <v>1</v>
      </c>
      <c r="E37" s="449">
        <f>IF(C37="","",ייצוב!G37)</f>
        <v>5.7695501129014417E-3</v>
      </c>
      <c r="F37" s="277">
        <f>IF($C37="","",ייצוב!E37)</f>
        <v>43708</v>
      </c>
      <c r="G37" s="277">
        <f>IF($C37="","",'התחשיב הבסיסי'!O23)</f>
        <v>62802.313842708856</v>
      </c>
      <c r="H37" s="129">
        <f>הגנה!AU37</f>
        <v>6.6623864694603536E-3</v>
      </c>
      <c r="I37" s="280">
        <f>הגנה!AV37</f>
        <v>53850.497509441244</v>
      </c>
      <c r="J37" s="281">
        <f t="shared" si="1"/>
        <v>0.23205128373389861</v>
      </c>
      <c r="K37" s="279">
        <f t="shared" si="2"/>
        <v>10142.497509441244</v>
      </c>
    </row>
    <row r="38" spans="2:11" ht="15.75" x14ac:dyDescent="0.25">
      <c r="B38" s="73">
        <f t="shared" si="0"/>
        <v>18</v>
      </c>
      <c r="C38" s="274" t="str">
        <f>הגנה!C38</f>
        <v>שרון צוקרמן</v>
      </c>
      <c r="D38" s="448">
        <f>IF($C38="","",סיווג!AB38)</f>
        <v>1</v>
      </c>
      <c r="E38" s="449">
        <f>IF(C38="","",ייצוב!G38)</f>
        <v>5.9300647312158956E-3</v>
      </c>
      <c r="F38" s="277">
        <f>IF($C38="","",ייצוב!E38)</f>
        <v>44924</v>
      </c>
      <c r="G38" s="277">
        <f>IF($C38="","",'התחשיב הבסיסי'!O24)</f>
        <v>68025.100163304334</v>
      </c>
      <c r="H38" s="129">
        <f>הגנה!AU38</f>
        <v>7.055753615307578E-3</v>
      </c>
      <c r="I38" s="280">
        <f>הגנה!AV38</f>
        <v>57029.991314677944</v>
      </c>
      <c r="J38" s="281">
        <f t="shared" si="1"/>
        <v>0.26947714617304652</v>
      </c>
      <c r="K38" s="279">
        <f t="shared" si="2"/>
        <v>12105.991314677944</v>
      </c>
    </row>
    <row r="39" spans="2:11" ht="15.75" x14ac:dyDescent="0.25">
      <c r="B39" s="73">
        <f t="shared" si="0"/>
        <v>19</v>
      </c>
      <c r="C39" s="274" t="str">
        <f>הגנה!C39</f>
        <v>בשמת נוסן</v>
      </c>
      <c r="D39" s="448">
        <f>IF($C39="","",סיווג!AB39)</f>
        <v>1</v>
      </c>
      <c r="E39" s="449">
        <f>IF(C39="","",ייצוב!G39)</f>
        <v>1.286308182259069E-2</v>
      </c>
      <c r="F39" s="277">
        <f>IF($C39="","",ייצוב!E39)</f>
        <v>97446</v>
      </c>
      <c r="G39" s="277">
        <f>IF($C39="","",'התחשיב הבסיסי'!O25)</f>
        <v>69620.391733195662</v>
      </c>
      <c r="H39" s="129">
        <f>הגנה!AU39</f>
        <v>1.0640433494279466E-2</v>
      </c>
      <c r="I39" s="280">
        <f>הגנה!AV39</f>
        <v>86004.112791956271</v>
      </c>
      <c r="J39" s="281">
        <f t="shared" si="1"/>
        <v>-0.11741772066625344</v>
      </c>
      <c r="K39" s="279">
        <f t="shared" si="2"/>
        <v>-11441.887208043729</v>
      </c>
    </row>
    <row r="40" spans="2:11" ht="15.75" x14ac:dyDescent="0.25">
      <c r="B40" s="73">
        <f t="shared" si="0"/>
        <v>20</v>
      </c>
      <c r="C40" s="274" t="str">
        <f>הגנה!C40</f>
        <v>גיל קרר</v>
      </c>
      <c r="D40" s="448">
        <f>IF($C40="","",סיווג!AB40)</f>
        <v>1</v>
      </c>
      <c r="E40" s="449">
        <f>IF(C40="","",ייצוב!G40)</f>
        <v>1.3296708895915511E-2</v>
      </c>
      <c r="F40" s="277">
        <f>IF($C40="","",ייצוב!E40)</f>
        <v>100731</v>
      </c>
      <c r="G40" s="277">
        <f>IF($C40="","",'התחשיב הבסיסי'!O26)</f>
        <v>122888.69075337553</v>
      </c>
      <c r="H40" s="129">
        <f>הגנה!AU40</f>
        <v>1.4046781039756319E-2</v>
      </c>
      <c r="I40" s="280">
        <f>הגנה!AV40</f>
        <v>113536.81610402494</v>
      </c>
      <c r="J40" s="281">
        <f t="shared" si="1"/>
        <v>0.12712884915294143</v>
      </c>
      <c r="K40" s="279">
        <f t="shared" si="2"/>
        <v>12805.81610402494</v>
      </c>
    </row>
    <row r="41" spans="2:11" ht="15.75" x14ac:dyDescent="0.25">
      <c r="B41" s="73">
        <f t="shared" si="0"/>
        <v>21</v>
      </c>
      <c r="C41" s="274" t="str">
        <f>הגנה!C41</f>
        <v>דינה תלם</v>
      </c>
      <c r="D41" s="448">
        <f>IF($C41="","",סיווג!AB41)</f>
        <v>1</v>
      </c>
      <c r="E41" s="449">
        <f>IF(C41="","",ייצוב!G41)</f>
        <v>1.0423550028948072E-2</v>
      </c>
      <c r="F41" s="277">
        <f>IF($C41="","",ייצוב!E41)</f>
        <v>78965</v>
      </c>
      <c r="G41" s="277">
        <f>IF($C41="","",'התחשיב הבסיסי'!O27)</f>
        <v>118422.29324627272</v>
      </c>
      <c r="H41" s="129">
        <f>הגנה!AU41</f>
        <v>1.2493177033016748E-2</v>
      </c>
      <c r="I41" s="280">
        <f>הגנה!AV41</f>
        <v>100979.40156809459</v>
      </c>
      <c r="J41" s="281">
        <f t="shared" si="1"/>
        <v>0.27878682413847389</v>
      </c>
      <c r="K41" s="279">
        <f t="shared" si="2"/>
        <v>22014.401568094589</v>
      </c>
    </row>
    <row r="42" spans="2:11" ht="15.75" x14ac:dyDescent="0.25">
      <c r="B42" s="73">
        <f t="shared" si="0"/>
        <v>22</v>
      </c>
      <c r="C42" s="274" t="str">
        <f>הגנה!C42</f>
        <v>דנה יהלומי</v>
      </c>
      <c r="D42" s="448">
        <f>IF($C42="","",סיווג!AB42)</f>
        <v>1</v>
      </c>
      <c r="E42" s="449">
        <f>IF(C42="","",ייצוב!G42)</f>
        <v>1.6931784191263729E-2</v>
      </c>
      <c r="F42" s="277">
        <f>IF($C42="","",ייצוב!E42)</f>
        <v>128269</v>
      </c>
      <c r="G42" s="277">
        <f>IF($C42="","",'התחשיב הבסיסי'!O28)</f>
        <v>86939.676511461163</v>
      </c>
      <c r="H42" s="129">
        <f>הגנה!AU42</f>
        <v>1.3724663684514525E-2</v>
      </c>
      <c r="I42" s="280">
        <f>הגנה!AV42</f>
        <v>110933.21754130136</v>
      </c>
      <c r="J42" s="281">
        <f t="shared" si="1"/>
        <v>-0.13515177056575356</v>
      </c>
      <c r="K42" s="279">
        <f t="shared" si="2"/>
        <v>-17335.782458698639</v>
      </c>
    </row>
    <row r="43" spans="2:11" ht="15.75" x14ac:dyDescent="0.25">
      <c r="B43" s="73">
        <f t="shared" si="0"/>
        <v>23</v>
      </c>
      <c r="C43" s="274" t="str">
        <f>הגנה!C43</f>
        <v>דנה רוטנברג</v>
      </c>
      <c r="D43" s="448">
        <f>IF($C43="","",סיווג!AB43)</f>
        <v>1</v>
      </c>
      <c r="E43" s="449">
        <f>IF(C43="","",ייצוב!G43)</f>
        <v>9.9830588436558582E-3</v>
      </c>
      <c r="F43" s="277">
        <f>IF($C43="","",ייצוב!E43)</f>
        <v>75628</v>
      </c>
      <c r="G43" s="277">
        <f>IF($C43="","",'התחשיב הבסיסי'!O29)</f>
        <v>142882.62454345348</v>
      </c>
      <c r="H43" s="129">
        <f>הגנה!AU43</f>
        <v>1.3575749439808589E-2</v>
      </c>
      <c r="I43" s="280">
        <f>הגנה!AV43</f>
        <v>109729.57884510503</v>
      </c>
      <c r="J43" s="281">
        <f t="shared" si="1"/>
        <v>0.45091208077834977</v>
      </c>
      <c r="K43" s="279">
        <f t="shared" si="2"/>
        <v>34101.578845105032</v>
      </c>
    </row>
    <row r="44" spans="2:11" ht="15.75" x14ac:dyDescent="0.25">
      <c r="B44" s="73">
        <f t="shared" si="0"/>
        <v>24</v>
      </c>
      <c r="C44" s="274" t="str">
        <f>הגנה!C44</f>
        <v>דפי אלטבב</v>
      </c>
      <c r="D44" s="448">
        <f>IF($C44="","",סיווג!AB44)</f>
        <v>1</v>
      </c>
      <c r="E44" s="449">
        <f>IF(C44="","",ייצוב!G44)</f>
        <v>1.32621243317721E-2</v>
      </c>
      <c r="F44" s="277">
        <f>IF($C44="","",ייצוב!E44)</f>
        <v>100469</v>
      </c>
      <c r="G44" s="277">
        <f>IF($C44="","",'התחשיב הבסיסי'!O30)</f>
        <v>113853.7817691461</v>
      </c>
      <c r="H44" s="129">
        <f>הגנה!AU44</f>
        <v>1.3488635070275505E-2</v>
      </c>
      <c r="I44" s="280">
        <f>הגנה!AV44</f>
        <v>109025.45395516032</v>
      </c>
      <c r="J44" s="281">
        <f t="shared" si="1"/>
        <v>8.516511516149583E-2</v>
      </c>
      <c r="K44" s="279">
        <f t="shared" si="2"/>
        <v>8556.4539551603229</v>
      </c>
    </row>
    <row r="45" spans="2:11" ht="15.75" x14ac:dyDescent="0.25">
      <c r="B45" s="73">
        <f t="shared" si="0"/>
        <v>25</v>
      </c>
      <c r="C45" s="274" t="str">
        <f>הגנה!C45</f>
        <v>הלל קוגן</v>
      </c>
      <c r="D45" s="448">
        <f>IF($C45="","",סיווג!AB45)</f>
        <v>1</v>
      </c>
      <c r="E45" s="449">
        <f>IF(C45="","",ייצוב!G45)</f>
        <v>1.1144677791984144E-2</v>
      </c>
      <c r="F45" s="277">
        <f>IF($C45="","",ייצוב!E45)</f>
        <v>84428</v>
      </c>
      <c r="G45" s="277">
        <f>IF($C45="","",'התחשיב הבסיסי'!O31)</f>
        <v>139259.90926668767</v>
      </c>
      <c r="H45" s="129">
        <f>הגנה!AU45</f>
        <v>1.3943541103043026E-2</v>
      </c>
      <c r="I45" s="280">
        <f>הגנה!AV45</f>
        <v>112702.35206019646</v>
      </c>
      <c r="J45" s="281">
        <f t="shared" si="1"/>
        <v>0.3348930693632024</v>
      </c>
      <c r="K45" s="279">
        <f t="shared" si="2"/>
        <v>28274.352060196456</v>
      </c>
    </row>
    <row r="46" spans="2:11" ht="15.75" x14ac:dyDescent="0.25">
      <c r="B46" s="73">
        <f t="shared" si="0"/>
        <v>26</v>
      </c>
      <c r="C46" s="274" t="str">
        <f>הגנה!C46</f>
        <v>אנאבל דביר</v>
      </c>
      <c r="D46" s="448">
        <f>IF($C46="","",סיווג!AB46)</f>
        <v>1</v>
      </c>
      <c r="E46" s="449">
        <f>IF(C46="","",ייצוב!G46)</f>
        <v>1.2963667463343662E-2</v>
      </c>
      <c r="F46" s="277">
        <f>IF($C46="","",ייצוב!E46)</f>
        <v>98208</v>
      </c>
      <c r="G46" s="277">
        <f>IF($C46="","",'התחשיב הבסיסי'!O32)</f>
        <v>129300.48557212485</v>
      </c>
      <c r="H46" s="129">
        <f>הגנה!AU46</f>
        <v>1.4472885325048333E-2</v>
      </c>
      <c r="I46" s="280">
        <f>הגנה!AV46</f>
        <v>116980.91648142897</v>
      </c>
      <c r="J46" s="281">
        <f t="shared" si="1"/>
        <v>0.19115465625436801</v>
      </c>
      <c r="K46" s="279">
        <f t="shared" si="2"/>
        <v>18772.916481428969</v>
      </c>
    </row>
    <row r="47" spans="2:11" ht="15.75" x14ac:dyDescent="0.25">
      <c r="B47" s="73">
        <f t="shared" si="0"/>
        <v>27</v>
      </c>
      <c r="C47" s="274" t="str">
        <f>הגנה!C47</f>
        <v>יוסי ברג ועודד גרף</v>
      </c>
      <c r="D47" s="448">
        <f>IF($C47="","",סיווג!AB47)</f>
        <v>1</v>
      </c>
      <c r="E47" s="449">
        <f>IF(C47="","",ייצוב!G47)</f>
        <v>2.3761047590208292E-2</v>
      </c>
      <c r="F47" s="277">
        <f>IF($C47="","",ייצוב!E47)</f>
        <v>180005</v>
      </c>
      <c r="G47" s="277">
        <f>IF($C47="","",'התחשיב הבסיסי'!O33)</f>
        <v>134261.83684531986</v>
      </c>
      <c r="H47" s="129">
        <f>הגנה!AU47</f>
        <v>2.1411931233935245E-2</v>
      </c>
      <c r="I47" s="280">
        <f>הגנה!AV47</f>
        <v>173067.58694812737</v>
      </c>
      <c r="J47" s="281">
        <f t="shared" si="1"/>
        <v>-3.854011306281846E-2</v>
      </c>
      <c r="K47" s="279">
        <f t="shared" si="2"/>
        <v>-6937.4130518726306</v>
      </c>
    </row>
    <row r="48" spans="2:11" ht="15.75" x14ac:dyDescent="0.25">
      <c r="B48" s="73">
        <f t="shared" si="0"/>
        <v>28</v>
      </c>
      <c r="C48" s="274" t="str">
        <f>הגנה!C48</f>
        <v>נדין בומר</v>
      </c>
      <c r="D48" s="448">
        <f>IF($C48="","",סיווג!AB48)</f>
        <v>1</v>
      </c>
      <c r="E48" s="449">
        <f>IF(C48="","",ייצוב!G48)</f>
        <v>1.3588169650223334E-2</v>
      </c>
      <c r="F48" s="277">
        <f>IF($C48="","",ייצוב!E48)</f>
        <v>102939</v>
      </c>
      <c r="G48" s="277">
        <f>IF($C48="","",'התחשיב הבסיסי'!O34)</f>
        <v>100704.56633158115</v>
      </c>
      <c r="H48" s="129">
        <f>הגנה!AU48</f>
        <v>1.2865742663740595E-2</v>
      </c>
      <c r="I48" s="280">
        <f>הגנה!AV48</f>
        <v>103990.76163574659</v>
      </c>
      <c r="J48" s="281">
        <f t="shared" si="1"/>
        <v>1.0217329056495528E-2</v>
      </c>
      <c r="K48" s="279">
        <f t="shared" si="2"/>
        <v>1051.7616357465886</v>
      </c>
    </row>
    <row r="49" spans="2:11" ht="15.75" x14ac:dyDescent="0.25">
      <c r="B49" s="73">
        <f t="shared" si="0"/>
        <v>29</v>
      </c>
      <c r="C49" s="274" t="str">
        <f>הגנה!C49</f>
        <v xml:space="preserve">להקת בלט פאנוב </v>
      </c>
      <c r="D49" s="448">
        <f>IF($C49="","",סיווג!AB49)</f>
        <v>1</v>
      </c>
      <c r="E49" s="449">
        <f>IF(C49="","",ייצוב!G49)</f>
        <v>4.1375678920074543E-2</v>
      </c>
      <c r="F49" s="277">
        <f>IF($C49="","",ייצוב!E49)</f>
        <v>313447</v>
      </c>
      <c r="G49" s="277">
        <f>IF($C49="","",'התחשיב הבסיסי'!O35)</f>
        <v>228233.13794096315</v>
      </c>
      <c r="H49" s="129">
        <f>הגנה!AU49</f>
        <v>3.6893602156940701E-2</v>
      </c>
      <c r="I49" s="280">
        <f>הגנה!AV49</f>
        <v>298202.27934444265</v>
      </c>
      <c r="J49" s="281">
        <f t="shared" si="1"/>
        <v>-4.8635720410651118E-2</v>
      </c>
      <c r="K49" s="279">
        <f t="shared" si="2"/>
        <v>-15244.72065555735</v>
      </c>
    </row>
    <row r="50" spans="2:11" ht="15.75" x14ac:dyDescent="0.25">
      <c r="B50" s="73" t="str">
        <f t="shared" si="0"/>
        <v/>
      </c>
      <c r="C50" s="274" t="str">
        <f>הגנה!C50</f>
        <v/>
      </c>
      <c r="D50" s="448" t="str">
        <f>IF($C50="","",סיווג!AB50)</f>
        <v/>
      </c>
      <c r="E50" s="449" t="str">
        <f>IF(C50="","",ייצוב!G50)</f>
        <v/>
      </c>
      <c r="F50" s="277" t="str">
        <f>IF($C50="","",ייצוב!E50)</f>
        <v/>
      </c>
      <c r="G50" s="277" t="str">
        <f>IF($C50="","",'התחשיב הבסיסי'!O36)</f>
        <v/>
      </c>
      <c r="H50" s="129" t="str">
        <f>הגנה!AU50</f>
        <v/>
      </c>
      <c r="I50" s="280" t="str">
        <f>הגנה!AV50</f>
        <v/>
      </c>
      <c r="J50" s="281" t="str">
        <f t="shared" si="1"/>
        <v/>
      </c>
      <c r="K50" s="279" t="str">
        <f t="shared" si="2"/>
        <v/>
      </c>
    </row>
    <row r="51" spans="2:11" ht="15.75" x14ac:dyDescent="0.25">
      <c r="B51" s="73" t="str">
        <f t="shared" si="0"/>
        <v/>
      </c>
      <c r="C51" s="274" t="str">
        <f>הגנה!C51</f>
        <v/>
      </c>
      <c r="D51" s="448" t="str">
        <f>IF($C51="","",סיווג!AB51)</f>
        <v/>
      </c>
      <c r="E51" s="449" t="str">
        <f>IF(C51="","",ייצוב!G51)</f>
        <v/>
      </c>
      <c r="F51" s="277" t="str">
        <f>IF($C51="","",ייצוב!E51)</f>
        <v/>
      </c>
      <c r="G51" s="277" t="str">
        <f>IF($C51="","",'התחשיב הבסיסי'!O37)</f>
        <v/>
      </c>
      <c r="H51" s="129" t="str">
        <f>הגנה!AU51</f>
        <v/>
      </c>
      <c r="I51" s="280" t="str">
        <f>הגנה!AV51</f>
        <v/>
      </c>
      <c r="J51" s="281" t="str">
        <f t="shared" si="1"/>
        <v/>
      </c>
      <c r="K51" s="279" t="str">
        <f t="shared" si="2"/>
        <v/>
      </c>
    </row>
    <row r="52" spans="2:11" ht="15.75" x14ac:dyDescent="0.25">
      <c r="B52" s="73">
        <f t="shared" si="0"/>
        <v>32</v>
      </c>
      <c r="C52" s="274" t="str">
        <f>הגנה!C52</f>
        <v>מיכל סממה</v>
      </c>
      <c r="D52" s="448">
        <f>IF($C52="","",סיווג!AB52)</f>
        <v>1</v>
      </c>
      <c r="E52" s="449">
        <f>IF(C52="","",ייצוב!G52)</f>
        <v>7.4656457796139566E-3</v>
      </c>
      <c r="F52" s="277">
        <f>IF($C52="","",ייצוב!E52)</f>
        <v>56557</v>
      </c>
      <c r="G52" s="277">
        <f>IF($C52="","",'התחשיב הבסיסי'!O38)</f>
        <v>55593.086220898935</v>
      </c>
      <c r="H52" s="129">
        <f>הגנה!AU52</f>
        <v>7.0845126898148323E-3</v>
      </c>
      <c r="I52" s="280">
        <f>הגנה!AV52</f>
        <v>57262.444126778493</v>
      </c>
      <c r="J52" s="281">
        <f t="shared" si="1"/>
        <v>1.2473153222032574E-2</v>
      </c>
      <c r="K52" s="279">
        <f t="shared" si="2"/>
        <v>705.44412677849323</v>
      </c>
    </row>
    <row r="53" spans="2:11" ht="15.75" x14ac:dyDescent="0.25">
      <c r="B53" s="73">
        <f t="shared" si="0"/>
        <v>33</v>
      </c>
      <c r="C53" s="274" t="str">
        <f>הגנה!C53</f>
        <v>מאיה ברינר</v>
      </c>
      <c r="D53" s="448">
        <f>IF($C53="","",סיווג!AB53)</f>
        <v>1</v>
      </c>
      <c r="E53" s="449">
        <f>IF(C53="","",ייצוב!G53)</f>
        <v>2.2582268361961519E-2</v>
      </c>
      <c r="F53" s="277">
        <f>IF($C53="","",ייצוב!E53)</f>
        <v>171075</v>
      </c>
      <c r="G53" s="277">
        <f>IF($C53="","",'התחשיב הבסיסי'!O39)</f>
        <v>315193.09042223979</v>
      </c>
      <c r="H53" s="129">
        <f>הגנה!AU53</f>
        <v>3.0229397474600139E-2</v>
      </c>
      <c r="I53" s="280">
        <f>הגנה!AV53</f>
        <v>244337.0856493889</v>
      </c>
      <c r="J53" s="281">
        <f t="shared" si="1"/>
        <v>0.4282454224719503</v>
      </c>
      <c r="K53" s="279">
        <f t="shared" si="2"/>
        <v>73262.0856493889</v>
      </c>
    </row>
    <row r="54" spans="2:11" ht="15.75" x14ac:dyDescent="0.25">
      <c r="B54" s="73">
        <f t="shared" si="0"/>
        <v>34</v>
      </c>
      <c r="C54" s="274" t="str">
        <f>הגנה!C54</f>
        <v>מאיה מכלל גלפנד</v>
      </c>
      <c r="D54" s="448">
        <f>IF($C54="","",סיווג!AB54)</f>
        <v>1</v>
      </c>
      <c r="E54" s="449">
        <f>IF(C54="","",ייצוב!G54)</f>
        <v>5.257117754104805E-3</v>
      </c>
      <c r="F54" s="277">
        <f>IF($C54="","",ייצוב!E54)</f>
        <v>39826</v>
      </c>
      <c r="G54" s="277">
        <f>IF($C54="","",'התחשיב הבסיסי'!O40)</f>
        <v>49866.790428840453</v>
      </c>
      <c r="H54" s="129">
        <f>הגנה!AU54</f>
        <v>5.9130040964347269E-3</v>
      </c>
      <c r="I54" s="280">
        <f>הגנה!AV54</f>
        <v>47793.416642515142</v>
      </c>
      <c r="J54" s="281">
        <f t="shared" si="1"/>
        <v>0.20005565817594384</v>
      </c>
      <c r="K54" s="279">
        <f t="shared" si="2"/>
        <v>7967.4166425151416</v>
      </c>
    </row>
    <row r="55" spans="2:11" ht="15.75" x14ac:dyDescent="0.25">
      <c r="B55" s="73">
        <f t="shared" si="0"/>
        <v>35</v>
      </c>
      <c r="C55" s="274" t="str">
        <f>הגנה!C55</f>
        <v>מיה שטרן ותומר שרעבי</v>
      </c>
      <c r="D55" s="448">
        <f>IF($C55="","",סיווג!AB55)</f>
        <v>1</v>
      </c>
      <c r="E55" s="449">
        <f>IF(C55="","",ייצוב!G55)</f>
        <v>9.0620798206460344E-3</v>
      </c>
      <c r="F55" s="277">
        <f>IF($C55="","",ייצוב!E55)</f>
        <v>68651</v>
      </c>
      <c r="G55" s="277">
        <f>IF($C55="","",'התחשיב הבסיסי'!O41)</f>
        <v>43237.911283573034</v>
      </c>
      <c r="H55" s="129">
        <f>הגנה!AU55</f>
        <v>7.1484962671764058E-3</v>
      </c>
      <c r="I55" s="280">
        <f>הגנה!AV55</f>
        <v>57779.608282467838</v>
      </c>
      <c r="J55" s="281">
        <f t="shared" si="1"/>
        <v>-0.15835736868410022</v>
      </c>
      <c r="K55" s="279">
        <f t="shared" si="2"/>
        <v>-10871.391717532162</v>
      </c>
    </row>
    <row r="56" spans="2:11" ht="15.75" x14ac:dyDescent="0.25">
      <c r="B56" s="73">
        <f t="shared" si="0"/>
        <v>36</v>
      </c>
      <c r="C56" s="274" t="str">
        <f>הגנה!C56</f>
        <v>מיכאל גטמן</v>
      </c>
      <c r="D56" s="448">
        <f>IF($C56="","",סיווג!AB56)</f>
        <v>1</v>
      </c>
      <c r="E56" s="449">
        <f>IF(C56="","",ייצוב!G56)</f>
        <v>1.4862386435247532E-2</v>
      </c>
      <c r="F56" s="277">
        <f>IF($C56="","",ייצוב!E56)</f>
        <v>112592</v>
      </c>
      <c r="G56" s="277">
        <f>IF($C56="","",'התחשיב הבסיסי'!O42)</f>
        <v>107891.29367316475</v>
      </c>
      <c r="H56" s="129">
        <f>הגנה!AU56</f>
        <v>1.499332713618389E-2</v>
      </c>
      <c r="I56" s="280">
        <f>הגנה!AV56</f>
        <v>121187.52481657024</v>
      </c>
      <c r="J56" s="281">
        <f t="shared" si="1"/>
        <v>7.6342234053664804E-2</v>
      </c>
      <c r="K56" s="279">
        <f t="shared" si="2"/>
        <v>8595.524816570236</v>
      </c>
    </row>
    <row r="57" spans="2:11" ht="15.75" x14ac:dyDescent="0.25">
      <c r="B57" s="73">
        <f t="shared" si="0"/>
        <v>37</v>
      </c>
      <c r="C57" s="274" t="str">
        <f>הגנה!C57</f>
        <v>מיכל הרמן</v>
      </c>
      <c r="D57" s="448">
        <f>IF($C57="","",סיווג!AB57)</f>
        <v>1</v>
      </c>
      <c r="E57" s="449">
        <f>IF(C57="","",ייצוב!G57)</f>
        <v>6.725377704361114E-3</v>
      </c>
      <c r="F57" s="277">
        <f>IF($C57="","",ייצוב!E57)</f>
        <v>50949</v>
      </c>
      <c r="G57" s="277">
        <f>IF($C57="","",'התחשיב הבסיסי'!O43)</f>
        <v>40812.528006956301</v>
      </c>
      <c r="H57" s="129">
        <f>הגנה!AU57</f>
        <v>5.8273372855654855E-3</v>
      </c>
      <c r="I57" s="280">
        <f>הגנה!AV57</f>
        <v>47100.992027626424</v>
      </c>
      <c r="J57" s="281">
        <f t="shared" si="1"/>
        <v>-7.552666337658398E-2</v>
      </c>
      <c r="K57" s="279">
        <f t="shared" si="2"/>
        <v>-3848.0079723735762</v>
      </c>
    </row>
    <row r="58" spans="2:11" ht="15.75" x14ac:dyDescent="0.25">
      <c r="B58" s="73">
        <f t="shared" si="0"/>
        <v>38</v>
      </c>
      <c r="C58" s="274" t="str">
        <f>הגנה!C58</f>
        <v>מירב דגן</v>
      </c>
      <c r="D58" s="448">
        <f>IF($C58="","",סיווג!AB58)</f>
        <v>1</v>
      </c>
      <c r="E58" s="449">
        <f>IF(C58="","",ייצוב!G58)</f>
        <v>8.5740678601949356E-3</v>
      </c>
      <c r="F58" s="277">
        <f>IF($C58="","",ייצוב!E58)</f>
        <v>64954</v>
      </c>
      <c r="G58" s="277">
        <f>IF($C58="","",'התחשיב הבסיסי'!O44)</f>
        <v>85429.817543920595</v>
      </c>
      <c r="H58" s="129">
        <f>הגנה!AU58</f>
        <v>9.4280840593810693E-3</v>
      </c>
      <c r="I58" s="280">
        <f>הגנה!AV58</f>
        <v>76204.978424139175</v>
      </c>
      <c r="J58" s="281">
        <f t="shared" si="1"/>
        <v>0.17321455836652366</v>
      </c>
      <c r="K58" s="279">
        <f t="shared" si="2"/>
        <v>11250.978424139175</v>
      </c>
    </row>
    <row r="59" spans="2:11" ht="15.75" x14ac:dyDescent="0.25">
      <c r="B59" s="73">
        <f t="shared" si="0"/>
        <v>39</v>
      </c>
      <c r="C59" s="274" t="str">
        <f>הגנה!C59</f>
        <v>תמר לם ודיוויד קרן</v>
      </c>
      <c r="D59" s="448">
        <f>IF($C59="","",סיווג!AB59)</f>
        <v>1</v>
      </c>
      <c r="E59" s="449">
        <f>IF(C59="","",ייצוב!G59)</f>
        <v>5.8515234500505177E-3</v>
      </c>
      <c r="F59" s="277">
        <f>IF($C59="","",ייצוב!E59)</f>
        <v>44329</v>
      </c>
      <c r="G59" s="277">
        <f>IF($C59="","",'התחשיב הבסיסי'!O45)</f>
        <v>54509.608247171454</v>
      </c>
      <c r="H59" s="129">
        <f>הגנה!AU59</f>
        <v>6.20732193416764E-3</v>
      </c>
      <c r="I59" s="280">
        <f>הגנה!AV59</f>
        <v>50172.318265900569</v>
      </c>
      <c r="J59" s="281">
        <f t="shared" si="1"/>
        <v>0.13181705578516478</v>
      </c>
      <c r="K59" s="279">
        <f t="shared" si="2"/>
        <v>5843.3182659005688</v>
      </c>
    </row>
    <row r="60" spans="2:11" ht="15.75" x14ac:dyDescent="0.25">
      <c r="B60" s="73">
        <f t="shared" si="0"/>
        <v>40</v>
      </c>
      <c r="C60" s="274" t="str">
        <f>הגנה!C60</f>
        <v>סיגל ברגמן</v>
      </c>
      <c r="D60" s="448">
        <f>IF($C60="","",סיווג!AB60)</f>
        <v>1</v>
      </c>
      <c r="E60" s="449">
        <f>IF(C60="","",ייצוב!G60)</f>
        <v>8.9805024899566165E-3</v>
      </c>
      <c r="F60" s="277">
        <f>IF($C60="","",ייצוב!E60)</f>
        <v>68033</v>
      </c>
      <c r="G60" s="277">
        <f>IF($C60="","",'התחשיב הבסיסי'!O46)</f>
        <v>72606.262712374737</v>
      </c>
      <c r="H60" s="129">
        <f>הגנה!AU60</f>
        <v>8.8651402660891287E-3</v>
      </c>
      <c r="I60" s="280">
        <f>הגנה!AV60</f>
        <v>71654.836597695627</v>
      </c>
      <c r="J60" s="281">
        <f t="shared" si="1"/>
        <v>5.3236467562736145E-2</v>
      </c>
      <c r="K60" s="279">
        <f t="shared" si="2"/>
        <v>3621.8365976956266</v>
      </c>
    </row>
    <row r="61" spans="2:11" ht="15.75" x14ac:dyDescent="0.25">
      <c r="B61" s="73">
        <f t="shared" si="0"/>
        <v>41</v>
      </c>
      <c r="C61" s="274" t="str">
        <f>הגנה!C61</f>
        <v>מעין ליבמן שרון</v>
      </c>
      <c r="D61" s="448">
        <f>IF($C61="","",סיווג!AB61)</f>
        <v>1</v>
      </c>
      <c r="E61" s="449">
        <f>IF(C61="","",ייצוב!G61)</f>
        <v>9.9193018036510209E-3</v>
      </c>
      <c r="F61" s="277">
        <f>IF($C61="","",ייצוב!E61)</f>
        <v>75145</v>
      </c>
      <c r="G61" s="277">
        <f>IF($C61="","",'התחשיב הבסיסי'!O47)</f>
        <v>84551.39954543268</v>
      </c>
      <c r="H61" s="129">
        <f>הגנה!AU61</f>
        <v>1.0612798412531797E-2</v>
      </c>
      <c r="I61" s="280">
        <f>הגנה!AV61</f>
        <v>85780.744948069158</v>
      </c>
      <c r="J61" s="281">
        <f t="shared" si="1"/>
        <v>0.14153629580237093</v>
      </c>
      <c r="K61" s="279">
        <f t="shared" si="2"/>
        <v>10635.744948069158</v>
      </c>
    </row>
    <row r="62" spans="2:11" ht="15.75" x14ac:dyDescent="0.25">
      <c r="B62" s="73">
        <f t="shared" si="0"/>
        <v>42</v>
      </c>
      <c r="C62" s="274" t="str">
        <f>הגנה!C62</f>
        <v>אודליה קופרברג</v>
      </c>
      <c r="D62" s="448">
        <f>IF($C62="","",סיווג!AB62)</f>
        <v>1</v>
      </c>
      <c r="E62" s="449">
        <f>IF(C62="","",ייצוב!G62)</f>
        <v>6.719569609619472E-3</v>
      </c>
      <c r="F62" s="277">
        <f>IF($C62="","",ייצוב!E62)</f>
        <v>50905</v>
      </c>
      <c r="G62" s="277">
        <f>IF($C62="","",'התחשיב הבסיסי'!O48)</f>
        <v>56986.318315232696</v>
      </c>
      <c r="H62" s="129">
        <f>הגנה!AU62</f>
        <v>6.7924176961727326E-3</v>
      </c>
      <c r="I62" s="280">
        <f>הגנה!AV62</f>
        <v>54901.5092275879</v>
      </c>
      <c r="J62" s="281">
        <f t="shared" si="1"/>
        <v>7.8509168600096269E-2</v>
      </c>
      <c r="K62" s="279">
        <f t="shared" si="2"/>
        <v>3996.5092275878997</v>
      </c>
    </row>
    <row r="63" spans="2:11" ht="15.75" x14ac:dyDescent="0.25">
      <c r="B63" s="73">
        <f t="shared" si="0"/>
        <v>43</v>
      </c>
      <c r="C63" s="274" t="str">
        <f>הגנה!C63</f>
        <v>נועה צוק</v>
      </c>
      <c r="D63" s="448">
        <f>IF($C63="","",סיווג!AB63)</f>
        <v>1</v>
      </c>
      <c r="E63" s="449">
        <f>IF(C63="","",ייצוב!G63)</f>
        <v>8.9752224038278511E-3</v>
      </c>
      <c r="F63" s="277">
        <f>IF($C63="","",ייצוב!E63)</f>
        <v>67993</v>
      </c>
      <c r="G63" s="277">
        <f>IF($C63="","",'התחשיב הבסיסי'!O49)</f>
        <v>105734.20033193431</v>
      </c>
      <c r="H63" s="129">
        <f>הגנה!AU63</f>
        <v>1.0845194346969079E-2</v>
      </c>
      <c r="I63" s="280">
        <f>הגנה!AV63</f>
        <v>87659.146440685188</v>
      </c>
      <c r="J63" s="281">
        <f t="shared" si="1"/>
        <v>0.28923781037290874</v>
      </c>
      <c r="K63" s="279">
        <f t="shared" si="2"/>
        <v>19666.146440685188</v>
      </c>
    </row>
    <row r="64" spans="2:11" ht="15.75" x14ac:dyDescent="0.25">
      <c r="B64" s="73">
        <f t="shared" si="0"/>
        <v>44</v>
      </c>
      <c r="C64" s="274" t="str">
        <f>הגנה!C64</f>
        <v>נטע פולברמכר</v>
      </c>
      <c r="D64" s="448">
        <f>IF($C64="","",סיווג!AB64)</f>
        <v>1</v>
      </c>
      <c r="E64" s="449">
        <f>IF(C64="","",ייצוב!G64)</f>
        <v>1.171136303575384E-2</v>
      </c>
      <c r="F64" s="277">
        <f>IF($C64="","",ייצוב!E64)</f>
        <v>88721</v>
      </c>
      <c r="G64" s="277">
        <f>IF($C64="","",'התחשיב הבסיסי'!O50)</f>
        <v>73916.613130419108</v>
      </c>
      <c r="H64" s="129">
        <f>הגנה!AU64</f>
        <v>1.084933249764854E-2</v>
      </c>
      <c r="I64" s="280">
        <f>הגנה!AV64</f>
        <v>87692.594136023705</v>
      </c>
      <c r="J64" s="281">
        <f t="shared" si="1"/>
        <v>-1.1591459338558985E-2</v>
      </c>
      <c r="K64" s="279">
        <f t="shared" si="2"/>
        <v>-1028.4058639762952</v>
      </c>
    </row>
    <row r="65" spans="2:11" ht="15.75" x14ac:dyDescent="0.25">
      <c r="B65" s="73">
        <f t="shared" si="0"/>
        <v>45</v>
      </c>
      <c r="C65" s="274" t="str">
        <f>הגנה!C65</f>
        <v>ניב שינפלד ואורן לאור</v>
      </c>
      <c r="D65" s="448">
        <f>IF($C65="","",סיווג!AB65)</f>
        <v>1</v>
      </c>
      <c r="E65" s="449">
        <f>IF(C65="","",ייצוב!G65)</f>
        <v>2.8925631834906491E-2</v>
      </c>
      <c r="F65" s="277">
        <f>IF($C65="","",ייצוב!E65)</f>
        <v>219130</v>
      </c>
      <c r="G65" s="277">
        <f>IF($C65="","",'התחשיב הבסיסי'!O51)</f>
        <v>198287.57090452916</v>
      </c>
      <c r="H65" s="129">
        <f>הגנה!AU65</f>
        <v>2.8519302693586424E-2</v>
      </c>
      <c r="I65" s="280">
        <f>הגנה!AV65</f>
        <v>230514.79311682339</v>
      </c>
      <c r="J65" s="281">
        <f t="shared" si="1"/>
        <v>5.1954516117479921E-2</v>
      </c>
      <c r="K65" s="279">
        <f t="shared" si="2"/>
        <v>11384.793116823392</v>
      </c>
    </row>
    <row r="66" spans="2:11" ht="15.75" x14ac:dyDescent="0.25">
      <c r="B66" s="73">
        <f t="shared" si="0"/>
        <v>46</v>
      </c>
      <c r="C66" s="274" t="str">
        <f>הגנה!C66</f>
        <v>נימה יעקובי</v>
      </c>
      <c r="D66" s="448">
        <f>IF($C66="","",סיווג!AB66)</f>
        <v>1</v>
      </c>
      <c r="E66" s="449">
        <f>IF(C66="","",ייצוב!G66)</f>
        <v>1.9474673670876918E-2</v>
      </c>
      <c r="F66" s="277">
        <f>IF($C66="","",ייצוב!E66)</f>
        <v>147533</v>
      </c>
      <c r="G66" s="277">
        <f>IF($C66="","",'התחשיב הבסיסי'!O52)</f>
        <v>203424.30261566667</v>
      </c>
      <c r="H66" s="129">
        <f>הגנה!AU66</f>
        <v>2.1976051859376608E-2</v>
      </c>
      <c r="I66" s="280">
        <f>הגנה!AV66</f>
        <v>177627.2408311023</v>
      </c>
      <c r="J66" s="281">
        <f t="shared" si="1"/>
        <v>0.20398311449711115</v>
      </c>
      <c r="K66" s="279">
        <f t="shared" si="2"/>
        <v>30094.240831102303</v>
      </c>
    </row>
    <row r="67" spans="2:11" ht="15.75" x14ac:dyDescent="0.25">
      <c r="B67" s="73">
        <f t="shared" si="0"/>
        <v>47</v>
      </c>
      <c r="C67" s="274" t="str">
        <f>הגנה!C67</f>
        <v>נמרוד פריד</v>
      </c>
      <c r="D67" s="448">
        <f>IF($C67="","",סיווג!AB67)</f>
        <v>1</v>
      </c>
      <c r="E67" s="449">
        <f>IF(C67="","",ייצוב!G67)</f>
        <v>8.0551673958905619E-3</v>
      </c>
      <c r="F67" s="277">
        <f>IF($C67="","",ייצוב!E67)</f>
        <v>61023</v>
      </c>
      <c r="G67" s="277">
        <f>IF($C67="","",'התחשיב הבסיסי'!O53)</f>
        <v>50750.346442780938</v>
      </c>
      <c r="H67" s="129">
        <f>הגנה!AU67</f>
        <v>7.09136449058785E-3</v>
      </c>
      <c r="I67" s="280">
        <f>הגנה!AV67</f>
        <v>57317.825615401816</v>
      </c>
      <c r="J67" s="281">
        <f t="shared" si="1"/>
        <v>-6.0717670134181945E-2</v>
      </c>
      <c r="K67" s="279">
        <f t="shared" si="2"/>
        <v>-3705.1743845981837</v>
      </c>
    </row>
    <row r="68" spans="2:11" ht="15.75" x14ac:dyDescent="0.25">
      <c r="B68" s="73">
        <f t="shared" si="0"/>
        <v>48</v>
      </c>
      <c r="C68" s="274" t="str">
        <f>הגנה!C68</f>
        <v>נעה דר</v>
      </c>
      <c r="D68" s="448">
        <f>IF($C68="","",סיווג!AB68)</f>
        <v>1</v>
      </c>
      <c r="E68" s="449">
        <f>IF(C68="","",ייצוב!G68)</f>
        <v>1.5887383154994023E-2</v>
      </c>
      <c r="F68" s="277">
        <f>IF($C68="","",ייצוב!E68)</f>
        <v>120357</v>
      </c>
      <c r="G68" s="277">
        <f>IF($C68="","",'התחשיב הבסיסי'!O54)</f>
        <v>85035.360743911675</v>
      </c>
      <c r="H68" s="129">
        <f>הגנה!AU68</f>
        <v>1.3401924753789873E-2</v>
      </c>
      <c r="I68" s="280">
        <f>הגנה!AV68</f>
        <v>108324.59493064166</v>
      </c>
      <c r="J68" s="281">
        <f t="shared" si="1"/>
        <v>-9.9972623689177587E-2</v>
      </c>
      <c r="K68" s="279">
        <f t="shared" si="2"/>
        <v>-12032.405069358341</v>
      </c>
    </row>
    <row r="69" spans="2:11" ht="15.75" x14ac:dyDescent="0.25">
      <c r="B69" s="73">
        <f t="shared" si="0"/>
        <v>49</v>
      </c>
      <c r="C69" s="274" t="str">
        <f>הגנה!C69</f>
        <v>נעה שדור</v>
      </c>
      <c r="D69" s="448">
        <f>IF($C69="","",סיווג!AB69)</f>
        <v>1</v>
      </c>
      <c r="E69" s="449">
        <f>IF(C69="","",ייצוב!G69)</f>
        <v>5.2274172696305018E-3</v>
      </c>
      <c r="F69" s="277">
        <f>IF($C69="","",ייצוב!E69)</f>
        <v>39601</v>
      </c>
      <c r="G69" s="277">
        <f>IF($C69="","",'התחשיב הבסיסי'!O55)</f>
        <v>50438.74134216235</v>
      </c>
      <c r="H69" s="129">
        <f>הגנה!AU69</f>
        <v>5.6495841225263329E-3</v>
      </c>
      <c r="I69" s="280">
        <f>הגנה!AV69</f>
        <v>45664.255160527435</v>
      </c>
      <c r="J69" s="281">
        <f t="shared" si="1"/>
        <v>0.15310863767398386</v>
      </c>
      <c r="K69" s="279">
        <f t="shared" si="2"/>
        <v>6063.2551605274348</v>
      </c>
    </row>
    <row r="70" spans="2:11" ht="15.75" x14ac:dyDescent="0.25">
      <c r="B70" s="73">
        <f t="shared" si="0"/>
        <v>50</v>
      </c>
      <c r="C70" s="274" t="str">
        <f>הגנה!C70</f>
        <v>סאלי אן פרילנד</v>
      </c>
      <c r="D70" s="448">
        <f>IF($C70="","",סיווג!AB70)</f>
        <v>1</v>
      </c>
      <c r="E70" s="449">
        <f>IF(C70="","",ייצוב!G70)</f>
        <v>8.4404816811371828E-3</v>
      </c>
      <c r="F70" s="277">
        <f>IF($C70="","",ייצוב!E70)</f>
        <v>63942</v>
      </c>
      <c r="G70" s="277">
        <f>IF($C70="","",'התחשיב הבסיסי'!O56)</f>
        <v>47697.266983031201</v>
      </c>
      <c r="H70" s="129">
        <f>הגנה!AU70</f>
        <v>7.1025556256308691E-3</v>
      </c>
      <c r="I70" s="280">
        <f>הגנה!AV70</f>
        <v>57408.280918846664</v>
      </c>
      <c r="J70" s="281">
        <f t="shared" si="1"/>
        <v>-0.10218196304703231</v>
      </c>
      <c r="K70" s="279">
        <f t="shared" si="2"/>
        <v>-6533.7190811533364</v>
      </c>
    </row>
    <row r="71" spans="2:11" ht="15.75" x14ac:dyDescent="0.25">
      <c r="B71" s="73">
        <f t="shared" si="0"/>
        <v>51</v>
      </c>
      <c r="C71" s="274" t="str">
        <f>הגנה!C71</f>
        <v>סהר עזימי</v>
      </c>
      <c r="D71" s="448">
        <f>IF($C71="","",סיווג!AB71)</f>
        <v>1</v>
      </c>
      <c r="E71" s="449">
        <f>IF(C71="","",ייצוב!G71)</f>
        <v>1.0447178414374295E-2</v>
      </c>
      <c r="F71" s="277">
        <f>IF($C71="","",ייצוב!E71)</f>
        <v>79144</v>
      </c>
      <c r="G71" s="277">
        <f>IF($C71="","",'התחשיב הבסיסי'!O57)</f>
        <v>62326.49755667086</v>
      </c>
      <c r="H71" s="129">
        <f>הגנה!AU71</f>
        <v>8.9880336124630051E-3</v>
      </c>
      <c r="I71" s="280">
        <f>הגנה!AV71</f>
        <v>72648.154513605929</v>
      </c>
      <c r="J71" s="281">
        <f t="shared" si="1"/>
        <v>-8.2076284827581003E-2</v>
      </c>
      <c r="K71" s="279">
        <f t="shared" si="2"/>
        <v>-6495.8454863940715</v>
      </c>
    </row>
    <row r="72" spans="2:11" ht="15.75" x14ac:dyDescent="0.25">
      <c r="B72" s="73">
        <f t="shared" si="0"/>
        <v>52</v>
      </c>
      <c r="C72" s="274" t="str">
        <f>הגנה!C72</f>
        <v>עדו פדר</v>
      </c>
      <c r="D72" s="448">
        <f>IF($C72="","",סיווג!AB72)</f>
        <v>1</v>
      </c>
      <c r="E72" s="449">
        <f>IF(C72="","",ייצוב!G72)</f>
        <v>7.5765275883180206E-3</v>
      </c>
      <c r="F72" s="277">
        <f>IF($C72="","",ייצוב!E72)</f>
        <v>57397</v>
      </c>
      <c r="G72" s="277">
        <f>IF($C72="","",'התחשיב הבסיסי'!O58)</f>
        <v>58120.164603661549</v>
      </c>
      <c r="H72" s="129">
        <f>הגנה!AU72</f>
        <v>7.2915625011365582E-3</v>
      </c>
      <c r="I72" s="280">
        <f>הגנה!AV72</f>
        <v>58935.97888793653</v>
      </c>
      <c r="J72" s="281">
        <f t="shared" si="1"/>
        <v>2.6812880253959781E-2</v>
      </c>
      <c r="K72" s="279">
        <f t="shared" si="2"/>
        <v>1538.9788879365296</v>
      </c>
    </row>
    <row r="73" spans="2:11" ht="15.75" x14ac:dyDescent="0.25">
      <c r="B73" s="73">
        <f t="shared" si="0"/>
        <v>53</v>
      </c>
      <c r="C73" s="274" t="str">
        <f>הגנה!C73</f>
        <v>עודד רונן</v>
      </c>
      <c r="D73" s="448">
        <f>IF($C73="","",סיווג!AB73)</f>
        <v>1</v>
      </c>
      <c r="E73" s="449">
        <f>IF(C73="","",ייצוב!G73)</f>
        <v>7.350143895547224E-3</v>
      </c>
      <c r="F73" s="277">
        <f>IF($C73="","",ייצוב!E73)</f>
        <v>55682</v>
      </c>
      <c r="G73" s="277">
        <f>IF($C73="","",'התחשיב הבסיסי'!O59)</f>
        <v>54150.894020525113</v>
      </c>
      <c r="H73" s="129">
        <f>הגנה!AU73</f>
        <v>6.9400682986773604E-3</v>
      </c>
      <c r="I73" s="280">
        <f>הגנה!AV73</f>
        <v>56094.934202090619</v>
      </c>
      <c r="J73" s="281">
        <f t="shared" si="1"/>
        <v>7.4159369650985685E-3</v>
      </c>
      <c r="K73" s="279">
        <f t="shared" si="2"/>
        <v>412.93420209061878</v>
      </c>
    </row>
    <row r="74" spans="2:11" ht="15.75" x14ac:dyDescent="0.25">
      <c r="B74" s="73">
        <f t="shared" si="0"/>
        <v>54</v>
      </c>
      <c r="C74" s="274" t="str">
        <f>הגנה!C74</f>
        <v>עידן כהן</v>
      </c>
      <c r="D74" s="448">
        <f>IF($C74="","",סיווג!AB74)</f>
        <v>1</v>
      </c>
      <c r="E74" s="449">
        <f>IF(C74="","",ייצוב!G74)</f>
        <v>5.8570675404857201E-3</v>
      </c>
      <c r="F74" s="277">
        <f>IF($C74="","",ייצוב!E74)</f>
        <v>44371</v>
      </c>
      <c r="G74" s="277">
        <f>IF($C74="","",'התחשיב הבסיסי'!O60)</f>
        <v>40853.572724342266</v>
      </c>
      <c r="H74" s="129">
        <f>הגנה!AU74</f>
        <v>5.3927966110314772E-3</v>
      </c>
      <c r="I74" s="280">
        <f>הגנה!AV74</f>
        <v>43588.702306967229</v>
      </c>
      <c r="J74" s="281">
        <f t="shared" si="1"/>
        <v>-1.7630833044843919E-2</v>
      </c>
      <c r="K74" s="279">
        <f t="shared" si="2"/>
        <v>-782.29769303277135</v>
      </c>
    </row>
    <row r="75" spans="2:11" ht="15.75" x14ac:dyDescent="0.25">
      <c r="B75" s="73">
        <f t="shared" si="0"/>
        <v>55</v>
      </c>
      <c r="C75" s="274" t="str">
        <f>הגנה!C75</f>
        <v>עידן שרעבי</v>
      </c>
      <c r="D75" s="448">
        <f>IF($C75="","",סיווג!AB75)</f>
        <v>1</v>
      </c>
      <c r="E75" s="449">
        <f>IF(C75="","",ייצוב!G75)</f>
        <v>7.7209379439397412E-3</v>
      </c>
      <c r="F75" s="277">
        <f>IF($C75="","",ייצוב!E75)</f>
        <v>58491</v>
      </c>
      <c r="G75" s="277">
        <f>IF($C75="","",'התחשיב הבסיסי'!O61)</f>
        <v>60188.795145311189</v>
      </c>
      <c r="H75" s="129">
        <f>הגנה!AU75</f>
        <v>7.4880481671047942E-3</v>
      </c>
      <c r="I75" s="280">
        <f>הגנה!AV75</f>
        <v>60524.126155340615</v>
      </c>
      <c r="J75" s="281">
        <f t="shared" si="1"/>
        <v>3.4759640890745791E-2</v>
      </c>
      <c r="K75" s="279">
        <f t="shared" si="2"/>
        <v>2033.1261553406148</v>
      </c>
    </row>
    <row r="76" spans="2:11" ht="15.75" x14ac:dyDescent="0.25">
      <c r="B76" s="73">
        <f t="shared" si="0"/>
        <v>56</v>
      </c>
      <c r="C76" s="274" t="str">
        <f>הגנה!C76</f>
        <v>ענת גריגוריו</v>
      </c>
      <c r="D76" s="448">
        <f>IF($C76="","",סיווג!AB76)</f>
        <v>1</v>
      </c>
      <c r="E76" s="449">
        <f>IF(C76="","",ייצוב!G76)</f>
        <v>6.8098590824213524E-3</v>
      </c>
      <c r="F76" s="277">
        <f>IF($C76="","",ייצוב!E76)</f>
        <v>51589</v>
      </c>
      <c r="G76" s="277">
        <f>IF($C76="","",'התחשיב הבסיסי'!O62)</f>
        <v>75155.665154726128</v>
      </c>
      <c r="H76" s="129">
        <f>הגנה!AU76</f>
        <v>7.9252957537803374E-3</v>
      </c>
      <c r="I76" s="280">
        <f>הגנה!AV76</f>
        <v>64058.295208008574</v>
      </c>
      <c r="J76" s="281">
        <f t="shared" si="1"/>
        <v>0.24170453406750614</v>
      </c>
      <c r="K76" s="279">
        <f t="shared" si="2"/>
        <v>12469.295208008574</v>
      </c>
    </row>
    <row r="77" spans="2:11" ht="15.75" x14ac:dyDescent="0.25">
      <c r="B77" s="73">
        <f t="shared" si="0"/>
        <v>57</v>
      </c>
      <c r="C77" s="274" t="str">
        <f>הגנה!C77</f>
        <v>ענת דניאלי</v>
      </c>
      <c r="D77" s="448">
        <f>IF($C77="","",סיווג!AB77)</f>
        <v>1</v>
      </c>
      <c r="E77" s="449">
        <f>IF(C77="","",ייצוב!G77)</f>
        <v>1.0532055798894192E-2</v>
      </c>
      <c r="F77" s="277">
        <f>IF($C77="","",ייצוב!E77)</f>
        <v>79787</v>
      </c>
      <c r="G77" s="277">
        <f>IF($C77="","",'התחשיב הבסיסי'!O63)</f>
        <v>90765.543400145747</v>
      </c>
      <c r="H77" s="129">
        <f>הגנה!AU77</f>
        <v>1.0732830742058965E-2</v>
      </c>
      <c r="I77" s="280">
        <f>הגנה!AV77</f>
        <v>86750.937940007483</v>
      </c>
      <c r="J77" s="281">
        <f t="shared" si="1"/>
        <v>8.7281611540821036E-2</v>
      </c>
      <c r="K77" s="279">
        <f t="shared" si="2"/>
        <v>6963.9379400074831</v>
      </c>
    </row>
    <row r="78" spans="2:11" ht="15.75" x14ac:dyDescent="0.25">
      <c r="B78" s="73">
        <f t="shared" si="0"/>
        <v>58</v>
      </c>
      <c r="C78" s="274" t="str">
        <f>הגנה!C78</f>
        <v>ענת כץ וארז מעיין</v>
      </c>
      <c r="D78" s="448">
        <f>IF($C78="","",סיווג!AB78)</f>
        <v>1</v>
      </c>
      <c r="E78" s="449">
        <f>IF(C78="","",ייצוב!G78)</f>
        <v>6.2759103726499985E-3</v>
      </c>
      <c r="F78" s="277">
        <f>IF($C78="","",ייצוב!E78)</f>
        <v>47544</v>
      </c>
      <c r="G78" s="277">
        <f>IF($C78="","",'התחשיב הבסיסי'!O64)</f>
        <v>64804.289733359576</v>
      </c>
      <c r="H78" s="129">
        <f>הגנה!AU78</f>
        <v>7.0370425204355084E-3</v>
      </c>
      <c r="I78" s="280">
        <f>הגנה!AV78</f>
        <v>56878.75395064539</v>
      </c>
      <c r="J78" s="281">
        <f t="shared" si="1"/>
        <v>0.19633926364305476</v>
      </c>
      <c r="K78" s="279">
        <f t="shared" si="2"/>
        <v>9334.7539506453904</v>
      </c>
    </row>
    <row r="79" spans="2:11" ht="15.75" x14ac:dyDescent="0.25">
      <c r="B79" s="73">
        <f t="shared" si="0"/>
        <v>59</v>
      </c>
      <c r="C79" s="274" t="str">
        <f>הגנה!C79</f>
        <v>ענת שמגר</v>
      </c>
      <c r="D79" s="448">
        <f>IF($C79="","",סיווג!AB79)</f>
        <v>1</v>
      </c>
      <c r="E79" s="449">
        <f>IF(C79="","",ייצוב!G79)</f>
        <v>8.393224910284736E-3</v>
      </c>
      <c r="F79" s="277">
        <f>IF($C79="","",ייצוב!E79)</f>
        <v>63584</v>
      </c>
      <c r="G79" s="277">
        <f>IF($C79="","",'התחשיב הבסיסי'!O65)</f>
        <v>69964.058659849688</v>
      </c>
      <c r="H79" s="129">
        <f>הגנה!AU79</f>
        <v>8.9956506504303303E-3</v>
      </c>
      <c r="I79" s="280">
        <f>הגנה!AV79</f>
        <v>72709.721233874865</v>
      </c>
      <c r="J79" s="281">
        <f t="shared" si="1"/>
        <v>0.14352228915882703</v>
      </c>
      <c r="K79" s="279">
        <f t="shared" si="2"/>
        <v>9125.721233874865</v>
      </c>
    </row>
    <row r="80" spans="2:11" ht="15.75" x14ac:dyDescent="0.25">
      <c r="B80" s="73">
        <f t="shared" si="0"/>
        <v>60</v>
      </c>
      <c r="C80" s="274" t="str">
        <f>הגנה!C80</f>
        <v>ק.ט.מ.ו.ן קבוצת מחול בירושלים</v>
      </c>
      <c r="D80" s="448">
        <f>IF($C80="","",סיווג!AB80)</f>
        <v>1</v>
      </c>
      <c r="E80" s="449">
        <f>IF(C80="","",ייצוב!G80)</f>
        <v>1.309355758211128E-2</v>
      </c>
      <c r="F80" s="277">
        <f>IF($C80="","",ייצוב!E80)</f>
        <v>99192</v>
      </c>
      <c r="G80" s="277">
        <f>IF($C80="","",'התחשיב הבסיסי'!O66)</f>
        <v>107831.24224142644</v>
      </c>
      <c r="H80" s="129">
        <f>הגנה!AU80</f>
        <v>1.4182240870012911E-2</v>
      </c>
      <c r="I80" s="280">
        <f>הגנה!AV80</f>
        <v>114631.70594346903</v>
      </c>
      <c r="J80" s="281">
        <f t="shared" si="1"/>
        <v>0.15565474981318084</v>
      </c>
      <c r="K80" s="279">
        <f t="shared" si="2"/>
        <v>15439.705943469031</v>
      </c>
    </row>
    <row r="81" spans="2:11" ht="21" customHeight="1" x14ac:dyDescent="0.25">
      <c r="B81" s="73">
        <f t="shared" si="0"/>
        <v>61</v>
      </c>
      <c r="C81" s="274" t="str">
        <f>הגנה!C81</f>
        <v>רונית זיו</v>
      </c>
      <c r="D81" s="448">
        <f>IF($C81="","",סיווג!AB81)</f>
        <v>1</v>
      </c>
      <c r="E81" s="449">
        <f>IF(C81="","",ייצוב!G81)</f>
        <v>1.1738555479316978E-2</v>
      </c>
      <c r="F81" s="277">
        <f>IF($C81="","",ייצוב!E81)</f>
        <v>88927</v>
      </c>
      <c r="G81" s="277">
        <f>IF($C81="","",'התחשיב הבסיסי'!O67)</f>
        <v>78034.903037696829</v>
      </c>
      <c r="H81" s="129">
        <f>הגנה!AU81</f>
        <v>1.0578099163891498E-2</v>
      </c>
      <c r="I81" s="280">
        <f>הגנה!AV81</f>
        <v>85500.279110332296</v>
      </c>
      <c r="J81" s="281">
        <f t="shared" si="1"/>
        <v>-3.8534088518309417E-2</v>
      </c>
      <c r="K81" s="279">
        <f t="shared" si="2"/>
        <v>-3426.7208896677039</v>
      </c>
    </row>
    <row r="82" spans="2:11" ht="15.75" x14ac:dyDescent="0.25">
      <c r="B82" s="73">
        <f t="shared" si="0"/>
        <v>62</v>
      </c>
      <c r="C82" s="274" t="str">
        <f>הגנה!C82</f>
        <v>טלי זבילביץ</v>
      </c>
      <c r="D82" s="448">
        <f>IF($C82="","",סיווג!AB82)</f>
        <v>1</v>
      </c>
      <c r="E82" s="449">
        <f>IF(C82="","",ייצוב!G82)</f>
        <v>5.3678675606556496E-3</v>
      </c>
      <c r="F82" s="277">
        <f>IF($C82="","",ייצוב!E82)</f>
        <v>40665</v>
      </c>
      <c r="G82" s="277">
        <f>IF($C82="","",'התחשיב הבסיסי'!O68)</f>
        <v>50450.279737578225</v>
      </c>
      <c r="H82" s="129">
        <f>הגנה!AU82</f>
        <v>5.7209595597957075E-3</v>
      </c>
      <c r="I82" s="280">
        <f>הגנה!AV82</f>
        <v>46241.165975372591</v>
      </c>
      <c r="J82" s="281">
        <f t="shared" si="1"/>
        <v>0.13712445531470774</v>
      </c>
      <c r="K82" s="279">
        <f t="shared" si="2"/>
        <v>5576.1659753725908</v>
      </c>
    </row>
    <row r="83" spans="2:11" ht="15.75" x14ac:dyDescent="0.25">
      <c r="B83" s="73">
        <f t="shared" si="0"/>
        <v>63</v>
      </c>
      <c r="C83" s="274" t="str">
        <f>הגנה!C83</f>
        <v>רייצ'ל ארדוס</v>
      </c>
      <c r="D83" s="448">
        <f>IF($C83="","",סיווג!AB83)</f>
        <v>1</v>
      </c>
      <c r="E83" s="449">
        <f>IF(C83="","",ייצוב!G83)</f>
        <v>1.3243248023861766E-2</v>
      </c>
      <c r="F83" s="277">
        <f>IF($C83="","",ייצוב!E83)</f>
        <v>100326</v>
      </c>
      <c r="G83" s="277">
        <f>IF($C83="","",'התחשיב הבסיסי'!O69)</f>
        <v>117182.6045616835</v>
      </c>
      <c r="H83" s="129">
        <f>הגנה!AU83</f>
        <v>1.3678365611244385E-2</v>
      </c>
      <c r="I83" s="280">
        <f>הגנה!AV83</f>
        <v>110559.00114140411</v>
      </c>
      <c r="J83" s="281">
        <f t="shared" si="1"/>
        <v>0.10199749956545778</v>
      </c>
      <c r="K83" s="279">
        <f t="shared" si="2"/>
        <v>10233.001141404107</v>
      </c>
    </row>
    <row r="84" spans="2:11" ht="15.75" x14ac:dyDescent="0.25">
      <c r="B84" s="73">
        <f t="shared" si="0"/>
        <v>64</v>
      </c>
      <c r="C84" s="274" t="str">
        <f>הגנה!C84</f>
        <v>שירה אביתר</v>
      </c>
      <c r="D84" s="448">
        <f>IF($C84="","",סיווג!AB84)</f>
        <v>1</v>
      </c>
      <c r="E84" s="449">
        <f>IF(C84="","",ייצוב!G84)</f>
        <v>6.9177048416013765E-3</v>
      </c>
      <c r="F84" s="277">
        <f>IF($C84="","",ייצוב!E84)</f>
        <v>52406</v>
      </c>
      <c r="G84" s="277">
        <f>IF($C84="","",'התחשיב הבסיסי'!O70)</f>
        <v>44541.073997435356</v>
      </c>
      <c r="H84" s="129">
        <f>הגנה!AU84</f>
        <v>6.1472843390530879E-3</v>
      </c>
      <c r="I84" s="280">
        <f>הגנה!AV84</f>
        <v>49687.048553462097</v>
      </c>
      <c r="J84" s="281">
        <f t="shared" si="1"/>
        <v>-5.1882445646259989E-2</v>
      </c>
      <c r="K84" s="279">
        <f t="shared" si="2"/>
        <v>-2718.9514465379034</v>
      </c>
    </row>
    <row r="85" spans="2:11" ht="15.75" customHeight="1" x14ac:dyDescent="0.25">
      <c r="B85" s="73">
        <f t="shared" si="0"/>
        <v>65</v>
      </c>
      <c r="C85" s="274" t="str">
        <f>הגנה!C85</f>
        <v>שלומית פונדמינסקי</v>
      </c>
      <c r="D85" s="448">
        <f>IF($C85="","",סיווג!AB85)</f>
        <v>1</v>
      </c>
      <c r="E85" s="449">
        <f>IF(C85="","",ייצוב!G85)</f>
        <v>1.3238363944192658E-2</v>
      </c>
      <c r="F85" s="277">
        <f>IF($C85="","",ייצוב!E85)</f>
        <v>100289</v>
      </c>
      <c r="G85" s="277">
        <f>IF($C85="","",'התחשיב הבסיסי'!O71)</f>
        <v>173441.59628291681</v>
      </c>
      <c r="H85" s="129">
        <f>הגנה!AU85</f>
        <v>1.7043015609883163E-2</v>
      </c>
      <c r="I85" s="280">
        <f>הגנה!AV85</f>
        <v>137754.67302300167</v>
      </c>
      <c r="J85" s="281">
        <f t="shared" si="1"/>
        <v>0.37357709243288562</v>
      </c>
      <c r="K85" s="279">
        <f t="shared" si="2"/>
        <v>37465.673023001669</v>
      </c>
    </row>
    <row r="86" spans="2:11" ht="15.75" customHeight="1" x14ac:dyDescent="0.25">
      <c r="B86" s="73" t="str">
        <f t="shared" ref="B86:B118" si="3">IF(C86="","",ROW()-20)</f>
        <v/>
      </c>
      <c r="C86" s="274" t="str">
        <f>הגנה!C86</f>
        <v/>
      </c>
      <c r="D86" s="448" t="str">
        <f>IF($C86="","",סיווג!AB86)</f>
        <v/>
      </c>
      <c r="E86" s="449" t="str">
        <f>IF(C86="","",ייצוב!G86)</f>
        <v/>
      </c>
      <c r="F86" s="277" t="str">
        <f>IF($C86="","",ייצוב!E86)</f>
        <v/>
      </c>
      <c r="G86" s="277" t="str">
        <f>IF($C86="","",'התחשיב הבסיסי'!O72)</f>
        <v/>
      </c>
      <c r="H86" s="129" t="str">
        <f>הגנה!AU86</f>
        <v/>
      </c>
      <c r="I86" s="280" t="str">
        <f>הגנה!AV86</f>
        <v/>
      </c>
      <c r="J86" s="281" t="str">
        <f t="shared" ref="J86:J118" si="4">IF($C86="","",IFERROR(I86/F86-1,""))</f>
        <v/>
      </c>
      <c r="K86" s="279" t="str">
        <f t="shared" ref="K86:K118" si="5">IF(C86="","",I86-F86)</f>
        <v/>
      </c>
    </row>
    <row r="87" spans="2:11" ht="15.75" x14ac:dyDescent="0.25">
      <c r="B87" s="73">
        <f t="shared" si="3"/>
        <v>67</v>
      </c>
      <c r="C87" s="274" t="str">
        <f>הגנה!C87</f>
        <v>שרון וזנה</v>
      </c>
      <c r="D87" s="448">
        <f>IF($C87="","",סיווג!AB87)</f>
        <v>1</v>
      </c>
      <c r="E87" s="449">
        <f>IF(C87="","",ייצוב!G87)</f>
        <v>9.6187329007710771E-3</v>
      </c>
      <c r="F87" s="277">
        <f>IF($C87="","",ייצוב!E87)</f>
        <v>72868</v>
      </c>
      <c r="G87" s="277">
        <f>IF($C87="","",'התחשיב הבסיסי'!O73)</f>
        <v>79007.740411074716</v>
      </c>
      <c r="H87" s="129">
        <f>הגנה!AU87</f>
        <v>9.569473785225267E-3</v>
      </c>
      <c r="I87" s="280">
        <f>הגנה!AV87</f>
        <v>77347.798210162524</v>
      </c>
      <c r="J87" s="281">
        <f t="shared" si="4"/>
        <v>6.1478264947062211E-2</v>
      </c>
      <c r="K87" s="279">
        <f t="shared" si="5"/>
        <v>4479.7982101625239</v>
      </c>
    </row>
    <row r="88" spans="2:11" ht="15.75" customHeight="1" x14ac:dyDescent="0.25">
      <c r="B88" s="73">
        <f t="shared" si="3"/>
        <v>68</v>
      </c>
      <c r="C88" s="274" t="str">
        <f>הגנה!C88</f>
        <v>שרונה פלורסהיים</v>
      </c>
      <c r="D88" s="448">
        <f>IF($C88="","",סיווג!AB88)</f>
        <v>1</v>
      </c>
      <c r="E88" s="449">
        <f>IF(C88="","",ייצוב!G88)</f>
        <v>1.8623259782613574E-2</v>
      </c>
      <c r="F88" s="277">
        <f>IF($C88="","",ייצוב!E88)</f>
        <v>141083</v>
      </c>
      <c r="G88" s="277">
        <f>IF($C88="","",'התחשיב הבסיסי'!O74)</f>
        <v>137317.11861819931</v>
      </c>
      <c r="H88" s="129">
        <f>הגנה!AU88</f>
        <v>1.7591034472465187E-2</v>
      </c>
      <c r="I88" s="280">
        <f>הגנה!AV88</f>
        <v>142184.1801568006</v>
      </c>
      <c r="J88" s="281">
        <f t="shared" si="4"/>
        <v>7.805193799399035E-3</v>
      </c>
      <c r="K88" s="279">
        <f t="shared" si="5"/>
        <v>1101.1801568006049</v>
      </c>
    </row>
    <row r="89" spans="2:11" ht="15.75" customHeight="1" x14ac:dyDescent="0.25">
      <c r="B89" s="73">
        <f t="shared" si="3"/>
        <v>69</v>
      </c>
      <c r="C89" s="274" t="str">
        <f>הגנה!C89</f>
        <v>תמי ליבוביץ</v>
      </c>
      <c r="D89" s="448">
        <f>IF($C89="","",סיווג!AB89)</f>
        <v>1</v>
      </c>
      <c r="E89" s="449">
        <f>IF(C89="","",ייצוב!G89)</f>
        <v>8.1136443497666338E-3</v>
      </c>
      <c r="F89" s="277">
        <f>IF($C89="","",ייצוב!E89)</f>
        <v>61466</v>
      </c>
      <c r="G89" s="277">
        <f>IF($C89="","",'התחשיב הבסיסי'!O75)</f>
        <v>57465.318081637713</v>
      </c>
      <c r="H89" s="129">
        <f>הגנה!AU89</f>
        <v>7.5226863046698889E-3</v>
      </c>
      <c r="I89" s="280">
        <f>הגנה!AV89</f>
        <v>60804.09804667881</v>
      </c>
      <c r="J89" s="281">
        <f t="shared" si="4"/>
        <v>-1.0768586752370246E-2</v>
      </c>
      <c r="K89" s="279">
        <f t="shared" si="5"/>
        <v>-661.90195332119038</v>
      </c>
    </row>
    <row r="90" spans="2:11" ht="15.75" x14ac:dyDescent="0.25">
      <c r="B90" s="73">
        <f t="shared" ref="B90:B104" si="6">IF(C90="","",ROW()-20)</f>
        <v>70</v>
      </c>
      <c r="C90" s="274" t="str">
        <f>הגנה!C90</f>
        <v>תמר בורר</v>
      </c>
      <c r="D90" s="448">
        <f>IF($C90="","",סיווג!AB90)</f>
        <v>1</v>
      </c>
      <c r="E90" s="449">
        <f>IF(C90="","",ייצוב!G90)</f>
        <v>1.0041799801838367E-2</v>
      </c>
      <c r="F90" s="277">
        <f>IF($C90="","",ייצוב!E90)</f>
        <v>76073</v>
      </c>
      <c r="G90" s="277">
        <f>IF($C90="","",'התחשיב הבסיסי'!O76)</f>
        <v>61094.605665866962</v>
      </c>
      <c r="H90" s="129">
        <f>הגנה!AU90</f>
        <v>8.7102885431829553E-3</v>
      </c>
      <c r="I90" s="280">
        <f>הגנה!AV90</f>
        <v>70403.206666451631</v>
      </c>
      <c r="J90" s="281">
        <f t="shared" si="4"/>
        <v>-7.4530954918938019E-2</v>
      </c>
      <c r="K90" s="279">
        <f t="shared" ref="K90:K104" si="7">IF(C90="","",I90-F90)</f>
        <v>-5669.7933335483685</v>
      </c>
    </row>
    <row r="91" spans="2:11" ht="15.75" x14ac:dyDescent="0.25">
      <c r="B91" s="73">
        <f t="shared" si="6"/>
        <v>71</v>
      </c>
      <c r="C91" s="274" t="str">
        <f>הגנה!C91</f>
        <v>תמי ורונן יצחקי</v>
      </c>
      <c r="D91" s="448">
        <f>IF($C91="","",סיווג!AB91)</f>
        <v>1</v>
      </c>
      <c r="E91" s="449">
        <f>IF(C91="","",ייצוב!G91)</f>
        <v>1.2119249689200931E-2</v>
      </c>
      <c r="F91" s="277">
        <f>IF($C91="","",ייצוב!E91)</f>
        <v>91811</v>
      </c>
      <c r="G91" s="277">
        <f>IF($C91="","",'התחשיב הבסיסי'!O77)</f>
        <v>76989.303854465485</v>
      </c>
      <c r="H91" s="129">
        <f>הגנה!AU91</f>
        <v>1.1520257788617509E-2</v>
      </c>
      <c r="I91" s="280">
        <f>הגנה!AV91</f>
        <v>93115.524924557205</v>
      </c>
      <c r="J91" s="281">
        <f t="shared" si="4"/>
        <v>1.4208808580205012E-2</v>
      </c>
      <c r="K91" s="279">
        <f t="shared" si="7"/>
        <v>1304.5249245572049</v>
      </c>
    </row>
    <row r="92" spans="2:11" ht="15.75" customHeight="1" x14ac:dyDescent="0.25">
      <c r="B92" s="73">
        <f t="shared" si="6"/>
        <v>72</v>
      </c>
      <c r="C92" s="274" t="str">
        <f>הגנה!C92</f>
        <v>רננה רז</v>
      </c>
      <c r="D92" s="448">
        <f>IF($C92="","",סיווג!AB92)</f>
        <v>1</v>
      </c>
      <c r="E92" s="449">
        <f>IF(C92="","",ייצוב!G92)</f>
        <v>2.4535372220991669E-2</v>
      </c>
      <c r="F92" s="277">
        <f>IF($C92="","",ייצוב!E92)</f>
        <v>185871</v>
      </c>
      <c r="G92" s="277">
        <f>IF($C92="","",'התחשיב הבסיסי'!O78)</f>
        <v>148550.53512635548</v>
      </c>
      <c r="H92" s="129">
        <f>הגנה!AU92</f>
        <v>2.280772270686526E-2</v>
      </c>
      <c r="I92" s="280">
        <f>הגנה!AV92</f>
        <v>184349.44001703308</v>
      </c>
      <c r="J92" s="281">
        <f t="shared" si="4"/>
        <v>-8.1861074775888554E-3</v>
      </c>
      <c r="K92" s="279">
        <f t="shared" si="7"/>
        <v>-1521.5599829669227</v>
      </c>
    </row>
    <row r="93" spans="2:11" ht="15.75" customHeight="1" x14ac:dyDescent="0.25">
      <c r="B93" s="73">
        <f t="shared" si="6"/>
        <v>73</v>
      </c>
      <c r="C93" s="274" t="str">
        <f>הגנה!C93</f>
        <v>רתם תשח</v>
      </c>
      <c r="D93" s="448">
        <f>IF($C93="","",סיווג!AB93)</f>
        <v>1</v>
      </c>
      <c r="E93" s="449">
        <f>IF(C93="","",ייצוב!G93)</f>
        <v>4.9953574842712834E-3</v>
      </c>
      <c r="F93" s="277">
        <f>IF($C93="","",ייצוב!E93)</f>
        <v>37843</v>
      </c>
      <c r="G93" s="277">
        <f>IF($C93="","",'התחשיב הבסיסי'!O79)</f>
        <v>36624.921346808005</v>
      </c>
      <c r="H93" s="129">
        <f>הגנה!AU93</f>
        <v>4.7060357229391026E-3</v>
      </c>
      <c r="I93" s="280">
        <f>הגנה!AV93</f>
        <v>38037.776124086151</v>
      </c>
      <c r="J93" s="281">
        <f t="shared" si="4"/>
        <v>5.1469525166121244E-3</v>
      </c>
      <c r="K93" s="279">
        <f t="shared" si="7"/>
        <v>194.77612408615096</v>
      </c>
    </row>
    <row r="94" spans="2:11" ht="15.75" customHeight="1" x14ac:dyDescent="0.25">
      <c r="B94" s="73" t="str">
        <f t="shared" si="6"/>
        <v/>
      </c>
      <c r="C94" s="274" t="str">
        <f>הגנה!C94</f>
        <v/>
      </c>
      <c r="D94" s="448" t="str">
        <f>IF($C94="","",סיווג!AB94)</f>
        <v/>
      </c>
      <c r="E94" s="449" t="str">
        <f>IF(C94="","",ייצוב!G94)</f>
        <v/>
      </c>
      <c r="F94" s="277" t="str">
        <f>IF($C94="","",ייצוב!E94)</f>
        <v/>
      </c>
      <c r="G94" s="277" t="str">
        <f>IF($C94="","",'התחשיב הבסיסי'!O80)</f>
        <v/>
      </c>
      <c r="H94" s="129" t="str">
        <f>הגנה!AU94</f>
        <v/>
      </c>
      <c r="I94" s="280" t="str">
        <f>הגנה!AV94</f>
        <v/>
      </c>
      <c r="J94" s="281" t="str">
        <f t="shared" si="4"/>
        <v/>
      </c>
      <c r="K94" s="279" t="str">
        <f t="shared" si="7"/>
        <v/>
      </c>
    </row>
    <row r="95" spans="2:11" ht="15.75" customHeight="1" x14ac:dyDescent="0.25">
      <c r="B95" s="73" t="str">
        <f t="shared" si="6"/>
        <v/>
      </c>
      <c r="C95" s="274" t="str">
        <f>הגנה!C95</f>
        <v/>
      </c>
      <c r="D95" s="448" t="str">
        <f>IF($C95="","",סיווג!AB95)</f>
        <v/>
      </c>
      <c r="E95" s="449" t="str">
        <f>IF(C95="","",ייצוב!G95)</f>
        <v/>
      </c>
      <c r="F95" s="277" t="str">
        <f>IF($C95="","",ייצוב!E95)</f>
        <v/>
      </c>
      <c r="G95" s="277" t="str">
        <f>IF($C95="","",'התחשיב הבסיסי'!O81)</f>
        <v/>
      </c>
      <c r="H95" s="129" t="str">
        <f>הגנה!AU95</f>
        <v/>
      </c>
      <c r="I95" s="280" t="str">
        <f>הגנה!AV95</f>
        <v/>
      </c>
      <c r="J95" s="281" t="str">
        <f t="shared" si="4"/>
        <v/>
      </c>
      <c r="K95" s="279" t="str">
        <f t="shared" si="7"/>
        <v/>
      </c>
    </row>
    <row r="96" spans="2:11" ht="15.75" customHeight="1" x14ac:dyDescent="0.25">
      <c r="B96" s="73">
        <f t="shared" si="6"/>
        <v>76</v>
      </c>
      <c r="C96" s="274" t="str">
        <f>הגנה!C96</f>
        <v>שרון שגיא - פלמנקו</v>
      </c>
      <c r="D96" s="448">
        <f>IF($C96="","",סיווג!AB96)</f>
        <v>1</v>
      </c>
      <c r="E96" s="449">
        <f>IF(C96="","",ייצוב!G96)</f>
        <v>2.7680983532203378E-2</v>
      </c>
      <c r="F96" s="277">
        <f>IF($C96="","",ייצוב!E96)</f>
        <v>209701</v>
      </c>
      <c r="G96" s="277">
        <f>IF($C96="","",'התחשיב הבסיסי'!O82)</f>
        <v>235186.44530968633</v>
      </c>
      <c r="H96" s="129">
        <f>הגנה!AU96</f>
        <v>3.0491025149924599E-2</v>
      </c>
      <c r="I96" s="280">
        <f>הגנה!AV96</f>
        <v>246451.76040490516</v>
      </c>
      <c r="J96" s="281">
        <f t="shared" si="4"/>
        <v>0.1752531480770485</v>
      </c>
      <c r="K96" s="279">
        <f t="shared" si="7"/>
        <v>36750.760404905159</v>
      </c>
    </row>
    <row r="97" spans="2:11" ht="15.75" customHeight="1" x14ac:dyDescent="0.25">
      <c r="B97" s="73" t="str">
        <f t="shared" si="6"/>
        <v/>
      </c>
      <c r="C97" s="274" t="str">
        <f>הגנה!C97</f>
        <v/>
      </c>
      <c r="D97" s="448" t="str">
        <f>IF($C97="","",סיווג!AB97)</f>
        <v/>
      </c>
      <c r="E97" s="449" t="str">
        <f>IF(C97="","",ייצוב!G97)</f>
        <v/>
      </c>
      <c r="F97" s="277" t="str">
        <f>IF($C97="","",ייצוב!E97)</f>
        <v/>
      </c>
      <c r="G97" s="277" t="str">
        <f>IF($C97="","",'התחשיב הבסיסי'!O83)</f>
        <v/>
      </c>
      <c r="H97" s="129" t="str">
        <f>הגנה!AU97</f>
        <v/>
      </c>
      <c r="I97" s="280" t="str">
        <f>הגנה!AV97</f>
        <v/>
      </c>
      <c r="J97" s="281" t="str">
        <f t="shared" si="4"/>
        <v/>
      </c>
      <c r="K97" s="279" t="str">
        <f t="shared" si="7"/>
        <v/>
      </c>
    </row>
    <row r="98" spans="2:11" ht="15.75" customHeight="1" x14ac:dyDescent="0.25">
      <c r="B98" s="73">
        <f t="shared" si="6"/>
        <v>78</v>
      </c>
      <c r="C98" s="274" t="str">
        <f>הגנה!C98</f>
        <v>אוליביה קורט מסה</v>
      </c>
      <c r="D98" s="448">
        <f>IF($C98="","",סיווג!AB98)</f>
        <v>1</v>
      </c>
      <c r="E98" s="449">
        <f>IF(C98="","",ייצוב!G98)</f>
        <v>0</v>
      </c>
      <c r="F98" s="277">
        <f>IF($C98="","",ייצוב!E98)</f>
        <v>0</v>
      </c>
      <c r="G98" s="277">
        <f>IF($C98="","",'התחשיב הבסיסי'!O84)</f>
        <v>101883.72352290736</v>
      </c>
      <c r="H98" s="129">
        <f>הגנה!AU98</f>
        <v>1.2195508400816742E-2</v>
      </c>
      <c r="I98" s="280">
        <f>הגנה!AV98</f>
        <v>98573.416263819134</v>
      </c>
      <c r="J98" s="281" t="str">
        <f t="shared" si="4"/>
        <v/>
      </c>
      <c r="K98" s="279">
        <f t="shared" si="7"/>
        <v>98573.416263819134</v>
      </c>
    </row>
    <row r="99" spans="2:11" ht="15.75" customHeight="1" x14ac:dyDescent="0.25">
      <c r="B99" s="73" t="str">
        <f t="shared" si="6"/>
        <v/>
      </c>
      <c r="C99" s="274" t="str">
        <f>הגנה!C99</f>
        <v/>
      </c>
      <c r="D99" s="448" t="str">
        <f>IF($C99="","",סיווג!AB99)</f>
        <v/>
      </c>
      <c r="E99" s="449" t="str">
        <f>IF(C99="","",ייצוב!G99)</f>
        <v/>
      </c>
      <c r="F99" s="277" t="str">
        <f>IF($C99="","",ייצוב!E99)</f>
        <v/>
      </c>
      <c r="G99" s="277" t="str">
        <f>IF($C99="","",'התחשיב הבסיסי'!O85)</f>
        <v/>
      </c>
      <c r="H99" s="129" t="str">
        <f>הגנה!AU99</f>
        <v/>
      </c>
      <c r="I99" s="280" t="str">
        <f>הגנה!AV99</f>
        <v/>
      </c>
      <c r="J99" s="281" t="str">
        <f t="shared" si="4"/>
        <v/>
      </c>
      <c r="K99" s="279" t="str">
        <f t="shared" si="7"/>
        <v/>
      </c>
    </row>
    <row r="100" spans="2:11" ht="15.75" customHeight="1" x14ac:dyDescent="0.25">
      <c r="B100" s="73" t="str">
        <f t="shared" si="6"/>
        <v/>
      </c>
      <c r="C100" s="274" t="str">
        <f>הגנה!C100</f>
        <v/>
      </c>
      <c r="D100" s="448" t="str">
        <f>IF($C100="","",סיווג!AB100)</f>
        <v/>
      </c>
      <c r="E100" s="449" t="str">
        <f>IF(C100="","",ייצוב!G100)</f>
        <v/>
      </c>
      <c r="F100" s="277" t="str">
        <f>IF($C100="","",ייצוב!E100)</f>
        <v/>
      </c>
      <c r="G100" s="277" t="str">
        <f>IF($C100="","",'התחשיב הבסיסי'!O86)</f>
        <v/>
      </c>
      <c r="H100" s="129" t="str">
        <f>הגנה!AU100</f>
        <v/>
      </c>
      <c r="I100" s="280" t="str">
        <f>הגנה!AV100</f>
        <v/>
      </c>
      <c r="J100" s="281" t="str">
        <f t="shared" si="4"/>
        <v/>
      </c>
      <c r="K100" s="279" t="str">
        <f t="shared" si="7"/>
        <v/>
      </c>
    </row>
    <row r="101" spans="2:11" ht="15.75" customHeight="1" x14ac:dyDescent="0.25">
      <c r="B101" s="73">
        <f t="shared" si="6"/>
        <v>81</v>
      </c>
      <c r="C101" s="274" t="str">
        <f>הגנה!C101</f>
        <v>דגה פדר</v>
      </c>
      <c r="D101" s="448">
        <f>IF($C101="","",סיווג!AB101)</f>
        <v>1</v>
      </c>
      <c r="E101" s="449">
        <f>IF(C101="","",ייצוב!G101)</f>
        <v>4.6591480000221759E-3</v>
      </c>
      <c r="F101" s="277">
        <f>IF($C101="","",ייצוב!E101)</f>
        <v>35296</v>
      </c>
      <c r="G101" s="277">
        <f>IF($C101="","",'התחשיב הבסיסי'!O87)</f>
        <v>33425.349597521337</v>
      </c>
      <c r="H101" s="129">
        <f>הגנה!AU101</f>
        <v>4.3453357226097321E-3</v>
      </c>
      <c r="I101" s="280">
        <f>הגנה!AV101</f>
        <v>35122.32314662393</v>
      </c>
      <c r="J101" s="281">
        <f t="shared" si="4"/>
        <v>-4.9205817479620606E-3</v>
      </c>
      <c r="K101" s="279">
        <f t="shared" si="7"/>
        <v>-173.67685337606963</v>
      </c>
    </row>
    <row r="102" spans="2:11" ht="15.75" customHeight="1" x14ac:dyDescent="0.25">
      <c r="B102" s="73">
        <f t="shared" si="6"/>
        <v>82</v>
      </c>
      <c r="C102" s="274" t="str">
        <f>הגנה!C102</f>
        <v>דנה חפוטה</v>
      </c>
      <c r="D102" s="448">
        <f>IF($C102="","",סיווג!AB102)</f>
        <v>1</v>
      </c>
      <c r="E102" s="449">
        <f>IF(C102="","",ייצוב!G102)</f>
        <v>5.329190929762446E-3</v>
      </c>
      <c r="F102" s="277">
        <f>IF($C102="","",ייצוב!E102)</f>
        <v>40372</v>
      </c>
      <c r="G102" s="277">
        <f>IF($C102="","",'התחשיב הבסיסי'!O88)</f>
        <v>58401.425643247225</v>
      </c>
      <c r="H102" s="129">
        <f>הגנה!AU102</f>
        <v>6.2653866719284811E-3</v>
      </c>
      <c r="I102" s="280">
        <f>הגנה!AV102</f>
        <v>50641.641837943338</v>
      </c>
      <c r="J102" s="281">
        <f t="shared" si="4"/>
        <v>0.25437535514572818</v>
      </c>
      <c r="K102" s="279">
        <f t="shared" si="7"/>
        <v>10269.641837943338</v>
      </c>
    </row>
    <row r="103" spans="2:11" ht="15.75" customHeight="1" x14ac:dyDescent="0.25">
      <c r="B103" s="73" t="str">
        <f t="shared" si="6"/>
        <v/>
      </c>
      <c r="C103" s="274" t="str">
        <f>הגנה!C103</f>
        <v/>
      </c>
      <c r="D103" s="448" t="str">
        <f>IF($C103="","",סיווג!AB103)</f>
        <v/>
      </c>
      <c r="E103" s="449" t="str">
        <f>IF(C103="","",ייצוב!G103)</f>
        <v/>
      </c>
      <c r="F103" s="277" t="str">
        <f>IF($C103="","",ייצוב!E103)</f>
        <v/>
      </c>
      <c r="G103" s="277" t="str">
        <f>IF($C103="","",'התחשיב הבסיסי'!O89)</f>
        <v/>
      </c>
      <c r="H103" s="129" t="str">
        <f>הגנה!AU103</f>
        <v/>
      </c>
      <c r="I103" s="280" t="str">
        <f>הגנה!AV103</f>
        <v/>
      </c>
      <c r="J103" s="281" t="str">
        <f t="shared" si="4"/>
        <v/>
      </c>
      <c r="K103" s="279" t="str">
        <f t="shared" si="7"/>
        <v/>
      </c>
    </row>
    <row r="104" spans="2:11" ht="15.75" customHeight="1" x14ac:dyDescent="0.25">
      <c r="B104" s="73" t="str">
        <f t="shared" si="6"/>
        <v/>
      </c>
      <c r="C104" s="274" t="str">
        <f>הגנה!C104</f>
        <v/>
      </c>
      <c r="D104" s="448" t="str">
        <f>IF($C104="","",סיווג!AB104)</f>
        <v/>
      </c>
      <c r="E104" s="449" t="str">
        <f>IF(C104="","",ייצוב!G104)</f>
        <v/>
      </c>
      <c r="F104" s="277" t="str">
        <f>IF($C104="","",ייצוב!E104)</f>
        <v/>
      </c>
      <c r="G104" s="277" t="str">
        <f>IF($C104="","",'התחשיב הבסיסי'!O90)</f>
        <v/>
      </c>
      <c r="H104" s="129" t="str">
        <f>הגנה!AU104</f>
        <v/>
      </c>
      <c r="I104" s="280" t="str">
        <f>הגנה!AV104</f>
        <v/>
      </c>
      <c r="J104" s="281" t="str">
        <f t="shared" si="4"/>
        <v/>
      </c>
      <c r="K104" s="279" t="str">
        <f t="shared" si="7"/>
        <v/>
      </c>
    </row>
    <row r="105" spans="2:11" ht="15.75" customHeight="1" x14ac:dyDescent="0.25">
      <c r="B105" s="156">
        <f t="shared" si="3"/>
        <v>85</v>
      </c>
      <c r="C105" s="274" t="str">
        <f>הגנה!C105</f>
        <v>יענק'לה פילצר</v>
      </c>
      <c r="D105" s="448">
        <f>IF($C105="","",סיווג!AB105)</f>
        <v>1</v>
      </c>
      <c r="E105" s="449">
        <f>IF(C105="","",ייצוב!G105)</f>
        <v>1.5640407126321046E-2</v>
      </c>
      <c r="F105" s="277">
        <f>IF($C105="","",ייצוב!E105)</f>
        <v>118486</v>
      </c>
      <c r="G105" s="277">
        <f>IF($C105="","",'התחשיב הבסיסי'!O91)</f>
        <v>173477.34597213479</v>
      </c>
      <c r="H105" s="129">
        <f>הגנה!AU105</f>
        <v>1.8254039113379975E-2</v>
      </c>
      <c r="I105" s="280">
        <f>הגנה!AV105</f>
        <v>147543.09020021959</v>
      </c>
      <c r="J105" s="281">
        <f t="shared" si="4"/>
        <v>0.24523648532501396</v>
      </c>
      <c r="K105" s="279">
        <f t="shared" si="5"/>
        <v>29057.090200219594</v>
      </c>
    </row>
    <row r="106" spans="2:11" ht="15.75" customHeight="1" x14ac:dyDescent="0.25">
      <c r="B106" s="156">
        <f t="shared" si="3"/>
        <v>86</v>
      </c>
      <c r="C106" s="274" t="str">
        <f>הגנה!C106</f>
        <v>ענבל פינטו</v>
      </c>
      <c r="D106" s="448">
        <f>IF($C106="","",סיווג!AB106)</f>
        <v>1</v>
      </c>
      <c r="E106" s="449">
        <f>IF(C106="","",ייצוב!G106)</f>
        <v>1.375752841280347E-2</v>
      </c>
      <c r="F106" s="277">
        <f>IF($C106="","",ייצוב!E106)</f>
        <v>104222</v>
      </c>
      <c r="G106" s="277">
        <f>IF($C106="","",'התחשיב הבסיסי'!O92)</f>
        <v>100985.41908572346</v>
      </c>
      <c r="H106" s="129">
        <f>הגנה!AU106</f>
        <v>1.2967785458699128E-2</v>
      </c>
      <c r="I106" s="280">
        <f>הגנה!AV106</f>
        <v>104815.5494652968</v>
      </c>
      <c r="J106" s="281">
        <f t="shared" si="4"/>
        <v>5.6950496564718289E-3</v>
      </c>
      <c r="K106" s="279">
        <f t="shared" si="5"/>
        <v>593.54946529680456</v>
      </c>
    </row>
    <row r="107" spans="2:11" ht="15.75" customHeight="1" x14ac:dyDescent="0.25">
      <c r="B107" s="156">
        <f t="shared" si="3"/>
        <v>87</v>
      </c>
      <c r="C107" s="274" t="str">
        <f>הגנה!C107</f>
        <v>רוני חדש</v>
      </c>
      <c r="D107" s="448">
        <f>IF($C107="","",סיווג!AB107)</f>
        <v>1</v>
      </c>
      <c r="E107" s="449">
        <f>IF(C107="","",ייצוב!G107)</f>
        <v>1.500706079517569E-2</v>
      </c>
      <c r="F107" s="277">
        <f>IF($C107="","",ייצוב!E107)</f>
        <v>113688</v>
      </c>
      <c r="G107" s="277">
        <f>IF($C107="","",'התחשיב הבסיסי'!O93)</f>
        <v>80348.483805274474</v>
      </c>
      <c r="H107" s="129">
        <f>הגנה!AU107</f>
        <v>1.2361518298104406E-2</v>
      </c>
      <c r="I107" s="280">
        <f>הגנה!AV107</f>
        <v>99915.235085259555</v>
      </c>
      <c r="J107" s="281">
        <f t="shared" si="4"/>
        <v>-0.12114528283319648</v>
      </c>
      <c r="K107" s="279">
        <f t="shared" si="5"/>
        <v>-13772.764914740445</v>
      </c>
    </row>
    <row r="108" spans="2:11" ht="15.75" customHeight="1" x14ac:dyDescent="0.25">
      <c r="B108" s="156">
        <f t="shared" si="3"/>
        <v>88</v>
      </c>
      <c r="C108" s="274" t="str">
        <f>הגנה!C108</f>
        <v>שחר בנימיני</v>
      </c>
      <c r="D108" s="448">
        <f>IF($C108="","",סיווג!AB108)</f>
        <v>1</v>
      </c>
      <c r="E108" s="449">
        <f>IF(C108="","",ייצוב!G108)</f>
        <v>1.4228908101948958E-2</v>
      </c>
      <c r="F108" s="277">
        <f>IF($C108="","",ייצוב!E108)</f>
        <v>107793</v>
      </c>
      <c r="G108" s="277">
        <f>IF($C108="","",'התחשיב הבסיסי'!O94)</f>
        <v>97841.107750359413</v>
      </c>
      <c r="H108" s="129">
        <f>הגנה!AU108</f>
        <v>1.301683076243723E-2</v>
      </c>
      <c r="I108" s="280">
        <f>הגנה!AV108</f>
        <v>105211.97108072019</v>
      </c>
      <c r="J108" s="281">
        <f t="shared" si="4"/>
        <v>-2.394430917851631E-2</v>
      </c>
      <c r="K108" s="279">
        <f t="shared" si="5"/>
        <v>-2581.0289192798082</v>
      </c>
    </row>
    <row r="109" spans="2:11" ht="15.75" customHeight="1" x14ac:dyDescent="0.25">
      <c r="B109" s="156">
        <f t="shared" si="3"/>
        <v>89</v>
      </c>
      <c r="C109" s="274" t="str">
        <f>הגנה!C109</f>
        <v>רביד אברבאנל</v>
      </c>
      <c r="D109" s="273">
        <f>IF($C109="","",סיווג!AB109)</f>
        <v>1</v>
      </c>
      <c r="E109" s="129">
        <f>IF(C109="","",ייצוב!G109)</f>
        <v>7.2131256605057741E-3</v>
      </c>
      <c r="F109" s="277">
        <f>IF($C109="","",ייצוב!E109)</f>
        <v>54644</v>
      </c>
      <c r="G109" s="277">
        <f>IF($C109="","",'התחשיב הבסיסי'!O95)</f>
        <v>74488.170258903105</v>
      </c>
      <c r="H109" s="129">
        <f>הגנה!AU109</f>
        <v>8.0882993447787335E-3</v>
      </c>
      <c r="I109" s="280">
        <f>הגנה!AV109</f>
        <v>65375.814765201132</v>
      </c>
      <c r="J109" s="281">
        <f t="shared" si="4"/>
        <v>0.19639511685091016</v>
      </c>
      <c r="K109" s="279">
        <f t="shared" si="5"/>
        <v>10731.814765201132</v>
      </c>
    </row>
    <row r="110" spans="2:11" ht="15.75" customHeight="1" x14ac:dyDescent="0.25">
      <c r="B110" s="156">
        <f t="shared" si="3"/>
        <v>90</v>
      </c>
      <c r="C110" s="274" t="str">
        <f>הגנה!C110</f>
        <v>שרון פרידמן</v>
      </c>
      <c r="D110" s="273">
        <f>IF($C110="","",סיווג!AB110)</f>
        <v>1</v>
      </c>
      <c r="E110" s="129">
        <f>IF(C110="","",ייצוב!G110)</f>
        <v>6.8469516874759264E-3</v>
      </c>
      <c r="F110" s="277">
        <f>IF($C110="","",ייצוב!E110)</f>
        <v>51870</v>
      </c>
      <c r="G110" s="277">
        <f>IF($C110="","",'התחשיב הבסיסי'!O96)</f>
        <v>119015.49847493884</v>
      </c>
      <c r="H110" s="129">
        <f>הגנה!AU110</f>
        <v>1.0568980236799152E-2</v>
      </c>
      <c r="I110" s="280">
        <f>הגנה!AV110</f>
        <v>85426.572974711657</v>
      </c>
      <c r="J110" s="281">
        <f t="shared" si="4"/>
        <v>0.64693605118009745</v>
      </c>
      <c r="K110" s="279">
        <f t="shared" si="5"/>
        <v>33556.572974711657</v>
      </c>
    </row>
    <row r="111" spans="2:11" ht="15.75" customHeight="1" x14ac:dyDescent="0.25">
      <c r="B111" s="156">
        <f t="shared" si="3"/>
        <v>91</v>
      </c>
      <c r="C111" s="274" t="str">
        <f>הגנה!C111</f>
        <v>מירב כהן</v>
      </c>
      <c r="D111" s="273">
        <f>IF($C111="","",סיווג!AB111)</f>
        <v>1</v>
      </c>
      <c r="E111" s="129">
        <f>IF(C111="","",ייצוב!G111)</f>
        <v>5.9045883156446047E-3</v>
      </c>
      <c r="F111" s="277">
        <f>IF($C111="","",ייצוב!E111)</f>
        <v>44731</v>
      </c>
      <c r="G111" s="277">
        <f>IF($C111="","",'התחשיב הבסיסי'!O97)</f>
        <v>36006.014969786433</v>
      </c>
      <c r="H111" s="129">
        <f>הגנה!AU111</f>
        <v>5.1265855753733275E-3</v>
      </c>
      <c r="I111" s="280">
        <f>הגנה!AV111</f>
        <v>41436.98133154682</v>
      </c>
      <c r="J111" s="281">
        <f t="shared" si="4"/>
        <v>-7.3640622129019673E-2</v>
      </c>
      <c r="K111" s="279">
        <f t="shared" si="5"/>
        <v>-3294.01866845318</v>
      </c>
    </row>
    <row r="112" spans="2:11" ht="15.75" customHeight="1" x14ac:dyDescent="0.25">
      <c r="B112" s="156">
        <f t="shared" si="3"/>
        <v>92</v>
      </c>
      <c r="C112" s="274" t="str">
        <f>הגנה!C112</f>
        <v>קים טייטלבאום</v>
      </c>
      <c r="D112" s="273">
        <f>IF($C112="","",סיווג!AB112)</f>
        <v>1</v>
      </c>
      <c r="E112" s="129">
        <f>IF(C112="","",ייצוב!G112)</f>
        <v>6.4663894797451936E-3</v>
      </c>
      <c r="F112" s="277">
        <f>IF($C112="","",ייצוב!E112)</f>
        <v>48987</v>
      </c>
      <c r="G112" s="277">
        <f>IF($C112="","",'התחשיב הבסיסי'!O98)</f>
        <v>43431.334803869453</v>
      </c>
      <c r="H112" s="129">
        <f>הגנה!AU112</f>
        <v>5.8537313913864623E-3</v>
      </c>
      <c r="I112" s="280">
        <f>הגנה!AV112</f>
        <v>47314.32935596841</v>
      </c>
      <c r="J112" s="281">
        <f t="shared" si="4"/>
        <v>-3.4145194521640221E-2</v>
      </c>
      <c r="K112" s="279">
        <f t="shared" si="5"/>
        <v>-1672.6706440315902</v>
      </c>
    </row>
    <row r="113" spans="1:11" ht="15.75" customHeight="1" x14ac:dyDescent="0.25">
      <c r="B113" s="156" t="str">
        <f t="shared" si="3"/>
        <v/>
      </c>
      <c r="C113" s="274" t="str">
        <f>הגנה!C113</f>
        <v/>
      </c>
      <c r="D113" s="273" t="str">
        <f>IF($C113="","",סיווג!AB113)</f>
        <v/>
      </c>
      <c r="E113" s="129" t="str">
        <f>IF(C113="","",ייצוב!G113)</f>
        <v/>
      </c>
      <c r="F113" s="277" t="str">
        <f>IF($C113="","",ייצוב!E113)</f>
        <v/>
      </c>
      <c r="G113" s="277" t="str">
        <f>IF($C113="","",'התחשיב הבסיסי'!O99)</f>
        <v/>
      </c>
      <c r="H113" s="129" t="str">
        <f>הגנה!AU113</f>
        <v/>
      </c>
      <c r="I113" s="280" t="str">
        <f>הגנה!AV113</f>
        <v/>
      </c>
      <c r="J113" s="281" t="str">
        <f t="shared" si="4"/>
        <v/>
      </c>
      <c r="K113" s="279" t="str">
        <f t="shared" si="5"/>
        <v/>
      </c>
    </row>
    <row r="114" spans="1:11" ht="15.75" customHeight="1" x14ac:dyDescent="0.25">
      <c r="B114" s="156">
        <f t="shared" si="3"/>
        <v>94</v>
      </c>
      <c r="C114" s="274" t="str">
        <f>הגנה!C114</f>
        <v>מאי זרחי</v>
      </c>
      <c r="D114" s="273">
        <f>IF($C114="","",סיווג!AB114)</f>
        <v>1</v>
      </c>
      <c r="E114" s="129">
        <f>IF(C114="","",ייצוב!G114)</f>
        <v>0</v>
      </c>
      <c r="F114" s="277">
        <f>IF($C114="","",ייצוב!E114)</f>
        <v>0</v>
      </c>
      <c r="G114" s="277">
        <f>IF($C114="","",'התחשיב הבסיסי'!O100)</f>
        <v>48176.706753185928</v>
      </c>
      <c r="H114" s="129">
        <f>הגנה!AU114</f>
        <v>5.7667644214049792E-3</v>
      </c>
      <c r="I114" s="280">
        <f>הגנה!AV114</f>
        <v>46611.395861812998</v>
      </c>
      <c r="J114" s="281" t="str">
        <f t="shared" si="4"/>
        <v/>
      </c>
      <c r="K114" s="279">
        <f t="shared" si="5"/>
        <v>46611.395861812998</v>
      </c>
    </row>
    <row r="115" spans="1:11" ht="15.75" customHeight="1" x14ac:dyDescent="0.25">
      <c r="B115" s="156">
        <f t="shared" si="3"/>
        <v>95</v>
      </c>
      <c r="C115" s="274" t="str">
        <f>הגנה!C115</f>
        <v>דנה מרכוס</v>
      </c>
      <c r="D115" s="273">
        <f>IF($C115="","",סיווג!AB115)</f>
        <v>1</v>
      </c>
      <c r="E115" s="129">
        <f>IF(C115="","",ייצוב!G115)</f>
        <v>6.992022053863743E-3</v>
      </c>
      <c r="F115" s="277">
        <f>IF($C115="","",ייצוב!E115)</f>
        <v>52969</v>
      </c>
      <c r="G115" s="277">
        <f>IF($C115="","",'התחשיב הבסיסי'!O101)</f>
        <v>48791.760553180764</v>
      </c>
      <c r="H115" s="129">
        <f>הגנה!AU115</f>
        <v>6.9544185676432739E-3</v>
      </c>
      <c r="I115" s="280">
        <f>הגנה!AV115</f>
        <v>56210.924039478617</v>
      </c>
      <c r="J115" s="281">
        <f t="shared" si="4"/>
        <v>6.120417677280332E-2</v>
      </c>
      <c r="K115" s="279">
        <f t="shared" si="5"/>
        <v>3241.9240394786175</v>
      </c>
    </row>
    <row r="116" spans="1:11" ht="15.75" customHeight="1" x14ac:dyDescent="0.25">
      <c r="B116" s="156" t="str">
        <f t="shared" si="3"/>
        <v/>
      </c>
      <c r="C116" s="274" t="str">
        <f>הגנה!C116</f>
        <v/>
      </c>
      <c r="D116" s="273" t="str">
        <f>IF($C116="","",סיווג!AB116)</f>
        <v/>
      </c>
      <c r="E116" s="129" t="str">
        <f>IF(C116="","",ייצוב!G116)</f>
        <v/>
      </c>
      <c r="F116" s="277" t="str">
        <f>IF($C116="","",ייצוב!E116)</f>
        <v/>
      </c>
      <c r="G116" s="277" t="str">
        <f>IF($C116="","",'התחשיב הבסיסי'!O102)</f>
        <v/>
      </c>
      <c r="H116" s="129" t="str">
        <f>הגנה!AU116</f>
        <v/>
      </c>
      <c r="I116" s="280" t="str">
        <f>הגנה!AV116</f>
        <v/>
      </c>
      <c r="J116" s="281" t="str">
        <f t="shared" si="4"/>
        <v/>
      </c>
      <c r="K116" s="279" t="str">
        <f t="shared" si="5"/>
        <v/>
      </c>
    </row>
    <row r="117" spans="1:11" ht="15.75" customHeight="1" x14ac:dyDescent="0.25">
      <c r="B117" s="156" t="str">
        <f t="shared" si="3"/>
        <v/>
      </c>
      <c r="C117" s="274" t="str">
        <f>הגנה!C117</f>
        <v/>
      </c>
      <c r="D117" s="273" t="str">
        <f>IF($C117="","",סיווג!AB117)</f>
        <v/>
      </c>
      <c r="E117" s="129" t="str">
        <f>IF(C117="","",ייצוב!G117)</f>
        <v/>
      </c>
      <c r="F117" s="277" t="str">
        <f>IF($C117="","",ייצוב!E117)</f>
        <v/>
      </c>
      <c r="G117" s="277" t="str">
        <f>IF($C117="","",'התחשיב הבסיסי'!O103)</f>
        <v/>
      </c>
      <c r="H117" s="129" t="str">
        <f>הגנה!AU117</f>
        <v/>
      </c>
      <c r="I117" s="280" t="str">
        <f>הגנה!AV117</f>
        <v/>
      </c>
      <c r="J117" s="281" t="str">
        <f t="shared" si="4"/>
        <v/>
      </c>
      <c r="K117" s="279" t="str">
        <f t="shared" si="5"/>
        <v/>
      </c>
    </row>
    <row r="118" spans="1:11" ht="15.75" customHeight="1" x14ac:dyDescent="0.25">
      <c r="B118" s="156">
        <f t="shared" si="3"/>
        <v>98</v>
      </c>
      <c r="C118" s="274" t="str">
        <f>הגנה!C118</f>
        <v>שקד מוכיח</v>
      </c>
      <c r="D118" s="273">
        <f>IF($C118="","",סיווג!AB118)</f>
        <v>1</v>
      </c>
      <c r="E118" s="129">
        <f>IF(C118="","",ייצוב!G118)</f>
        <v>7.2185377487877581E-3</v>
      </c>
      <c r="F118" s="277">
        <f>IF($C118="","",ייצוב!E118)</f>
        <v>54685</v>
      </c>
      <c r="G118" s="277">
        <f>IF($C118="","",'התחשיב הבסיסי'!O104)</f>
        <v>119313.70877803321</v>
      </c>
      <c r="H118" s="129">
        <f>הגנה!AU118</f>
        <v>1.077383745645441E-2</v>
      </c>
      <c r="I118" s="280">
        <f>הגנה!AV118</f>
        <v>87082.385534881279</v>
      </c>
      <c r="J118" s="281">
        <f t="shared" si="4"/>
        <v>0.5924364183026658</v>
      </c>
      <c r="K118" s="279">
        <f t="shared" si="5"/>
        <v>32397.385534881279</v>
      </c>
    </row>
    <row r="119" spans="1:11" ht="15.75" customHeight="1" x14ac:dyDescent="0.25">
      <c r="B119" s="156">
        <f t="shared" ref="B119:B132" si="8">IF(C119="","",ROW()-20)</f>
        <v>99</v>
      </c>
      <c r="C119" s="274" t="str">
        <f>הגנה!C119</f>
        <v>שרון הללי אסא</v>
      </c>
      <c r="D119" s="273">
        <f>IF($C119="","",סיווג!AB119)</f>
        <v>1</v>
      </c>
      <c r="E119" s="129">
        <f>IF(C119="","",ייצוב!G119)</f>
        <v>8.3165316592644263E-3</v>
      </c>
      <c r="F119" s="277">
        <f>IF($C119="","",ייצוב!E119)</f>
        <v>63003</v>
      </c>
      <c r="G119" s="277">
        <f>IF($C119="","",'התחשיב הבסיסי'!O105)</f>
        <v>85450.673591298924</v>
      </c>
      <c r="H119" s="129">
        <f>הגנה!AU119</f>
        <v>1.0202233121016089E-2</v>
      </c>
      <c r="I119" s="280">
        <f>הגנה!AV119</f>
        <v>82462.242590156486</v>
      </c>
      <c r="J119" s="281">
        <f t="shared" ref="J119:J132" si="9">IF($C119="","",IFERROR(I119/F119-1,""))</f>
        <v>0.30886215878857337</v>
      </c>
      <c r="K119" s="279">
        <f t="shared" ref="K119:K132" si="10">IF(C119="","",I119-F119)</f>
        <v>19459.242590156486</v>
      </c>
    </row>
    <row r="120" spans="1:11" ht="16.5" customHeight="1" thickBot="1" x14ac:dyDescent="0.3">
      <c r="B120" s="156">
        <f t="shared" si="8"/>
        <v>100</v>
      </c>
      <c r="C120" s="274" t="str">
        <f>הגנה!C120</f>
        <v>להקת ג'אם</v>
      </c>
      <c r="D120" s="273">
        <f>IF($C120="","",סיווג!AB120)</f>
        <v>1</v>
      </c>
      <c r="E120" s="129">
        <f>IF(C120="","",ייצוב!G120)</f>
        <v>4.6157192916130851E-3</v>
      </c>
      <c r="F120" s="277">
        <f>IF($C120="","",ייצוב!E120)</f>
        <v>34967</v>
      </c>
      <c r="G120" s="277">
        <f>IF($C120="","",'התחשיב הבסיסי'!O106)</f>
        <v>66837.344179141204</v>
      </c>
      <c r="H120" s="129">
        <f>הגנה!AU120</f>
        <v>6.3231914719250413E-3</v>
      </c>
      <c r="I120" s="280">
        <f>הגנה!AV120</f>
        <v>51108.864394382734</v>
      </c>
      <c r="J120" s="281">
        <f t="shared" si="9"/>
        <v>0.46163137799590293</v>
      </c>
      <c r="K120" s="279">
        <f t="shared" si="10"/>
        <v>16141.864394382734</v>
      </c>
    </row>
    <row r="121" spans="1:11" ht="16.5" thickBot="1" x14ac:dyDescent="0.3">
      <c r="A121" s="282"/>
      <c r="B121" s="156" t="str">
        <f t="shared" si="8"/>
        <v/>
      </c>
      <c r="C121" s="274" t="str">
        <f>הגנה!C121</f>
        <v/>
      </c>
      <c r="D121" s="273" t="str">
        <f>IF($C121="","",סיווג!AB121)</f>
        <v/>
      </c>
      <c r="E121" s="129" t="str">
        <f>IF(C121="","",ייצוב!G121)</f>
        <v/>
      </c>
      <c r="F121" s="277" t="str">
        <f>IF($C121="","",ייצוב!E121)</f>
        <v/>
      </c>
      <c r="G121" s="277" t="str">
        <f>IF($C121="","",'התחשיב הבסיסי'!O107)</f>
        <v/>
      </c>
      <c r="H121" s="129" t="str">
        <f>הגנה!AU121</f>
        <v/>
      </c>
      <c r="I121" s="280" t="str">
        <f>הגנה!AV121</f>
        <v/>
      </c>
      <c r="J121" s="281" t="str">
        <f t="shared" si="9"/>
        <v/>
      </c>
      <c r="K121" s="279" t="str">
        <f t="shared" si="10"/>
        <v/>
      </c>
    </row>
    <row r="122" spans="1:11" ht="15.75" x14ac:dyDescent="0.25">
      <c r="B122" s="156" t="str">
        <f t="shared" si="8"/>
        <v/>
      </c>
      <c r="C122" s="274" t="str">
        <f>הגנה!C122</f>
        <v/>
      </c>
      <c r="D122" s="273" t="str">
        <f>IF($C122="","",סיווג!AB122)</f>
        <v/>
      </c>
      <c r="E122" s="129" t="str">
        <f>IF(C122="","",ייצוב!G122)</f>
        <v/>
      </c>
      <c r="F122" s="277" t="str">
        <f>IF($C122="","",ייצוב!E122)</f>
        <v/>
      </c>
      <c r="G122" s="277" t="str">
        <f>IF($C122="","",'התחשיב הבסיסי'!O108)</f>
        <v/>
      </c>
      <c r="H122" s="129" t="str">
        <f>הגנה!AU122</f>
        <v/>
      </c>
      <c r="I122" s="280" t="str">
        <f>הגנה!AV122</f>
        <v/>
      </c>
      <c r="J122" s="281" t="str">
        <f t="shared" si="9"/>
        <v/>
      </c>
      <c r="K122" s="279" t="str">
        <f t="shared" si="10"/>
        <v/>
      </c>
    </row>
    <row r="123" spans="1:11" ht="15.75" x14ac:dyDescent="0.25">
      <c r="B123" s="156" t="str">
        <f t="shared" si="8"/>
        <v/>
      </c>
      <c r="C123" s="274" t="str">
        <f>הגנה!C123</f>
        <v/>
      </c>
      <c r="D123" s="273" t="str">
        <f>IF($C123="","",סיווג!AB123)</f>
        <v/>
      </c>
      <c r="E123" s="129" t="str">
        <f>IF(C123="","",ייצוב!G123)</f>
        <v/>
      </c>
      <c r="F123" s="277" t="str">
        <f>IF($C123="","",ייצוב!E123)</f>
        <v/>
      </c>
      <c r="G123" s="277" t="str">
        <f>IF($C123="","",'התחשיב הבסיסי'!O109)</f>
        <v/>
      </c>
      <c r="H123" s="129" t="str">
        <f>הגנה!AU123</f>
        <v/>
      </c>
      <c r="I123" s="280" t="str">
        <f>הגנה!AV123</f>
        <v/>
      </c>
      <c r="J123" s="281" t="str">
        <f t="shared" si="9"/>
        <v/>
      </c>
      <c r="K123" s="279" t="str">
        <f t="shared" si="10"/>
        <v/>
      </c>
    </row>
    <row r="124" spans="1:11" ht="15.75" x14ac:dyDescent="0.25">
      <c r="B124" s="156" t="str">
        <f t="shared" si="8"/>
        <v/>
      </c>
      <c r="C124" s="274" t="str">
        <f>הגנה!C124</f>
        <v/>
      </c>
      <c r="D124" s="273" t="str">
        <f>IF($C124="","",סיווג!AB124)</f>
        <v/>
      </c>
      <c r="E124" s="129" t="str">
        <f>IF(C124="","",ייצוב!G124)</f>
        <v/>
      </c>
      <c r="F124" s="277" t="str">
        <f>IF($C124="","",ייצוב!E124)</f>
        <v/>
      </c>
      <c r="G124" s="277" t="str">
        <f>IF($C124="","",'התחשיב הבסיסי'!O110)</f>
        <v/>
      </c>
      <c r="H124" s="129" t="str">
        <f>הגנה!AU124</f>
        <v/>
      </c>
      <c r="I124" s="280" t="str">
        <f>הגנה!AV124</f>
        <v/>
      </c>
      <c r="J124" s="281" t="str">
        <f t="shared" si="9"/>
        <v/>
      </c>
      <c r="K124" s="279" t="str">
        <f t="shared" si="10"/>
        <v/>
      </c>
    </row>
    <row r="125" spans="1:11" ht="15.75" x14ac:dyDescent="0.25">
      <c r="B125" s="156">
        <f t="shared" si="8"/>
        <v>105</v>
      </c>
      <c r="C125" s="274" t="str">
        <f>הגנה!C125</f>
        <v>מורן אברג'ל יצחקי</v>
      </c>
      <c r="D125" s="273">
        <f>IF($C125="","",סיווג!AB125)</f>
        <v>1</v>
      </c>
      <c r="E125" s="129">
        <f>IF(C125="","",ייצוב!G125)</f>
        <v>0</v>
      </c>
      <c r="F125" s="277">
        <f>IF($C125="","",ייצוב!E125)</f>
        <v>0</v>
      </c>
      <c r="G125" s="277">
        <f>IF($C125="","",'התחשיב הבסיסי'!O111)</f>
        <v>47347.211821728299</v>
      </c>
      <c r="H125" s="129">
        <f>הגנה!AU125</f>
        <v>5.6674736607688894E-3</v>
      </c>
      <c r="I125" s="280">
        <f>הגנה!AV125</f>
        <v>45808.852076210991</v>
      </c>
      <c r="J125" s="281" t="str">
        <f t="shared" si="9"/>
        <v/>
      </c>
      <c r="K125" s="279">
        <f t="shared" si="10"/>
        <v>45808.852076210991</v>
      </c>
    </row>
    <row r="126" spans="1:11" ht="15.75" x14ac:dyDescent="0.25">
      <c r="B126" s="156">
        <f t="shared" si="8"/>
        <v>106</v>
      </c>
      <c r="C126" s="274" t="str">
        <f>הגנה!C126</f>
        <v>מיכל בן צבי</v>
      </c>
      <c r="D126" s="273">
        <f>IF($C126="","",סיווג!AB126)</f>
        <v>1</v>
      </c>
      <c r="E126" s="129">
        <f>IF(C126="","",ייצוב!G126)</f>
        <v>0</v>
      </c>
      <c r="F126" s="277">
        <f>IF($C126="","",ייצוב!E126)</f>
        <v>0</v>
      </c>
      <c r="G126" s="277">
        <f>IF($C126="","",'התחשיב הבסיסי'!O112)</f>
        <v>62657.91340624544</v>
      </c>
      <c r="H126" s="129">
        <f>הגנה!AU126</f>
        <v>7.500168652078221E-3</v>
      </c>
      <c r="I126" s="280">
        <f>הגנה!AV126</f>
        <v>60622.093174946371</v>
      </c>
      <c r="J126" s="281" t="str">
        <f t="shared" si="9"/>
        <v/>
      </c>
      <c r="K126" s="279">
        <f t="shared" si="10"/>
        <v>60622.093174946371</v>
      </c>
    </row>
    <row r="127" spans="1:11" ht="15.75" x14ac:dyDescent="0.25">
      <c r="B127" s="156">
        <f t="shared" si="8"/>
        <v>107</v>
      </c>
      <c r="C127" s="274" t="str">
        <f>הגנה!C127</f>
        <v>מיקה קופפר</v>
      </c>
      <c r="D127" s="273">
        <f>IF($C127="","",סיווג!AB127)</f>
        <v>1</v>
      </c>
      <c r="E127" s="129">
        <f>IF(C127="","",ייצוב!G127)</f>
        <v>7.9470576324041E-3</v>
      </c>
      <c r="F127" s="277">
        <f>IF($C127="","",ייצוב!E127)</f>
        <v>60204</v>
      </c>
      <c r="G127" s="277">
        <f>IF($C127="","",'התחשיב הבסיסי'!O113)</f>
        <v>54134.707648952455</v>
      </c>
      <c r="H127" s="129">
        <f>הגנה!AU127</f>
        <v>7.2395102090846829E-3</v>
      </c>
      <c r="I127" s="280">
        <f>הגנה!AV127</f>
        <v>58515.252495622146</v>
      </c>
      <c r="J127" s="281">
        <f t="shared" si="9"/>
        <v>-2.8050420310574919E-2</v>
      </c>
      <c r="K127" s="279">
        <f t="shared" si="10"/>
        <v>-1688.7475043778541</v>
      </c>
    </row>
    <row r="128" spans="1:11" ht="15.75" x14ac:dyDescent="0.25">
      <c r="B128" s="156" t="str">
        <f t="shared" si="8"/>
        <v/>
      </c>
      <c r="C128" s="274" t="str">
        <f>הגנה!C128</f>
        <v/>
      </c>
      <c r="D128" s="273" t="str">
        <f>IF($C128="","",סיווג!AB128)</f>
        <v/>
      </c>
      <c r="E128" s="129" t="str">
        <f>IF(C128="","",ייצוב!G128)</f>
        <v/>
      </c>
      <c r="F128" s="277" t="str">
        <f>IF($C128="","",ייצוב!E128)</f>
        <v/>
      </c>
      <c r="G128" s="277" t="str">
        <f>IF($C128="","",'התחשיב הבסיסי'!O114)</f>
        <v/>
      </c>
      <c r="H128" s="129" t="str">
        <f>הגנה!AU128</f>
        <v/>
      </c>
      <c r="I128" s="280" t="str">
        <f>הגנה!AV128</f>
        <v/>
      </c>
      <c r="J128" s="281" t="str">
        <f t="shared" si="9"/>
        <v/>
      </c>
      <c r="K128" s="279" t="str">
        <f t="shared" si="10"/>
        <v/>
      </c>
    </row>
    <row r="129" spans="2:11" ht="15.75" x14ac:dyDescent="0.25">
      <c r="B129" s="156">
        <f t="shared" si="8"/>
        <v>109</v>
      </c>
      <c r="C129" s="274" t="str">
        <f>הגנה!C129</f>
        <v>נועה שילה</v>
      </c>
      <c r="D129" s="273">
        <f>IF($C129="","",סיווג!AB129)</f>
        <v>1</v>
      </c>
      <c r="E129" s="129">
        <f>IF(C129="","",ייצוב!G129)</f>
        <v>0</v>
      </c>
      <c r="F129" s="277">
        <f>IF($C129="","",ייצוב!E129)</f>
        <v>0</v>
      </c>
      <c r="G129" s="277">
        <f>IF($C129="","",'התחשיב הבסיסי'!O115)</f>
        <v>58211.889296247049</v>
      </c>
      <c r="H129" s="129">
        <f>הגנה!AU129</f>
        <v>6.9679784011837491E-3</v>
      </c>
      <c r="I129" s="280">
        <f>הגנה!AV129</f>
        <v>56320.524973865562</v>
      </c>
      <c r="J129" s="281" t="str">
        <f t="shared" si="9"/>
        <v/>
      </c>
      <c r="K129" s="279">
        <f t="shared" si="10"/>
        <v>56320.524973865562</v>
      </c>
    </row>
    <row r="130" spans="2:11" ht="15.75" x14ac:dyDescent="0.25">
      <c r="B130" s="156" t="str">
        <f t="shared" si="8"/>
        <v/>
      </c>
      <c r="C130" s="274" t="str">
        <f>הגנה!C130</f>
        <v/>
      </c>
      <c r="D130" s="273" t="str">
        <f>IF($C130="","",סיווג!AB130)</f>
        <v/>
      </c>
      <c r="E130" s="129" t="str">
        <f>IF(C130="","",ייצוב!G130)</f>
        <v/>
      </c>
      <c r="F130" s="277" t="str">
        <f>IF($C130="","",ייצוב!E130)</f>
        <v/>
      </c>
      <c r="G130" s="277" t="str">
        <f>IF($C130="","",'התחשיב הבסיסי'!O116)</f>
        <v/>
      </c>
      <c r="H130" s="129" t="str">
        <f>הגנה!AU130</f>
        <v/>
      </c>
      <c r="I130" s="280" t="str">
        <f>הגנה!AV130</f>
        <v/>
      </c>
      <c r="J130" s="281" t="str">
        <f t="shared" si="9"/>
        <v/>
      </c>
      <c r="K130" s="279" t="str">
        <f t="shared" si="10"/>
        <v/>
      </c>
    </row>
    <row r="131" spans="2:11" ht="15.75" x14ac:dyDescent="0.25">
      <c r="B131" s="156">
        <f t="shared" si="8"/>
        <v>111</v>
      </c>
      <c r="C131" s="274" t="str">
        <f>הגנה!C131</f>
        <v>עדי בוטרוס אמנויות הבמה (ע"ר)</v>
      </c>
      <c r="D131" s="273">
        <f>IF($C131="","",סיווג!AB131)</f>
        <v>1</v>
      </c>
      <c r="E131" s="129">
        <f>IF(C131="","",ייצוב!G131)</f>
        <v>1.002925959728255E-2</v>
      </c>
      <c r="F131" s="277">
        <f>IF($C131="","",ייצוב!E131)</f>
        <v>75978</v>
      </c>
      <c r="G131" s="277">
        <f>IF($C131="","",'התחשיב הבסיסי'!O117)</f>
        <v>123716.32143741392</v>
      </c>
      <c r="H131" s="129">
        <f>הגנה!AU131</f>
        <v>1.2451895287579605E-2</v>
      </c>
      <c r="I131" s="280">
        <f>הגנה!AV131</f>
        <v>100645.73096221808</v>
      </c>
      <c r="J131" s="281">
        <f t="shared" si="9"/>
        <v>0.32466939064226596</v>
      </c>
      <c r="K131" s="279">
        <f t="shared" si="10"/>
        <v>24667.730962218076</v>
      </c>
    </row>
    <row r="132" spans="2:11" ht="16.5" thickBot="1" x14ac:dyDescent="0.3">
      <c r="B132" s="156" t="str">
        <f t="shared" si="8"/>
        <v/>
      </c>
      <c r="C132" s="274" t="str">
        <f>הגנה!C132</f>
        <v/>
      </c>
      <c r="D132" s="273" t="str">
        <f>IF($C132="","",סיווג!AB132)</f>
        <v/>
      </c>
      <c r="E132" s="129" t="str">
        <f>IF(C132="","",ייצוב!G132)</f>
        <v/>
      </c>
      <c r="F132" s="277" t="str">
        <f>IF($C132="","",ייצוב!E132)</f>
        <v/>
      </c>
      <c r="G132" s="277" t="str">
        <f>IF($C132="","",'התחשיב הבסיסי'!O118)</f>
        <v/>
      </c>
      <c r="H132" s="129" t="str">
        <f>הגנה!AU132</f>
        <v/>
      </c>
      <c r="I132" s="280" t="str">
        <f>הגנה!AV132</f>
        <v/>
      </c>
      <c r="J132" s="281" t="str">
        <f t="shared" si="9"/>
        <v/>
      </c>
      <c r="K132" s="279" t="str">
        <f t="shared" si="10"/>
        <v/>
      </c>
    </row>
    <row r="133" spans="2:11" ht="19.5" thickBot="1" x14ac:dyDescent="0.35">
      <c r="B133" s="888" t="s">
        <v>41</v>
      </c>
      <c r="C133" s="888"/>
      <c r="D133" s="283"/>
      <c r="E133" s="284">
        <f>SUM(E21:E132)</f>
        <v>0.9491081538522057</v>
      </c>
      <c r="F133" s="568">
        <f>SUM(F21:F132)</f>
        <v>7190096</v>
      </c>
      <c r="G133" s="568">
        <f>SUM(G21:G132)</f>
        <v>8082763.9999999991</v>
      </c>
      <c r="H133" s="498">
        <f>SUM(H21:H132)</f>
        <v>1</v>
      </c>
      <c r="I133" s="568">
        <f>SUM(I21:I132)</f>
        <v>8082763.9999999963</v>
      </c>
      <c r="J133" s="498"/>
      <c r="K133" s="569">
        <f>SUM(K21:K132)</f>
        <v>892667.99999999837</v>
      </c>
    </row>
  </sheetData>
  <sheetProtection algorithmName="SHA-512" hashValue="zDi6uAoe0BJi32PRO7ERpYMMtt5Bbi7SA0XfnGqJD/8m7DzYgjrKt3SyFLXFMkVyEkoU7l/Ji84SGZsRU/fZsg==" saltValue="BO5bakajDXng2TAZ+re20Q==" spinCount="100000" sheet="1" scenarios="1" formatColumns="0" formatRows="0" autoFilter="0"/>
  <mergeCells count="13">
    <mergeCell ref="J19:J20"/>
    <mergeCell ref="K19:K20"/>
    <mergeCell ref="B18:K18"/>
    <mergeCell ref="F1:I2"/>
    <mergeCell ref="B133:C133"/>
    <mergeCell ref="B19:B20"/>
    <mergeCell ref="C19:C20"/>
    <mergeCell ref="E19:E20"/>
    <mergeCell ref="G19:G20"/>
    <mergeCell ref="H19:H20"/>
    <mergeCell ref="I19:I20"/>
    <mergeCell ref="D19:D20"/>
    <mergeCell ref="F19:F20"/>
  </mergeCells>
  <conditionalFormatting sqref="B21:F132">
    <cfRule type="containsBlanks" dxfId="29" priority="1">
      <formula>LEN(TRIM(B21))=0</formula>
    </cfRule>
  </conditionalFormatting>
  <conditionalFormatting sqref="E2">
    <cfRule type="containsBlanks" dxfId="28" priority="19">
      <formula>LEN(TRIM(E2))=0</formula>
    </cfRule>
  </conditionalFormatting>
  <conditionalFormatting sqref="E1:F1">
    <cfRule type="containsBlanks" dxfId="27" priority="20">
      <formula>LEN(TRIM(E1))=0</formula>
    </cfRule>
  </conditionalFormatting>
  <conditionalFormatting sqref="G21:K132">
    <cfRule type="containsBlanks" dxfId="26" priority="6">
      <formula>LEN(TRIM(G21))=0</formula>
    </cfRule>
  </conditionalFormatting>
  <conditionalFormatting sqref="H21:K132">
    <cfRule type="expression" dxfId="25" priority="5">
      <formula>H21=$U$1</formula>
    </cfRule>
  </conditionalFormatting>
  <printOptions horizontalCentered="1"/>
  <pageMargins left="0.27559055118110237" right="0.19685039370078741" top="0.62992125984251968" bottom="0.47244094488188981" header="0.31496062992125984" footer="0.23622047244094491"/>
  <pageSetup paperSize="9" scale="40" orientation="portrait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1">
    <tabColor theme="8" tint="-0.249977111117893"/>
    <pageSetUpPr fitToPage="1"/>
  </sheetPr>
  <dimension ref="B1:V133"/>
  <sheetViews>
    <sheetView rightToLeft="1" view="pageBreakPreview" zoomScaleNormal="100" zoomScaleSheetLayoutView="100" workbookViewId="0">
      <pane ySplit="20" topLeftCell="A21" activePane="bottomLeft" state="frozen"/>
      <selection activeCell="E1" sqref="E1:E2"/>
      <selection pane="bottomLeft" activeCell="A21" sqref="A21"/>
    </sheetView>
  </sheetViews>
  <sheetFormatPr defaultColWidth="9.140625" defaultRowHeight="15.75" x14ac:dyDescent="0.25"/>
  <cols>
    <col min="1" max="1" width="9.140625" style="184"/>
    <col min="2" max="2" width="14.85546875" style="184" customWidth="1"/>
    <col min="3" max="3" width="35.7109375" style="184" customWidth="1"/>
    <col min="4" max="8" width="27.42578125" style="184" customWidth="1"/>
    <col min="9" max="20" width="27.42578125" style="184" hidden="1" customWidth="1"/>
    <col min="21" max="21" width="28.28515625" style="184" customWidth="1"/>
    <col min="22" max="22" width="16.28515625" style="184" customWidth="1"/>
    <col min="23" max="16384" width="9.140625" style="184"/>
  </cols>
  <sheetData>
    <row r="1" spans="2:3" ht="18.75" x14ac:dyDescent="0.25">
      <c r="B1" s="100" t="str">
        <f>'פרמטרים לעקרונות חישוב התמיכה'!$B$1</f>
        <v>שנה</v>
      </c>
      <c r="C1" s="13">
        <f>'פרמטרים לעקרונות חישוב התמיכה'!$C$1</f>
        <v>2025</v>
      </c>
    </row>
    <row r="2" spans="2:3" ht="38.25" thickBot="1" x14ac:dyDescent="0.3">
      <c r="B2" s="101" t="str">
        <f>'פרמטרים לעקרונות חישוב התמיכה'!$B$2</f>
        <v>תקציב התמיכה</v>
      </c>
      <c r="C2" s="14">
        <f>'פרמטרים לעקרונות חישוב התמיכה'!$C$2</f>
        <v>8082764</v>
      </c>
    </row>
    <row r="3" spans="2:3" ht="16.5" thickBot="1" x14ac:dyDescent="0.3"/>
    <row r="4" spans="2:3" ht="16.5" hidden="1" thickBot="1" x14ac:dyDescent="0.3"/>
    <row r="5" spans="2:3" ht="16.5" hidden="1" thickBot="1" x14ac:dyDescent="0.3"/>
    <row r="6" spans="2:3" ht="16.5" hidden="1" thickBot="1" x14ac:dyDescent="0.3"/>
    <row r="7" spans="2:3" ht="16.5" hidden="1" thickBot="1" x14ac:dyDescent="0.3"/>
    <row r="8" spans="2:3" ht="16.5" hidden="1" thickBot="1" x14ac:dyDescent="0.3"/>
    <row r="9" spans="2:3" ht="16.5" hidden="1" thickBot="1" x14ac:dyDescent="0.3"/>
    <row r="10" spans="2:3" ht="16.5" hidden="1" thickBot="1" x14ac:dyDescent="0.3"/>
    <row r="11" spans="2:3" ht="16.5" hidden="1" thickBot="1" x14ac:dyDescent="0.3"/>
    <row r="12" spans="2:3" ht="16.5" hidden="1" thickBot="1" x14ac:dyDescent="0.3"/>
    <row r="13" spans="2:3" ht="16.5" hidden="1" thickBot="1" x14ac:dyDescent="0.3"/>
    <row r="14" spans="2:3" ht="16.5" hidden="1" thickBot="1" x14ac:dyDescent="0.3"/>
    <row r="15" spans="2:3" ht="16.5" hidden="1" thickBot="1" x14ac:dyDescent="0.3"/>
    <row r="16" spans="2:3" ht="16.5" hidden="1" thickBot="1" x14ac:dyDescent="0.3"/>
    <row r="17" spans="2:22" ht="16.5" hidden="1" thickBot="1" x14ac:dyDescent="0.3"/>
    <row r="18" spans="2:22" ht="19.5" thickBot="1" x14ac:dyDescent="0.3">
      <c r="B18" s="893" t="str">
        <f ca="1">MID(CELL("filename",B19),FIND("]",CELL("filename",C19),1)+1,99)</f>
        <v>הגבלה לסכום מבוקש (1)</v>
      </c>
      <c r="C18" s="894"/>
      <c r="D18" s="894"/>
      <c r="E18" s="894"/>
      <c r="F18" s="894"/>
      <c r="G18" s="894"/>
      <c r="H18" s="894"/>
      <c r="I18" s="894"/>
      <c r="J18" s="894"/>
      <c r="K18" s="894"/>
      <c r="L18" s="894"/>
      <c r="M18" s="894"/>
      <c r="N18" s="894"/>
      <c r="O18" s="894"/>
      <c r="P18" s="894"/>
      <c r="Q18" s="894"/>
      <c r="R18" s="894"/>
      <c r="S18" s="894"/>
      <c r="T18" s="894"/>
      <c r="U18" s="894"/>
      <c r="V18" s="895"/>
    </row>
    <row r="19" spans="2:22" s="186" customFormat="1" ht="19.5" customHeight="1" x14ac:dyDescent="0.25">
      <c r="B19" s="896" t="s">
        <v>206</v>
      </c>
      <c r="C19" s="820" t="str">
        <f>סיכום!C19</f>
        <v>שם היוצר</v>
      </c>
      <c r="D19" s="898" t="s">
        <v>330</v>
      </c>
      <c r="E19" s="898" t="s">
        <v>331</v>
      </c>
      <c r="F19" s="898" t="s">
        <v>332</v>
      </c>
      <c r="G19" s="898" t="s">
        <v>333</v>
      </c>
      <c r="H19" s="898" t="s">
        <v>334</v>
      </c>
      <c r="I19" s="185"/>
      <c r="J19" s="185"/>
      <c r="K19" s="185"/>
      <c r="L19" s="185"/>
      <c r="M19" s="185"/>
      <c r="N19" s="185"/>
      <c r="O19" s="185"/>
      <c r="P19" s="185"/>
      <c r="Q19" s="185"/>
      <c r="R19" s="185"/>
      <c r="S19" s="185"/>
      <c r="T19" s="185"/>
      <c r="U19" s="898" t="s">
        <v>335</v>
      </c>
      <c r="V19" s="900" t="s">
        <v>63</v>
      </c>
    </row>
    <row r="20" spans="2:22" s="186" customFormat="1" ht="54" customHeight="1" thickBot="1" x14ac:dyDescent="0.3">
      <c r="B20" s="897"/>
      <c r="C20" s="844"/>
      <c r="D20" s="899"/>
      <c r="E20" s="899"/>
      <c r="F20" s="899"/>
      <c r="G20" s="899"/>
      <c r="H20" s="899"/>
      <c r="I20" s="187" t="s">
        <v>336</v>
      </c>
      <c r="J20" s="187" t="s">
        <v>337</v>
      </c>
      <c r="K20" s="187" t="s">
        <v>338</v>
      </c>
      <c r="L20" s="187" t="s">
        <v>339</v>
      </c>
      <c r="M20" s="187" t="s">
        <v>340</v>
      </c>
      <c r="N20" s="187" t="s">
        <v>341</v>
      </c>
      <c r="O20" s="187" t="s">
        <v>342</v>
      </c>
      <c r="P20" s="187" t="s">
        <v>343</v>
      </c>
      <c r="Q20" s="187" t="s">
        <v>344</v>
      </c>
      <c r="R20" s="187" t="s">
        <v>345</v>
      </c>
      <c r="S20" s="187" t="s">
        <v>346</v>
      </c>
      <c r="T20" s="187" t="s">
        <v>347</v>
      </c>
      <c r="U20" s="899"/>
      <c r="V20" s="901"/>
    </row>
    <row r="21" spans="2:22" s="186" customFormat="1" x14ac:dyDescent="0.25">
      <c r="B21" s="156">
        <f>IF(C21="","",ROW()-20)</f>
        <v>1</v>
      </c>
      <c r="C21" s="127" t="str">
        <f>סיכום!C21</f>
        <v>סילביה דוראן</v>
      </c>
      <c r="D21" s="181">
        <f>'סיכום לועדה- הזנת נתונים'!N21</f>
        <v>295000</v>
      </c>
      <c r="E21" s="181">
        <f>סיכום!I21</f>
        <v>20481.936442862829</v>
      </c>
      <c r="F21" s="140">
        <f>IF(C21="","",IF(E21&gt;$D21,1,0))</f>
        <v>0</v>
      </c>
      <c r="G21" s="181">
        <f>IF($C21="","",IF(ISNUMBER(E21),MIN(D21:E21),E21))</f>
        <v>20481.936442862829</v>
      </c>
      <c r="H21" s="181">
        <f t="shared" ref="H21:H52" si="0">IF($C21="","",IF(F21=1,G21,G21/SUMIF(F$21:F$132,0,G$21:G$132)*($C$2-SUMIF(F$21:F$132,1,G$21:G$132))))</f>
        <v>20481.93644286284</v>
      </c>
      <c r="I21" s="188">
        <f>IF(OR(H21&gt;$D21,$F21=1),1,0)</f>
        <v>0</v>
      </c>
      <c r="J21" s="189">
        <f>IF($C21="","",MIN(H21,$D21))</f>
        <v>20481.93644286284</v>
      </c>
      <c r="K21" s="189">
        <f t="shared" ref="K21:K52" si="1">IF($C21="","",IF(I21=1,J21,J21/SUMIF(I$21:I$132,0,J$21:J$132)*($C$2-SUMIF(I$21:I$132,1,J$21:J$132))))</f>
        <v>20481.936442862843</v>
      </c>
      <c r="L21" s="188">
        <f>IF(OR(K21&gt;$D21,$F21=1,$I21=1),1,0)</f>
        <v>0</v>
      </c>
      <c r="M21" s="189">
        <f>IF($C21="","",MIN(K21,$D21))</f>
        <v>20481.936442862843</v>
      </c>
      <c r="N21" s="189">
        <f t="shared" ref="N21:N52" si="2">IF($C21="","",IF(L21=1,M21,M21/SUMIF(L$21:L$132,0,M$21:M$132)*($C$2-SUMIF(L$21:L$132,1,M$21:M$132))))</f>
        <v>20481.93644286284</v>
      </c>
      <c r="O21" s="188">
        <f>IF(OR(N21&gt;$D21,$F21=1,$I21=1,$L21=1),1,0)</f>
        <v>0</v>
      </c>
      <c r="P21" s="189">
        <f>IF($C21="","",MIN(N21,$D21))</f>
        <v>20481.93644286284</v>
      </c>
      <c r="Q21" s="189">
        <f t="shared" ref="Q21:Q52" si="3">IF($C21="","",IF(O21=2,P21,IF(O21=1,P21,P21/SUMIF(O$21:O$132,0,P$21:P$132)*($C$2-SUMIF(O$21:O$132,1,P$21:P$132)-SUMIF(O$21:O$132,2,P$21:P$132)))))</f>
        <v>20481.936442862843</v>
      </c>
      <c r="R21" s="188">
        <f>IF(OR(Q21&gt;$D21,$F21=1,$I21=1,$L21=1,$O21=1),1,0)</f>
        <v>0</v>
      </c>
      <c r="S21" s="189">
        <f>IF($C21="","",MIN(Q21,$D21))</f>
        <v>20481.936442862843</v>
      </c>
      <c r="T21" s="189">
        <f t="shared" ref="T21:T52" si="4">IF($C21="","",IF(R21=2,S21,IF(R21=1,S21,S21/SUMIF(R$21:R$132,0,S$21:S$132)*($C$2-SUMIF(R$21:R$132,1,S$21:S$132)-SUMIF(R$21:R$132,2,S$21:S$132)))))</f>
        <v>20481.93644286284</v>
      </c>
      <c r="U21" s="180">
        <f>IF(ISNUMBER(E21),IFERROR(T21,0),E21)</f>
        <v>20481.93644286284</v>
      </c>
      <c r="V21" s="129">
        <f t="shared" ref="V21:V52" si="5">IF(C21="","",IFERROR(U21/SUMIF($U$21:$U$132,"&lt;&gt;#DIV/0!"),0))</f>
        <v>2.5340262864117823E-3</v>
      </c>
    </row>
    <row r="22" spans="2:22" s="186" customFormat="1" x14ac:dyDescent="0.25">
      <c r="B22" s="156">
        <f t="shared" ref="B22:B85" si="6">IF(C22="","",ROW()-20)</f>
        <v>2</v>
      </c>
      <c r="C22" s="127" t="str">
        <f>סיכום!C22</f>
        <v>רנה שינפלד</v>
      </c>
      <c r="D22" s="181">
        <f>'סיכום לועדה- הזנת נתונים'!N22</f>
        <v>250000</v>
      </c>
      <c r="E22" s="181">
        <f>סיכום!I22</f>
        <v>109814.96724117086</v>
      </c>
      <c r="F22" s="140">
        <f t="shared" ref="F22:F85" si="7">IF(C22="","",IF(E22&gt;$D22,1,0))</f>
        <v>0</v>
      </c>
      <c r="G22" s="181">
        <f t="shared" ref="G22:G85" si="8">IF($C22="","",IF(ISNUMBER(E22),MIN(D22:E22),E22))</f>
        <v>109814.96724117086</v>
      </c>
      <c r="H22" s="181">
        <f t="shared" si="0"/>
        <v>109814.96724117092</v>
      </c>
      <c r="I22" s="188">
        <f t="shared" ref="I22:I85" si="9">IF(OR(H22&gt;$D22,$F22=1),1,0)</f>
        <v>0</v>
      </c>
      <c r="J22" s="189">
        <f t="shared" ref="J22:J85" si="10">IF($C22="","",MIN(H22,$D22))</f>
        <v>109814.96724117092</v>
      </c>
      <c r="K22" s="189">
        <f t="shared" si="1"/>
        <v>109814.96724117095</v>
      </c>
      <c r="L22" s="188">
        <f t="shared" ref="L22:L85" si="11">IF(OR(K22&gt;$D22,$F22=1,$I22=1),1,0)</f>
        <v>0</v>
      </c>
      <c r="M22" s="189">
        <f t="shared" ref="M22:M85" si="12">IF($C22="","",MIN(K22,$D22))</f>
        <v>109814.96724117095</v>
      </c>
      <c r="N22" s="189">
        <f t="shared" si="2"/>
        <v>109814.96724117092</v>
      </c>
      <c r="O22" s="188">
        <f t="shared" ref="O22:O85" si="13">IF(OR(N22&gt;$D22,$F22=1,$I22=1,$L22=1),1,0)</f>
        <v>0</v>
      </c>
      <c r="P22" s="189">
        <f t="shared" ref="P22:P85" si="14">IF($C22="","",MIN(N22,$D22))</f>
        <v>109814.96724117092</v>
      </c>
      <c r="Q22" s="189">
        <f t="shared" si="3"/>
        <v>109814.96724117095</v>
      </c>
      <c r="R22" s="188">
        <f t="shared" ref="R22:R85" si="15">IF(OR(Q22&gt;$D22,$F22=1,$I22=1,$L22=1,$O22=1),1,0)</f>
        <v>0</v>
      </c>
      <c r="S22" s="189">
        <f t="shared" ref="S22:S85" si="16">IF($C22="","",MIN(Q22,$D22))</f>
        <v>109814.96724117095</v>
      </c>
      <c r="T22" s="189">
        <f t="shared" si="4"/>
        <v>109814.96724117092</v>
      </c>
      <c r="U22" s="180">
        <f t="shared" ref="U22:U85" si="17">IF(ISNUMBER(E22),IFERROR(T22,0),E22)</f>
        <v>109814.96724117092</v>
      </c>
      <c r="V22" s="129">
        <f t="shared" si="5"/>
        <v>1.3586313696796163E-2</v>
      </c>
    </row>
    <row r="23" spans="2:22" s="186" customFormat="1" x14ac:dyDescent="0.25">
      <c r="B23" s="156">
        <f t="shared" si="6"/>
        <v>3</v>
      </c>
      <c r="C23" s="127" t="str">
        <f>סיכום!C23</f>
        <v>אבי קייזר וסרג'יו אנטוניניו</v>
      </c>
      <c r="D23" s="181">
        <f>'סיכום לועדה- הזנת נתונים'!N23</f>
        <v>295000</v>
      </c>
      <c r="E23" s="181">
        <f>סיכום!I23</f>
        <v>66612.832545115336</v>
      </c>
      <c r="F23" s="140">
        <f t="shared" si="7"/>
        <v>0</v>
      </c>
      <c r="G23" s="181">
        <f t="shared" si="8"/>
        <v>66612.832545115336</v>
      </c>
      <c r="H23" s="181">
        <f t="shared" si="0"/>
        <v>66612.832545115365</v>
      </c>
      <c r="I23" s="188">
        <f t="shared" si="9"/>
        <v>0</v>
      </c>
      <c r="J23" s="189">
        <f t="shared" si="10"/>
        <v>66612.832545115365</v>
      </c>
      <c r="K23" s="189">
        <f t="shared" si="1"/>
        <v>66612.83254511538</v>
      </c>
      <c r="L23" s="188">
        <f t="shared" si="11"/>
        <v>0</v>
      </c>
      <c r="M23" s="189">
        <f t="shared" si="12"/>
        <v>66612.83254511538</v>
      </c>
      <c r="N23" s="189">
        <f t="shared" si="2"/>
        <v>66612.832545115365</v>
      </c>
      <c r="O23" s="188">
        <f t="shared" si="13"/>
        <v>0</v>
      </c>
      <c r="P23" s="189">
        <f t="shared" si="14"/>
        <v>66612.832545115365</v>
      </c>
      <c r="Q23" s="189">
        <f t="shared" si="3"/>
        <v>66612.83254511538</v>
      </c>
      <c r="R23" s="188">
        <f t="shared" si="15"/>
        <v>0</v>
      </c>
      <c r="S23" s="189">
        <f t="shared" si="16"/>
        <v>66612.83254511538</v>
      </c>
      <c r="T23" s="189">
        <f t="shared" si="4"/>
        <v>66612.832545115365</v>
      </c>
      <c r="U23" s="180">
        <f t="shared" si="17"/>
        <v>66612.832545115365</v>
      </c>
      <c r="V23" s="129">
        <f t="shared" si="5"/>
        <v>8.2413432515307111E-3</v>
      </c>
    </row>
    <row r="24" spans="2:22" s="186" customFormat="1" x14ac:dyDescent="0.25">
      <c r="B24" s="156" t="str">
        <f t="shared" si="6"/>
        <v/>
      </c>
      <c r="C24" s="127" t="str">
        <f>סיכום!C24</f>
        <v/>
      </c>
      <c r="D24" s="181" t="str">
        <f>'סיכום לועדה- הזנת נתונים'!N24</f>
        <v/>
      </c>
      <c r="E24" s="181" t="str">
        <f>סיכום!I24</f>
        <v/>
      </c>
      <c r="F24" s="140" t="str">
        <f t="shared" si="7"/>
        <v/>
      </c>
      <c r="G24" s="181" t="str">
        <f t="shared" si="8"/>
        <v/>
      </c>
      <c r="H24" s="181" t="str">
        <f t="shared" si="0"/>
        <v/>
      </c>
      <c r="I24" s="188">
        <f t="shared" si="9"/>
        <v>0</v>
      </c>
      <c r="J24" s="189" t="str">
        <f t="shared" si="10"/>
        <v/>
      </c>
      <c r="K24" s="189" t="str">
        <f t="shared" si="1"/>
        <v/>
      </c>
      <c r="L24" s="188">
        <f t="shared" si="11"/>
        <v>0</v>
      </c>
      <c r="M24" s="189" t="str">
        <f t="shared" si="12"/>
        <v/>
      </c>
      <c r="N24" s="189" t="str">
        <f t="shared" si="2"/>
        <v/>
      </c>
      <c r="O24" s="188">
        <f t="shared" si="13"/>
        <v>0</v>
      </c>
      <c r="P24" s="189" t="str">
        <f t="shared" si="14"/>
        <v/>
      </c>
      <c r="Q24" s="189" t="str">
        <f t="shared" si="3"/>
        <v/>
      </c>
      <c r="R24" s="188">
        <f t="shared" si="15"/>
        <v>0</v>
      </c>
      <c r="S24" s="189" t="str">
        <f t="shared" si="16"/>
        <v/>
      </c>
      <c r="T24" s="189" t="str">
        <f t="shared" si="4"/>
        <v/>
      </c>
      <c r="U24" s="180" t="str">
        <f t="shared" si="17"/>
        <v/>
      </c>
      <c r="V24" s="129" t="str">
        <f t="shared" si="5"/>
        <v/>
      </c>
    </row>
    <row r="25" spans="2:22" s="186" customFormat="1" x14ac:dyDescent="0.25">
      <c r="B25" s="156">
        <f t="shared" si="6"/>
        <v>5</v>
      </c>
      <c r="C25" s="127" t="str">
        <f>סיכום!C25</f>
        <v>אדוה ירמיהו</v>
      </c>
      <c r="D25" s="181">
        <f>'סיכום לועדה- הזנת נתונים'!N25</f>
        <v>295000</v>
      </c>
      <c r="E25" s="181">
        <f>סיכום!I25</f>
        <v>97426.027791732893</v>
      </c>
      <c r="F25" s="140">
        <f t="shared" si="7"/>
        <v>0</v>
      </c>
      <c r="G25" s="181">
        <f t="shared" si="8"/>
        <v>97426.027791732893</v>
      </c>
      <c r="H25" s="181">
        <f t="shared" si="0"/>
        <v>97426.027791732937</v>
      </c>
      <c r="I25" s="188">
        <f t="shared" si="9"/>
        <v>0</v>
      </c>
      <c r="J25" s="189">
        <f t="shared" si="10"/>
        <v>97426.027791732937</v>
      </c>
      <c r="K25" s="189">
        <f t="shared" si="1"/>
        <v>97426.027791732966</v>
      </c>
      <c r="L25" s="188">
        <f t="shared" si="11"/>
        <v>0</v>
      </c>
      <c r="M25" s="189">
        <f t="shared" si="12"/>
        <v>97426.027791732966</v>
      </c>
      <c r="N25" s="189">
        <f t="shared" si="2"/>
        <v>97426.027791732951</v>
      </c>
      <c r="O25" s="188">
        <f t="shared" si="13"/>
        <v>0</v>
      </c>
      <c r="P25" s="189">
        <f t="shared" si="14"/>
        <v>97426.027791732951</v>
      </c>
      <c r="Q25" s="189">
        <f t="shared" si="3"/>
        <v>97426.02779173298</v>
      </c>
      <c r="R25" s="188">
        <f t="shared" si="15"/>
        <v>0</v>
      </c>
      <c r="S25" s="189">
        <f t="shared" si="16"/>
        <v>97426.02779173298</v>
      </c>
      <c r="T25" s="189">
        <f t="shared" si="4"/>
        <v>97426.027791732966</v>
      </c>
      <c r="U25" s="180">
        <f t="shared" si="17"/>
        <v>97426.027791732966</v>
      </c>
      <c r="V25" s="129">
        <f t="shared" si="5"/>
        <v>1.2053553436885326E-2</v>
      </c>
    </row>
    <row r="26" spans="2:22" x14ac:dyDescent="0.25">
      <c r="B26" s="156">
        <f t="shared" si="6"/>
        <v>6</v>
      </c>
      <c r="C26" s="127" t="str">
        <f>סיכום!C26</f>
        <v>אהרונה ישראל</v>
      </c>
      <c r="D26" s="181">
        <f>'סיכום לועדה- הזנת נתונים'!N26</f>
        <v>295000</v>
      </c>
      <c r="E26" s="181">
        <f>סיכום!I26</f>
        <v>52345.893988859571</v>
      </c>
      <c r="F26" s="140">
        <f t="shared" si="7"/>
        <v>0</v>
      </c>
      <c r="G26" s="181">
        <f t="shared" si="8"/>
        <v>52345.893988859571</v>
      </c>
      <c r="H26" s="181">
        <f t="shared" si="0"/>
        <v>52345.8939888596</v>
      </c>
      <c r="I26" s="188">
        <f t="shared" si="9"/>
        <v>0</v>
      </c>
      <c r="J26" s="189">
        <f t="shared" si="10"/>
        <v>52345.8939888596</v>
      </c>
      <c r="K26" s="189">
        <f t="shared" si="1"/>
        <v>52345.893988859607</v>
      </c>
      <c r="L26" s="188">
        <f t="shared" si="11"/>
        <v>0</v>
      </c>
      <c r="M26" s="189">
        <f t="shared" si="12"/>
        <v>52345.893988859607</v>
      </c>
      <c r="N26" s="189">
        <f t="shared" si="2"/>
        <v>52345.8939888596</v>
      </c>
      <c r="O26" s="188">
        <f t="shared" si="13"/>
        <v>0</v>
      </c>
      <c r="P26" s="189">
        <f t="shared" si="14"/>
        <v>52345.8939888596</v>
      </c>
      <c r="Q26" s="189">
        <f t="shared" si="3"/>
        <v>52345.893988859607</v>
      </c>
      <c r="R26" s="188">
        <f t="shared" si="15"/>
        <v>0</v>
      </c>
      <c r="S26" s="189">
        <f t="shared" si="16"/>
        <v>52345.893988859607</v>
      </c>
      <c r="T26" s="189">
        <f t="shared" si="4"/>
        <v>52345.8939888596</v>
      </c>
      <c r="U26" s="180">
        <f t="shared" si="17"/>
        <v>52345.8939888596</v>
      </c>
      <c r="V26" s="129">
        <f t="shared" si="5"/>
        <v>6.4762368403753481E-3</v>
      </c>
    </row>
    <row r="27" spans="2:22" x14ac:dyDescent="0.25">
      <c r="B27" s="156">
        <f t="shared" si="6"/>
        <v>7</v>
      </c>
      <c r="C27" s="127" t="str">
        <f>סיכום!C27</f>
        <v>אופיר יודילביץ</v>
      </c>
      <c r="D27" s="181">
        <f>'סיכום לועדה- הזנת נתונים'!N27</f>
        <v>295000</v>
      </c>
      <c r="E27" s="181">
        <f>סיכום!I27</f>
        <v>114862.59201054429</v>
      </c>
      <c r="F27" s="140">
        <f t="shared" si="7"/>
        <v>0</v>
      </c>
      <c r="G27" s="181">
        <f t="shared" si="8"/>
        <v>114862.59201054429</v>
      </c>
      <c r="H27" s="181">
        <f t="shared" si="0"/>
        <v>114862.59201054434</v>
      </c>
      <c r="I27" s="188">
        <f t="shared" si="9"/>
        <v>0</v>
      </c>
      <c r="J27" s="189">
        <f t="shared" si="10"/>
        <v>114862.59201054434</v>
      </c>
      <c r="K27" s="189">
        <f t="shared" si="1"/>
        <v>114862.59201054435</v>
      </c>
      <c r="L27" s="188">
        <f t="shared" si="11"/>
        <v>0</v>
      </c>
      <c r="M27" s="189">
        <f t="shared" si="12"/>
        <v>114862.59201054435</v>
      </c>
      <c r="N27" s="189">
        <f t="shared" si="2"/>
        <v>114862.59201054432</v>
      </c>
      <c r="O27" s="188">
        <f t="shared" si="13"/>
        <v>0</v>
      </c>
      <c r="P27" s="189">
        <f t="shared" si="14"/>
        <v>114862.59201054432</v>
      </c>
      <c r="Q27" s="189">
        <f t="shared" si="3"/>
        <v>114862.59201054434</v>
      </c>
      <c r="R27" s="188">
        <f t="shared" si="15"/>
        <v>0</v>
      </c>
      <c r="S27" s="189">
        <f t="shared" si="16"/>
        <v>114862.59201054434</v>
      </c>
      <c r="T27" s="189">
        <f t="shared" si="4"/>
        <v>114862.59201054431</v>
      </c>
      <c r="U27" s="180">
        <f t="shared" si="17"/>
        <v>114862.59201054431</v>
      </c>
      <c r="V27" s="129">
        <f t="shared" si="5"/>
        <v>1.4210806106740755E-2</v>
      </c>
    </row>
    <row r="28" spans="2:22" x14ac:dyDescent="0.25">
      <c r="B28" s="156">
        <f t="shared" si="6"/>
        <v>8</v>
      </c>
      <c r="C28" s="127" t="str">
        <f>סיכום!C28</f>
        <v>אור מרין ואורן נחום</v>
      </c>
      <c r="D28" s="181">
        <f>'סיכום לועדה- הזנת נתונים'!N28</f>
        <v>295000</v>
      </c>
      <c r="E28" s="181">
        <f>סיכום!I28</f>
        <v>93831.416403847572</v>
      </c>
      <c r="F28" s="140">
        <f t="shared" si="7"/>
        <v>0</v>
      </c>
      <c r="G28" s="181">
        <f t="shared" si="8"/>
        <v>93831.416403847572</v>
      </c>
      <c r="H28" s="181">
        <f t="shared" si="0"/>
        <v>93831.416403847616</v>
      </c>
      <c r="I28" s="188">
        <f t="shared" si="9"/>
        <v>0</v>
      </c>
      <c r="J28" s="189">
        <f t="shared" si="10"/>
        <v>93831.416403847616</v>
      </c>
      <c r="K28" s="189">
        <f t="shared" si="1"/>
        <v>93831.416403847645</v>
      </c>
      <c r="L28" s="188">
        <f t="shared" si="11"/>
        <v>0</v>
      </c>
      <c r="M28" s="189">
        <f t="shared" si="12"/>
        <v>93831.416403847645</v>
      </c>
      <c r="N28" s="189">
        <f t="shared" si="2"/>
        <v>93831.41640384763</v>
      </c>
      <c r="O28" s="188">
        <f t="shared" si="13"/>
        <v>0</v>
      </c>
      <c r="P28" s="189">
        <f t="shared" si="14"/>
        <v>93831.41640384763</v>
      </c>
      <c r="Q28" s="189">
        <f t="shared" si="3"/>
        <v>93831.416403847659</v>
      </c>
      <c r="R28" s="188">
        <f t="shared" si="15"/>
        <v>0</v>
      </c>
      <c r="S28" s="189">
        <f t="shared" si="16"/>
        <v>93831.416403847659</v>
      </c>
      <c r="T28" s="189">
        <f t="shared" si="4"/>
        <v>93831.416403847645</v>
      </c>
      <c r="U28" s="180">
        <f t="shared" si="17"/>
        <v>93831.416403847645</v>
      </c>
      <c r="V28" s="129">
        <f t="shared" si="5"/>
        <v>1.1608827921221957E-2</v>
      </c>
    </row>
    <row r="29" spans="2:22" x14ac:dyDescent="0.25">
      <c r="B29" s="156">
        <f t="shared" si="6"/>
        <v>9</v>
      </c>
      <c r="C29" s="127" t="str">
        <f>סיכום!C29</f>
        <v>אורי שפיר</v>
      </c>
      <c r="D29" s="181">
        <f>'סיכום לועדה- הזנת נתונים'!N29</f>
        <v>295000</v>
      </c>
      <c r="E29" s="181">
        <f>סיכום!I29</f>
        <v>97444.123020957282</v>
      </c>
      <c r="F29" s="140">
        <f t="shared" si="7"/>
        <v>0</v>
      </c>
      <c r="G29" s="181">
        <f t="shared" si="8"/>
        <v>97444.123020957282</v>
      </c>
      <c r="H29" s="181">
        <f t="shared" si="0"/>
        <v>97444.123020957326</v>
      </c>
      <c r="I29" s="188">
        <f t="shared" si="9"/>
        <v>0</v>
      </c>
      <c r="J29" s="189">
        <f t="shared" si="10"/>
        <v>97444.123020957326</v>
      </c>
      <c r="K29" s="189">
        <f t="shared" si="1"/>
        <v>97444.12302095734</v>
      </c>
      <c r="L29" s="188">
        <f t="shared" si="11"/>
        <v>0</v>
      </c>
      <c r="M29" s="189">
        <f t="shared" si="12"/>
        <v>97444.12302095734</v>
      </c>
      <c r="N29" s="189">
        <f t="shared" si="2"/>
        <v>97444.123020957311</v>
      </c>
      <c r="O29" s="188">
        <f t="shared" si="13"/>
        <v>0</v>
      </c>
      <c r="P29" s="189">
        <f t="shared" si="14"/>
        <v>97444.123020957311</v>
      </c>
      <c r="Q29" s="189">
        <f t="shared" si="3"/>
        <v>97444.123020957326</v>
      </c>
      <c r="R29" s="188">
        <f t="shared" si="15"/>
        <v>0</v>
      </c>
      <c r="S29" s="189">
        <f t="shared" si="16"/>
        <v>97444.123020957326</v>
      </c>
      <c r="T29" s="189">
        <f t="shared" si="4"/>
        <v>97444.123020957297</v>
      </c>
      <c r="U29" s="180">
        <f t="shared" si="17"/>
        <v>97444.123020957297</v>
      </c>
      <c r="V29" s="129">
        <f t="shared" si="5"/>
        <v>1.205579217962535E-2</v>
      </c>
    </row>
    <row r="30" spans="2:22" x14ac:dyDescent="0.25">
      <c r="B30" s="156">
        <f t="shared" si="6"/>
        <v>10</v>
      </c>
      <c r="C30" s="127" t="str">
        <f>סיכום!C30</f>
        <v>אורלי פורטל</v>
      </c>
      <c r="D30" s="181">
        <f>'סיכום לועדה- הזנת נתונים'!N30</f>
        <v>295000</v>
      </c>
      <c r="E30" s="181">
        <f>סיכום!I30</f>
        <v>161399.68566352929</v>
      </c>
      <c r="F30" s="140">
        <f t="shared" si="7"/>
        <v>0</v>
      </c>
      <c r="G30" s="181">
        <f t="shared" si="8"/>
        <v>161399.68566352929</v>
      </c>
      <c r="H30" s="181">
        <f t="shared" si="0"/>
        <v>161399.68566352935</v>
      </c>
      <c r="I30" s="188">
        <f t="shared" si="9"/>
        <v>0</v>
      </c>
      <c r="J30" s="189">
        <f t="shared" si="10"/>
        <v>161399.68566352935</v>
      </c>
      <c r="K30" s="189">
        <f t="shared" si="1"/>
        <v>161399.68566352938</v>
      </c>
      <c r="L30" s="188">
        <f t="shared" si="11"/>
        <v>0</v>
      </c>
      <c r="M30" s="189">
        <f t="shared" si="12"/>
        <v>161399.68566352938</v>
      </c>
      <c r="N30" s="189">
        <f t="shared" si="2"/>
        <v>161399.68566352935</v>
      </c>
      <c r="O30" s="188">
        <f t="shared" si="13"/>
        <v>0</v>
      </c>
      <c r="P30" s="189">
        <f t="shared" si="14"/>
        <v>161399.68566352935</v>
      </c>
      <c r="Q30" s="189">
        <f t="shared" si="3"/>
        <v>161399.68566352938</v>
      </c>
      <c r="R30" s="188">
        <f t="shared" si="15"/>
        <v>0</v>
      </c>
      <c r="S30" s="189">
        <f t="shared" si="16"/>
        <v>161399.68566352938</v>
      </c>
      <c r="T30" s="189">
        <f t="shared" si="4"/>
        <v>161399.68566352935</v>
      </c>
      <c r="U30" s="180">
        <f t="shared" si="17"/>
        <v>161399.68566352935</v>
      </c>
      <c r="V30" s="129">
        <f t="shared" si="5"/>
        <v>1.9968377854843886E-2</v>
      </c>
    </row>
    <row r="31" spans="2:22" x14ac:dyDescent="0.25">
      <c r="B31" s="156" t="str">
        <f t="shared" si="6"/>
        <v/>
      </c>
      <c r="C31" s="127" t="str">
        <f>סיכום!C31</f>
        <v/>
      </c>
      <c r="D31" s="181" t="str">
        <f>'סיכום לועדה- הזנת נתונים'!N31</f>
        <v/>
      </c>
      <c r="E31" s="181" t="str">
        <f>סיכום!I31</f>
        <v/>
      </c>
      <c r="F31" s="140" t="str">
        <f t="shared" si="7"/>
        <v/>
      </c>
      <c r="G31" s="181" t="str">
        <f t="shared" si="8"/>
        <v/>
      </c>
      <c r="H31" s="181" t="str">
        <f t="shared" si="0"/>
        <v/>
      </c>
      <c r="I31" s="188">
        <f t="shared" si="9"/>
        <v>0</v>
      </c>
      <c r="J31" s="189" t="str">
        <f t="shared" si="10"/>
        <v/>
      </c>
      <c r="K31" s="189" t="str">
        <f t="shared" si="1"/>
        <v/>
      </c>
      <c r="L31" s="188">
        <f t="shared" si="11"/>
        <v>0</v>
      </c>
      <c r="M31" s="189" t="str">
        <f t="shared" si="12"/>
        <v/>
      </c>
      <c r="N31" s="189" t="str">
        <f t="shared" si="2"/>
        <v/>
      </c>
      <c r="O31" s="188">
        <f t="shared" si="13"/>
        <v>0</v>
      </c>
      <c r="P31" s="189" t="str">
        <f t="shared" si="14"/>
        <v/>
      </c>
      <c r="Q31" s="189" t="str">
        <f t="shared" si="3"/>
        <v/>
      </c>
      <c r="R31" s="188">
        <f t="shared" si="15"/>
        <v>0</v>
      </c>
      <c r="S31" s="189" t="str">
        <f t="shared" si="16"/>
        <v/>
      </c>
      <c r="T31" s="189" t="str">
        <f t="shared" si="4"/>
        <v/>
      </c>
      <c r="U31" s="180" t="str">
        <f t="shared" si="17"/>
        <v/>
      </c>
      <c r="V31" s="129" t="str">
        <f t="shared" si="5"/>
        <v/>
      </c>
    </row>
    <row r="32" spans="2:22" x14ac:dyDescent="0.25">
      <c r="B32" s="156">
        <f t="shared" si="6"/>
        <v>12</v>
      </c>
      <c r="C32" s="127" t="str">
        <f>סיכום!C32</f>
        <v>אורין יוחנן</v>
      </c>
      <c r="D32" s="181">
        <f>'סיכום לועדה- הזנת נתונים'!N32</f>
        <v>295000</v>
      </c>
      <c r="E32" s="181">
        <f>סיכום!I32</f>
        <v>60307.824388644913</v>
      </c>
      <c r="F32" s="140">
        <f t="shared" si="7"/>
        <v>0</v>
      </c>
      <c r="G32" s="181">
        <f t="shared" si="8"/>
        <v>60307.824388644913</v>
      </c>
      <c r="H32" s="181">
        <f t="shared" si="0"/>
        <v>60307.824388644935</v>
      </c>
      <c r="I32" s="188">
        <f t="shared" si="9"/>
        <v>0</v>
      </c>
      <c r="J32" s="189">
        <f t="shared" si="10"/>
        <v>60307.824388644935</v>
      </c>
      <c r="K32" s="189">
        <f t="shared" si="1"/>
        <v>60307.824388644942</v>
      </c>
      <c r="L32" s="188">
        <f t="shared" si="11"/>
        <v>0</v>
      </c>
      <c r="M32" s="189">
        <f t="shared" si="12"/>
        <v>60307.824388644942</v>
      </c>
      <c r="N32" s="189">
        <f t="shared" si="2"/>
        <v>60307.824388644935</v>
      </c>
      <c r="O32" s="188">
        <f t="shared" si="13"/>
        <v>0</v>
      </c>
      <c r="P32" s="189">
        <f t="shared" si="14"/>
        <v>60307.824388644935</v>
      </c>
      <c r="Q32" s="189">
        <f t="shared" si="3"/>
        <v>60307.824388644942</v>
      </c>
      <c r="R32" s="188">
        <f t="shared" si="15"/>
        <v>0</v>
      </c>
      <c r="S32" s="189">
        <f t="shared" si="16"/>
        <v>60307.824388644942</v>
      </c>
      <c r="T32" s="189">
        <f t="shared" si="4"/>
        <v>60307.824388644935</v>
      </c>
      <c r="U32" s="180">
        <f t="shared" si="17"/>
        <v>60307.824388644935</v>
      </c>
      <c r="V32" s="129">
        <f t="shared" si="5"/>
        <v>7.4612873008100874E-3</v>
      </c>
    </row>
    <row r="33" spans="2:22" x14ac:dyDescent="0.25">
      <c r="B33" s="156">
        <f t="shared" si="6"/>
        <v>13</v>
      </c>
      <c r="C33" s="127" t="str">
        <f>סיכום!C33</f>
        <v>איריס ארז</v>
      </c>
      <c r="D33" s="181">
        <f>'סיכום לועדה- הזנת נתונים'!N33</f>
        <v>295000</v>
      </c>
      <c r="E33" s="181">
        <f>סיכום!I33</f>
        <v>178616.2943741511</v>
      </c>
      <c r="F33" s="140">
        <f t="shared" si="7"/>
        <v>0</v>
      </c>
      <c r="G33" s="181">
        <f t="shared" si="8"/>
        <v>178616.2943741511</v>
      </c>
      <c r="H33" s="181">
        <f t="shared" si="0"/>
        <v>178616.29437415116</v>
      </c>
      <c r="I33" s="188">
        <f t="shared" si="9"/>
        <v>0</v>
      </c>
      <c r="J33" s="189">
        <f t="shared" si="10"/>
        <v>178616.29437415116</v>
      </c>
      <c r="K33" s="189">
        <f t="shared" si="1"/>
        <v>178616.29437415118</v>
      </c>
      <c r="L33" s="188">
        <f t="shared" si="11"/>
        <v>0</v>
      </c>
      <c r="M33" s="189">
        <f t="shared" si="12"/>
        <v>178616.29437415118</v>
      </c>
      <c r="N33" s="189">
        <f t="shared" si="2"/>
        <v>178616.29437415113</v>
      </c>
      <c r="O33" s="188">
        <f t="shared" si="13"/>
        <v>0</v>
      </c>
      <c r="P33" s="189">
        <f t="shared" si="14"/>
        <v>178616.29437415113</v>
      </c>
      <c r="Q33" s="189">
        <f t="shared" si="3"/>
        <v>178616.29437415116</v>
      </c>
      <c r="R33" s="188">
        <f t="shared" si="15"/>
        <v>0</v>
      </c>
      <c r="S33" s="189">
        <f t="shared" si="16"/>
        <v>178616.29437415116</v>
      </c>
      <c r="T33" s="189">
        <f t="shared" si="4"/>
        <v>178616.29437415113</v>
      </c>
      <c r="U33" s="180">
        <f t="shared" si="17"/>
        <v>178616.29437415113</v>
      </c>
      <c r="V33" s="129">
        <f t="shared" si="5"/>
        <v>2.2098417617309025E-2</v>
      </c>
    </row>
    <row r="34" spans="2:22" x14ac:dyDescent="0.25">
      <c r="B34" s="156" t="str">
        <f t="shared" si="6"/>
        <v/>
      </c>
      <c r="C34" s="127" t="str">
        <f>סיכום!C34</f>
        <v/>
      </c>
      <c r="D34" s="181" t="str">
        <f>'סיכום לועדה- הזנת נתונים'!N34</f>
        <v/>
      </c>
      <c r="E34" s="181" t="str">
        <f>סיכום!I34</f>
        <v/>
      </c>
      <c r="F34" s="140" t="str">
        <f t="shared" si="7"/>
        <v/>
      </c>
      <c r="G34" s="181" t="str">
        <f t="shared" si="8"/>
        <v/>
      </c>
      <c r="H34" s="181" t="str">
        <f t="shared" si="0"/>
        <v/>
      </c>
      <c r="I34" s="188">
        <f t="shared" si="9"/>
        <v>0</v>
      </c>
      <c r="J34" s="189" t="str">
        <f t="shared" si="10"/>
        <v/>
      </c>
      <c r="K34" s="189" t="str">
        <f t="shared" si="1"/>
        <v/>
      </c>
      <c r="L34" s="188">
        <f t="shared" si="11"/>
        <v>0</v>
      </c>
      <c r="M34" s="189" t="str">
        <f t="shared" si="12"/>
        <v/>
      </c>
      <c r="N34" s="189" t="str">
        <f t="shared" si="2"/>
        <v/>
      </c>
      <c r="O34" s="188">
        <f t="shared" si="13"/>
        <v>0</v>
      </c>
      <c r="P34" s="189" t="str">
        <f t="shared" si="14"/>
        <v/>
      </c>
      <c r="Q34" s="189" t="str">
        <f t="shared" si="3"/>
        <v/>
      </c>
      <c r="R34" s="188">
        <f t="shared" si="15"/>
        <v>0</v>
      </c>
      <c r="S34" s="189" t="str">
        <f t="shared" si="16"/>
        <v/>
      </c>
      <c r="T34" s="189" t="str">
        <f t="shared" si="4"/>
        <v/>
      </c>
      <c r="U34" s="180" t="str">
        <f t="shared" si="17"/>
        <v/>
      </c>
      <c r="V34" s="129" t="str">
        <f t="shared" si="5"/>
        <v/>
      </c>
    </row>
    <row r="35" spans="2:22" x14ac:dyDescent="0.25">
      <c r="B35" s="156">
        <f t="shared" si="6"/>
        <v>15</v>
      </c>
      <c r="C35" s="127" t="str">
        <f>סיכום!C35</f>
        <v>ענבל אושמן</v>
      </c>
      <c r="D35" s="181">
        <f>'סיכום לועדה- הזנת נתונים'!N35</f>
        <v>295000</v>
      </c>
      <c r="E35" s="181">
        <f>סיכום!I35</f>
        <v>72687.542690752642</v>
      </c>
      <c r="F35" s="140">
        <f t="shared" si="7"/>
        <v>0</v>
      </c>
      <c r="G35" s="181">
        <f t="shared" si="8"/>
        <v>72687.542690752642</v>
      </c>
      <c r="H35" s="181">
        <f t="shared" si="0"/>
        <v>72687.542690752671</v>
      </c>
      <c r="I35" s="188">
        <f t="shared" si="9"/>
        <v>0</v>
      </c>
      <c r="J35" s="189">
        <f t="shared" si="10"/>
        <v>72687.542690752671</v>
      </c>
      <c r="K35" s="189">
        <f t="shared" si="1"/>
        <v>72687.542690752685</v>
      </c>
      <c r="L35" s="188">
        <f t="shared" si="11"/>
        <v>0</v>
      </c>
      <c r="M35" s="189">
        <f t="shared" si="12"/>
        <v>72687.542690752685</v>
      </c>
      <c r="N35" s="189">
        <f t="shared" si="2"/>
        <v>72687.542690752671</v>
      </c>
      <c r="O35" s="188">
        <f t="shared" si="13"/>
        <v>0</v>
      </c>
      <c r="P35" s="189">
        <f t="shared" si="14"/>
        <v>72687.542690752671</v>
      </c>
      <c r="Q35" s="189">
        <f t="shared" si="3"/>
        <v>72687.542690752685</v>
      </c>
      <c r="R35" s="188">
        <f t="shared" si="15"/>
        <v>0</v>
      </c>
      <c r="S35" s="189">
        <f t="shared" si="16"/>
        <v>72687.542690752685</v>
      </c>
      <c r="T35" s="189">
        <f t="shared" si="4"/>
        <v>72687.542690752671</v>
      </c>
      <c r="U35" s="180">
        <f t="shared" si="17"/>
        <v>72687.542690752671</v>
      </c>
      <c r="V35" s="129">
        <f t="shared" si="5"/>
        <v>8.9929067198736331E-3</v>
      </c>
    </row>
    <row r="36" spans="2:22" x14ac:dyDescent="0.25">
      <c r="B36" s="156">
        <f t="shared" si="6"/>
        <v>16</v>
      </c>
      <c r="C36" s="127" t="str">
        <f>סיכום!C36</f>
        <v>אנדריאה מרטיני</v>
      </c>
      <c r="D36" s="181">
        <f>'סיכום לועדה- הזנת נתונים'!N36</f>
        <v>295000</v>
      </c>
      <c r="E36" s="181">
        <f>סיכום!I36</f>
        <v>88493.252872254612</v>
      </c>
      <c r="F36" s="140">
        <f t="shared" si="7"/>
        <v>0</v>
      </c>
      <c r="G36" s="181">
        <f t="shared" si="8"/>
        <v>88493.252872254612</v>
      </c>
      <c r="H36" s="181">
        <f t="shared" si="0"/>
        <v>88493.252872254656</v>
      </c>
      <c r="I36" s="188">
        <f t="shared" si="9"/>
        <v>0</v>
      </c>
      <c r="J36" s="189">
        <f t="shared" si="10"/>
        <v>88493.252872254656</v>
      </c>
      <c r="K36" s="189">
        <f t="shared" si="1"/>
        <v>88493.25287225467</v>
      </c>
      <c r="L36" s="188">
        <f t="shared" si="11"/>
        <v>0</v>
      </c>
      <c r="M36" s="189">
        <f t="shared" si="12"/>
        <v>88493.25287225467</v>
      </c>
      <c r="N36" s="189">
        <f t="shared" si="2"/>
        <v>88493.252872254641</v>
      </c>
      <c r="O36" s="188">
        <f t="shared" si="13"/>
        <v>0</v>
      </c>
      <c r="P36" s="189">
        <f t="shared" si="14"/>
        <v>88493.252872254641</v>
      </c>
      <c r="Q36" s="189">
        <f t="shared" si="3"/>
        <v>88493.252872254656</v>
      </c>
      <c r="R36" s="188">
        <f t="shared" si="15"/>
        <v>0</v>
      </c>
      <c r="S36" s="189">
        <f t="shared" si="16"/>
        <v>88493.252872254656</v>
      </c>
      <c r="T36" s="189">
        <f t="shared" si="4"/>
        <v>88493.252872254627</v>
      </c>
      <c r="U36" s="180">
        <f t="shared" si="17"/>
        <v>88493.252872254627</v>
      </c>
      <c r="V36" s="129">
        <f t="shared" si="5"/>
        <v>1.0948390039874311E-2</v>
      </c>
    </row>
    <row r="37" spans="2:22" x14ac:dyDescent="0.25">
      <c r="B37" s="156">
        <f t="shared" si="6"/>
        <v>17</v>
      </c>
      <c r="C37" s="127" t="str">
        <f>סיכום!C37</f>
        <v>אפרת רובין</v>
      </c>
      <c r="D37" s="181">
        <f>'סיכום לועדה- הזנת נתונים'!N37</f>
        <v>295000</v>
      </c>
      <c r="E37" s="181">
        <f>סיכום!I37</f>
        <v>53850.497509441244</v>
      </c>
      <c r="F37" s="140">
        <f t="shared" si="7"/>
        <v>0</v>
      </c>
      <c r="G37" s="181">
        <f t="shared" si="8"/>
        <v>53850.497509441244</v>
      </c>
      <c r="H37" s="181">
        <f t="shared" si="0"/>
        <v>53850.497509441266</v>
      </c>
      <c r="I37" s="188">
        <f t="shared" si="9"/>
        <v>0</v>
      </c>
      <c r="J37" s="189">
        <f t="shared" si="10"/>
        <v>53850.497509441266</v>
      </c>
      <c r="K37" s="189">
        <f t="shared" si="1"/>
        <v>53850.49750944128</v>
      </c>
      <c r="L37" s="188">
        <f t="shared" si="11"/>
        <v>0</v>
      </c>
      <c r="M37" s="189">
        <f t="shared" si="12"/>
        <v>53850.49750944128</v>
      </c>
      <c r="N37" s="189">
        <f t="shared" si="2"/>
        <v>53850.497509441266</v>
      </c>
      <c r="O37" s="188">
        <f t="shared" si="13"/>
        <v>0</v>
      </c>
      <c r="P37" s="189">
        <f t="shared" si="14"/>
        <v>53850.497509441266</v>
      </c>
      <c r="Q37" s="189">
        <f t="shared" si="3"/>
        <v>53850.49750944128</v>
      </c>
      <c r="R37" s="188">
        <f t="shared" si="15"/>
        <v>0</v>
      </c>
      <c r="S37" s="189">
        <f t="shared" si="16"/>
        <v>53850.49750944128</v>
      </c>
      <c r="T37" s="189">
        <f t="shared" si="4"/>
        <v>53850.497509441266</v>
      </c>
      <c r="U37" s="180">
        <f t="shared" si="17"/>
        <v>53850.497509441266</v>
      </c>
      <c r="V37" s="129">
        <f t="shared" si="5"/>
        <v>6.6623864694603579E-3</v>
      </c>
    </row>
    <row r="38" spans="2:22" x14ac:dyDescent="0.25">
      <c r="B38" s="156">
        <f t="shared" si="6"/>
        <v>18</v>
      </c>
      <c r="C38" s="127" t="str">
        <f>סיכום!C38</f>
        <v>שרון צוקרמן</v>
      </c>
      <c r="D38" s="181">
        <f>'סיכום לועדה- הזנת נתונים'!N38</f>
        <v>295000</v>
      </c>
      <c r="E38" s="181">
        <f>סיכום!I38</f>
        <v>57029.991314677944</v>
      </c>
      <c r="F38" s="140">
        <f t="shared" si="7"/>
        <v>0</v>
      </c>
      <c r="G38" s="181">
        <f t="shared" si="8"/>
        <v>57029.991314677944</v>
      </c>
      <c r="H38" s="181">
        <f t="shared" si="0"/>
        <v>57029.991314677965</v>
      </c>
      <c r="I38" s="188">
        <f t="shared" si="9"/>
        <v>0</v>
      </c>
      <c r="J38" s="189">
        <f t="shared" si="10"/>
        <v>57029.991314677965</v>
      </c>
      <c r="K38" s="189">
        <f t="shared" si="1"/>
        <v>57029.991314677973</v>
      </c>
      <c r="L38" s="188">
        <f t="shared" si="11"/>
        <v>0</v>
      </c>
      <c r="M38" s="189">
        <f t="shared" si="12"/>
        <v>57029.991314677973</v>
      </c>
      <c r="N38" s="189">
        <f t="shared" si="2"/>
        <v>57029.991314677958</v>
      </c>
      <c r="O38" s="188">
        <f t="shared" si="13"/>
        <v>0</v>
      </c>
      <c r="P38" s="189">
        <f t="shared" si="14"/>
        <v>57029.991314677958</v>
      </c>
      <c r="Q38" s="189">
        <f t="shared" si="3"/>
        <v>57029.991314677965</v>
      </c>
      <c r="R38" s="188">
        <f t="shared" si="15"/>
        <v>0</v>
      </c>
      <c r="S38" s="189">
        <f t="shared" si="16"/>
        <v>57029.991314677965</v>
      </c>
      <c r="T38" s="189">
        <f t="shared" si="4"/>
        <v>57029.991314677951</v>
      </c>
      <c r="U38" s="180">
        <f t="shared" si="17"/>
        <v>57029.991314677951</v>
      </c>
      <c r="V38" s="129">
        <f t="shared" si="5"/>
        <v>7.0557536153075806E-3</v>
      </c>
    </row>
    <row r="39" spans="2:22" x14ac:dyDescent="0.25">
      <c r="B39" s="156">
        <f t="shared" si="6"/>
        <v>19</v>
      </c>
      <c r="C39" s="127" t="str">
        <f>סיכום!C39</f>
        <v>בשמת נוסן</v>
      </c>
      <c r="D39" s="181">
        <f>'סיכום לועדה- הזנת נתונים'!N39</f>
        <v>295000</v>
      </c>
      <c r="E39" s="181">
        <f>סיכום!I39</f>
        <v>86004.112791956271</v>
      </c>
      <c r="F39" s="140">
        <f t="shared" si="7"/>
        <v>0</v>
      </c>
      <c r="G39" s="181">
        <f t="shared" si="8"/>
        <v>86004.112791956271</v>
      </c>
      <c r="H39" s="181">
        <f t="shared" si="0"/>
        <v>86004.112791956315</v>
      </c>
      <c r="I39" s="188">
        <f t="shared" si="9"/>
        <v>0</v>
      </c>
      <c r="J39" s="189">
        <f t="shared" si="10"/>
        <v>86004.112791956315</v>
      </c>
      <c r="K39" s="189">
        <f t="shared" si="1"/>
        <v>86004.11279195633</v>
      </c>
      <c r="L39" s="188">
        <f t="shared" si="11"/>
        <v>0</v>
      </c>
      <c r="M39" s="189">
        <f t="shared" si="12"/>
        <v>86004.11279195633</v>
      </c>
      <c r="N39" s="189">
        <f t="shared" si="2"/>
        <v>86004.112791956315</v>
      </c>
      <c r="O39" s="188">
        <f t="shared" si="13"/>
        <v>0</v>
      </c>
      <c r="P39" s="189">
        <f t="shared" si="14"/>
        <v>86004.112791956315</v>
      </c>
      <c r="Q39" s="189">
        <f t="shared" si="3"/>
        <v>86004.11279195633</v>
      </c>
      <c r="R39" s="188">
        <f t="shared" si="15"/>
        <v>0</v>
      </c>
      <c r="S39" s="189">
        <f t="shared" si="16"/>
        <v>86004.11279195633</v>
      </c>
      <c r="T39" s="189">
        <f t="shared" si="4"/>
        <v>86004.112791956315</v>
      </c>
      <c r="U39" s="180">
        <f t="shared" si="17"/>
        <v>86004.112791956315</v>
      </c>
      <c r="V39" s="129">
        <f t="shared" si="5"/>
        <v>1.0640433494279473E-2</v>
      </c>
    </row>
    <row r="40" spans="2:22" x14ac:dyDescent="0.25">
      <c r="B40" s="156">
        <f t="shared" si="6"/>
        <v>20</v>
      </c>
      <c r="C40" s="127" t="str">
        <f>סיכום!C40</f>
        <v>גיל קרר</v>
      </c>
      <c r="D40" s="181">
        <f>'סיכום לועדה- הזנת נתונים'!N40</f>
        <v>295000</v>
      </c>
      <c r="E40" s="181">
        <f>סיכום!I40</f>
        <v>113536.81610402494</v>
      </c>
      <c r="F40" s="140">
        <f t="shared" si="7"/>
        <v>0</v>
      </c>
      <c r="G40" s="181">
        <f t="shared" si="8"/>
        <v>113536.81610402494</v>
      </c>
      <c r="H40" s="181">
        <f t="shared" si="0"/>
        <v>113536.81610402498</v>
      </c>
      <c r="I40" s="188">
        <f t="shared" si="9"/>
        <v>0</v>
      </c>
      <c r="J40" s="189">
        <f t="shared" si="10"/>
        <v>113536.81610402498</v>
      </c>
      <c r="K40" s="189">
        <f t="shared" si="1"/>
        <v>113536.81610402501</v>
      </c>
      <c r="L40" s="188">
        <f t="shared" si="11"/>
        <v>0</v>
      </c>
      <c r="M40" s="189">
        <f t="shared" si="12"/>
        <v>113536.81610402501</v>
      </c>
      <c r="N40" s="189">
        <f t="shared" si="2"/>
        <v>113536.81610402498</v>
      </c>
      <c r="O40" s="188">
        <f t="shared" si="13"/>
        <v>0</v>
      </c>
      <c r="P40" s="189">
        <f t="shared" si="14"/>
        <v>113536.81610402498</v>
      </c>
      <c r="Q40" s="189">
        <f t="shared" si="3"/>
        <v>113536.81610402501</v>
      </c>
      <c r="R40" s="188">
        <f t="shared" si="15"/>
        <v>0</v>
      </c>
      <c r="S40" s="189">
        <f t="shared" si="16"/>
        <v>113536.81610402501</v>
      </c>
      <c r="T40" s="189">
        <f t="shared" si="4"/>
        <v>113536.81610402498</v>
      </c>
      <c r="U40" s="180">
        <f t="shared" si="17"/>
        <v>113536.81610402498</v>
      </c>
      <c r="V40" s="129">
        <f t="shared" si="5"/>
        <v>1.4046781039756328E-2</v>
      </c>
    </row>
    <row r="41" spans="2:22" x14ac:dyDescent="0.25">
      <c r="B41" s="156">
        <f t="shared" si="6"/>
        <v>21</v>
      </c>
      <c r="C41" s="127" t="str">
        <f>סיכום!C41</f>
        <v>דינה תלם</v>
      </c>
      <c r="D41" s="181">
        <f>'סיכום לועדה- הזנת נתונים'!N41</f>
        <v>295000</v>
      </c>
      <c r="E41" s="181">
        <f>סיכום!I41</f>
        <v>100979.40156809459</v>
      </c>
      <c r="F41" s="140">
        <f t="shared" si="7"/>
        <v>0</v>
      </c>
      <c r="G41" s="181">
        <f t="shared" si="8"/>
        <v>100979.40156809459</v>
      </c>
      <c r="H41" s="181">
        <f t="shared" si="0"/>
        <v>100979.40156809465</v>
      </c>
      <c r="I41" s="188">
        <f t="shared" si="9"/>
        <v>0</v>
      </c>
      <c r="J41" s="189">
        <f t="shared" si="10"/>
        <v>100979.40156809465</v>
      </c>
      <c r="K41" s="189">
        <f t="shared" si="1"/>
        <v>100979.40156809468</v>
      </c>
      <c r="L41" s="188">
        <f t="shared" si="11"/>
        <v>0</v>
      </c>
      <c r="M41" s="189">
        <f t="shared" si="12"/>
        <v>100979.40156809468</v>
      </c>
      <c r="N41" s="189">
        <f t="shared" si="2"/>
        <v>100979.40156809466</v>
      </c>
      <c r="O41" s="188">
        <f t="shared" si="13"/>
        <v>0</v>
      </c>
      <c r="P41" s="189">
        <f t="shared" si="14"/>
        <v>100979.40156809466</v>
      </c>
      <c r="Q41" s="189">
        <f t="shared" si="3"/>
        <v>100979.40156809469</v>
      </c>
      <c r="R41" s="188">
        <f t="shared" si="15"/>
        <v>0</v>
      </c>
      <c r="S41" s="189">
        <f t="shared" si="16"/>
        <v>100979.40156809469</v>
      </c>
      <c r="T41" s="189">
        <f t="shared" si="4"/>
        <v>100979.40156809468</v>
      </c>
      <c r="U41" s="180">
        <f t="shared" si="17"/>
        <v>100979.40156809468</v>
      </c>
      <c r="V41" s="129">
        <f t="shared" si="5"/>
        <v>1.2493177033016762E-2</v>
      </c>
    </row>
    <row r="42" spans="2:22" x14ac:dyDescent="0.25">
      <c r="B42" s="156">
        <f t="shared" si="6"/>
        <v>22</v>
      </c>
      <c r="C42" s="127" t="str">
        <f>סיכום!C42</f>
        <v>דנה יהלומי</v>
      </c>
      <c r="D42" s="181">
        <f>'סיכום לועדה- הזנת נתונים'!N42</f>
        <v>295000</v>
      </c>
      <c r="E42" s="181">
        <f>סיכום!I42</f>
        <v>110933.21754130136</v>
      </c>
      <c r="F42" s="140">
        <f t="shared" si="7"/>
        <v>0</v>
      </c>
      <c r="G42" s="181">
        <f t="shared" si="8"/>
        <v>110933.21754130136</v>
      </c>
      <c r="H42" s="181">
        <f t="shared" si="0"/>
        <v>110933.21754130142</v>
      </c>
      <c r="I42" s="188">
        <f t="shared" si="9"/>
        <v>0</v>
      </c>
      <c r="J42" s="189">
        <f t="shared" si="10"/>
        <v>110933.21754130142</v>
      </c>
      <c r="K42" s="189">
        <f t="shared" si="1"/>
        <v>110933.21754130145</v>
      </c>
      <c r="L42" s="188">
        <f t="shared" si="11"/>
        <v>0</v>
      </c>
      <c r="M42" s="189">
        <f t="shared" si="12"/>
        <v>110933.21754130145</v>
      </c>
      <c r="N42" s="189">
        <f t="shared" si="2"/>
        <v>110933.21754130143</v>
      </c>
      <c r="O42" s="188">
        <f t="shared" si="13"/>
        <v>0</v>
      </c>
      <c r="P42" s="189">
        <f t="shared" si="14"/>
        <v>110933.21754130143</v>
      </c>
      <c r="Q42" s="189">
        <f t="shared" si="3"/>
        <v>110933.21754130146</v>
      </c>
      <c r="R42" s="188">
        <f t="shared" si="15"/>
        <v>0</v>
      </c>
      <c r="S42" s="189">
        <f t="shared" si="16"/>
        <v>110933.21754130146</v>
      </c>
      <c r="T42" s="189">
        <f t="shared" si="4"/>
        <v>110933.21754130145</v>
      </c>
      <c r="U42" s="180">
        <f t="shared" si="17"/>
        <v>110933.21754130145</v>
      </c>
      <c r="V42" s="129">
        <f t="shared" si="5"/>
        <v>1.3724663684514539E-2</v>
      </c>
    </row>
    <row r="43" spans="2:22" x14ac:dyDescent="0.25">
      <c r="B43" s="156">
        <f t="shared" si="6"/>
        <v>23</v>
      </c>
      <c r="C43" s="127" t="str">
        <f>סיכום!C43</f>
        <v>דנה רוטנברג</v>
      </c>
      <c r="D43" s="181">
        <f>'סיכום לועדה- הזנת נתונים'!N43</f>
        <v>295000</v>
      </c>
      <c r="E43" s="181">
        <f>סיכום!I43</f>
        <v>109729.57884510503</v>
      </c>
      <c r="F43" s="140">
        <f t="shared" si="7"/>
        <v>0</v>
      </c>
      <c r="G43" s="181">
        <f t="shared" si="8"/>
        <v>109729.57884510503</v>
      </c>
      <c r="H43" s="181">
        <f t="shared" si="0"/>
        <v>109729.57884510509</v>
      </c>
      <c r="I43" s="188">
        <f t="shared" si="9"/>
        <v>0</v>
      </c>
      <c r="J43" s="189">
        <f t="shared" si="10"/>
        <v>109729.57884510509</v>
      </c>
      <c r="K43" s="189">
        <f t="shared" si="1"/>
        <v>109729.5788451051</v>
      </c>
      <c r="L43" s="188">
        <f t="shared" si="11"/>
        <v>0</v>
      </c>
      <c r="M43" s="189">
        <f t="shared" si="12"/>
        <v>109729.5788451051</v>
      </c>
      <c r="N43" s="189">
        <f t="shared" si="2"/>
        <v>109729.57884510509</v>
      </c>
      <c r="O43" s="188">
        <f t="shared" si="13"/>
        <v>0</v>
      </c>
      <c r="P43" s="189">
        <f t="shared" si="14"/>
        <v>109729.57884510509</v>
      </c>
      <c r="Q43" s="189">
        <f t="shared" si="3"/>
        <v>109729.5788451051</v>
      </c>
      <c r="R43" s="188">
        <f t="shared" si="15"/>
        <v>0</v>
      </c>
      <c r="S43" s="189">
        <f t="shared" si="16"/>
        <v>109729.5788451051</v>
      </c>
      <c r="T43" s="189">
        <f t="shared" si="4"/>
        <v>109729.57884510509</v>
      </c>
      <c r="U43" s="180">
        <f t="shared" si="17"/>
        <v>109729.57884510509</v>
      </c>
      <c r="V43" s="129">
        <f t="shared" si="5"/>
        <v>1.3575749439808599E-2</v>
      </c>
    </row>
    <row r="44" spans="2:22" x14ac:dyDescent="0.25">
      <c r="B44" s="156">
        <f t="shared" si="6"/>
        <v>24</v>
      </c>
      <c r="C44" s="127" t="str">
        <f>סיכום!C44</f>
        <v>דפי אלטבב</v>
      </c>
      <c r="D44" s="181">
        <f>'סיכום לועדה- הזנת נתונים'!N44</f>
        <v>295000</v>
      </c>
      <c r="E44" s="181">
        <f>סיכום!I44</f>
        <v>109025.45395516032</v>
      </c>
      <c r="F44" s="140">
        <f t="shared" si="7"/>
        <v>0</v>
      </c>
      <c r="G44" s="181">
        <f t="shared" si="8"/>
        <v>109025.45395516032</v>
      </c>
      <c r="H44" s="181">
        <f t="shared" si="0"/>
        <v>109025.45395516038</v>
      </c>
      <c r="I44" s="188">
        <f t="shared" si="9"/>
        <v>0</v>
      </c>
      <c r="J44" s="189">
        <f t="shared" si="10"/>
        <v>109025.45395516038</v>
      </c>
      <c r="K44" s="189">
        <f t="shared" si="1"/>
        <v>109025.45395516041</v>
      </c>
      <c r="L44" s="188">
        <f t="shared" si="11"/>
        <v>0</v>
      </c>
      <c r="M44" s="189">
        <f t="shared" si="12"/>
        <v>109025.45395516041</v>
      </c>
      <c r="N44" s="189">
        <f t="shared" si="2"/>
        <v>109025.4539551604</v>
      </c>
      <c r="O44" s="188">
        <f t="shared" si="13"/>
        <v>0</v>
      </c>
      <c r="P44" s="189">
        <f t="shared" si="14"/>
        <v>109025.4539551604</v>
      </c>
      <c r="Q44" s="189">
        <f t="shared" si="3"/>
        <v>109025.45395516042</v>
      </c>
      <c r="R44" s="188">
        <f t="shared" si="15"/>
        <v>0</v>
      </c>
      <c r="S44" s="189">
        <f t="shared" si="16"/>
        <v>109025.45395516042</v>
      </c>
      <c r="T44" s="189">
        <f t="shared" si="4"/>
        <v>109025.45395516041</v>
      </c>
      <c r="U44" s="180">
        <f t="shared" si="17"/>
        <v>109025.45395516041</v>
      </c>
      <c r="V44" s="129">
        <f t="shared" si="5"/>
        <v>1.3488635070275519E-2</v>
      </c>
    </row>
    <row r="45" spans="2:22" x14ac:dyDescent="0.25">
      <c r="B45" s="156">
        <f t="shared" si="6"/>
        <v>25</v>
      </c>
      <c r="C45" s="127" t="str">
        <f>סיכום!C45</f>
        <v>הלל קוגן</v>
      </c>
      <c r="D45" s="181">
        <f>'סיכום לועדה- הזנת נתונים'!N45</f>
        <v>295000</v>
      </c>
      <c r="E45" s="181">
        <f>סיכום!I45</f>
        <v>112702.35206019646</v>
      </c>
      <c r="F45" s="140">
        <f t="shared" si="7"/>
        <v>0</v>
      </c>
      <c r="G45" s="181">
        <f t="shared" si="8"/>
        <v>112702.35206019646</v>
      </c>
      <c r="H45" s="181">
        <f t="shared" si="0"/>
        <v>112702.3520601965</v>
      </c>
      <c r="I45" s="188">
        <f t="shared" si="9"/>
        <v>0</v>
      </c>
      <c r="J45" s="189">
        <f t="shared" si="10"/>
        <v>112702.3520601965</v>
      </c>
      <c r="K45" s="189">
        <f t="shared" si="1"/>
        <v>112702.35206019653</v>
      </c>
      <c r="L45" s="188">
        <f t="shared" si="11"/>
        <v>0</v>
      </c>
      <c r="M45" s="189">
        <f t="shared" si="12"/>
        <v>112702.35206019653</v>
      </c>
      <c r="N45" s="189">
        <f t="shared" si="2"/>
        <v>112702.3520601965</v>
      </c>
      <c r="O45" s="188">
        <f t="shared" si="13"/>
        <v>0</v>
      </c>
      <c r="P45" s="189">
        <f t="shared" si="14"/>
        <v>112702.3520601965</v>
      </c>
      <c r="Q45" s="189">
        <f t="shared" si="3"/>
        <v>112702.35206019653</v>
      </c>
      <c r="R45" s="188">
        <f t="shared" si="15"/>
        <v>0</v>
      </c>
      <c r="S45" s="189">
        <f t="shared" si="16"/>
        <v>112702.35206019653</v>
      </c>
      <c r="T45" s="189">
        <f t="shared" si="4"/>
        <v>112702.3520601965</v>
      </c>
      <c r="U45" s="180">
        <f t="shared" si="17"/>
        <v>112702.3520601965</v>
      </c>
      <c r="V45" s="129">
        <f t="shared" si="5"/>
        <v>1.3943541103043034E-2</v>
      </c>
    </row>
    <row r="46" spans="2:22" x14ac:dyDescent="0.25">
      <c r="B46" s="156">
        <f t="shared" si="6"/>
        <v>26</v>
      </c>
      <c r="C46" s="127" t="str">
        <f>סיכום!C46</f>
        <v>אנאבל דביר</v>
      </c>
      <c r="D46" s="181">
        <f>'סיכום לועדה- הזנת נתונים'!N46</f>
        <v>295000</v>
      </c>
      <c r="E46" s="181">
        <f>סיכום!I46</f>
        <v>116980.91648142897</v>
      </c>
      <c r="F46" s="140">
        <f t="shared" si="7"/>
        <v>0</v>
      </c>
      <c r="G46" s="181">
        <f t="shared" si="8"/>
        <v>116980.91648142897</v>
      </c>
      <c r="H46" s="181">
        <f t="shared" si="0"/>
        <v>116980.91648142903</v>
      </c>
      <c r="I46" s="188">
        <f t="shared" si="9"/>
        <v>0</v>
      </c>
      <c r="J46" s="189">
        <f t="shared" si="10"/>
        <v>116980.91648142903</v>
      </c>
      <c r="K46" s="189">
        <f t="shared" si="1"/>
        <v>116980.91648142906</v>
      </c>
      <c r="L46" s="188">
        <f t="shared" si="11"/>
        <v>0</v>
      </c>
      <c r="M46" s="189">
        <f t="shared" si="12"/>
        <v>116980.91648142906</v>
      </c>
      <c r="N46" s="189">
        <f t="shared" si="2"/>
        <v>116980.91648142903</v>
      </c>
      <c r="O46" s="188">
        <f t="shared" si="13"/>
        <v>0</v>
      </c>
      <c r="P46" s="189">
        <f t="shared" si="14"/>
        <v>116980.91648142903</v>
      </c>
      <c r="Q46" s="189">
        <f t="shared" si="3"/>
        <v>116980.91648142906</v>
      </c>
      <c r="R46" s="188">
        <f t="shared" si="15"/>
        <v>0</v>
      </c>
      <c r="S46" s="189">
        <f t="shared" si="16"/>
        <v>116980.91648142906</v>
      </c>
      <c r="T46" s="189">
        <f t="shared" si="4"/>
        <v>116980.91648142903</v>
      </c>
      <c r="U46" s="180">
        <f t="shared" si="17"/>
        <v>116980.91648142903</v>
      </c>
      <c r="V46" s="129">
        <f t="shared" si="5"/>
        <v>1.4472885325048344E-2</v>
      </c>
    </row>
    <row r="47" spans="2:22" x14ac:dyDescent="0.25">
      <c r="B47" s="156">
        <f t="shared" si="6"/>
        <v>27</v>
      </c>
      <c r="C47" s="127" t="str">
        <f>סיכום!C47</f>
        <v>יוסי ברג ועודד גרף</v>
      </c>
      <c r="D47" s="181">
        <f>'סיכום לועדה- הזנת נתונים'!N47</f>
        <v>400000</v>
      </c>
      <c r="E47" s="181">
        <f>סיכום!I47</f>
        <v>173067.58694812737</v>
      </c>
      <c r="F47" s="140">
        <f t="shared" si="7"/>
        <v>0</v>
      </c>
      <c r="G47" s="181">
        <f t="shared" si="8"/>
        <v>173067.58694812737</v>
      </c>
      <c r="H47" s="181">
        <f t="shared" si="0"/>
        <v>173067.58694812746</v>
      </c>
      <c r="I47" s="188">
        <f t="shared" si="9"/>
        <v>0</v>
      </c>
      <c r="J47" s="189">
        <f t="shared" si="10"/>
        <v>173067.58694812746</v>
      </c>
      <c r="K47" s="189">
        <f t="shared" si="1"/>
        <v>173067.58694812749</v>
      </c>
      <c r="L47" s="188">
        <f t="shared" si="11"/>
        <v>0</v>
      </c>
      <c r="M47" s="189">
        <f t="shared" si="12"/>
        <v>173067.58694812749</v>
      </c>
      <c r="N47" s="189">
        <f t="shared" si="2"/>
        <v>173067.58694812746</v>
      </c>
      <c r="O47" s="188">
        <f t="shared" si="13"/>
        <v>0</v>
      </c>
      <c r="P47" s="189">
        <f t="shared" si="14"/>
        <v>173067.58694812746</v>
      </c>
      <c r="Q47" s="189">
        <f t="shared" si="3"/>
        <v>173067.58694812749</v>
      </c>
      <c r="R47" s="188">
        <f t="shared" si="15"/>
        <v>0</v>
      </c>
      <c r="S47" s="189">
        <f t="shared" si="16"/>
        <v>173067.58694812749</v>
      </c>
      <c r="T47" s="189">
        <f t="shared" si="4"/>
        <v>173067.58694812746</v>
      </c>
      <c r="U47" s="180">
        <f t="shared" si="17"/>
        <v>173067.58694812746</v>
      </c>
      <c r="V47" s="129">
        <f t="shared" si="5"/>
        <v>2.1411931233935259E-2</v>
      </c>
    </row>
    <row r="48" spans="2:22" x14ac:dyDescent="0.25">
      <c r="B48" s="156">
        <f t="shared" si="6"/>
        <v>28</v>
      </c>
      <c r="C48" s="127" t="str">
        <f>סיכום!C48</f>
        <v>נדין בומר</v>
      </c>
      <c r="D48" s="181">
        <f>'סיכום לועדה- הזנת נתונים'!N48</f>
        <v>295000</v>
      </c>
      <c r="E48" s="181">
        <f>סיכום!I48</f>
        <v>103990.76163574659</v>
      </c>
      <c r="F48" s="140">
        <f t="shared" si="7"/>
        <v>0</v>
      </c>
      <c r="G48" s="181">
        <f t="shared" si="8"/>
        <v>103990.76163574659</v>
      </c>
      <c r="H48" s="181">
        <f t="shared" si="0"/>
        <v>103990.76163574665</v>
      </c>
      <c r="I48" s="188">
        <f t="shared" si="9"/>
        <v>0</v>
      </c>
      <c r="J48" s="189">
        <f t="shared" si="10"/>
        <v>103990.76163574665</v>
      </c>
      <c r="K48" s="189">
        <f t="shared" si="1"/>
        <v>103990.76163574668</v>
      </c>
      <c r="L48" s="188">
        <f t="shared" si="11"/>
        <v>0</v>
      </c>
      <c r="M48" s="189">
        <f t="shared" si="12"/>
        <v>103990.76163574668</v>
      </c>
      <c r="N48" s="189">
        <f t="shared" si="2"/>
        <v>103990.76163574666</v>
      </c>
      <c r="O48" s="188">
        <f t="shared" si="13"/>
        <v>0</v>
      </c>
      <c r="P48" s="189">
        <f t="shared" si="14"/>
        <v>103990.76163574666</v>
      </c>
      <c r="Q48" s="189">
        <f t="shared" si="3"/>
        <v>103990.76163574669</v>
      </c>
      <c r="R48" s="188">
        <f t="shared" si="15"/>
        <v>0</v>
      </c>
      <c r="S48" s="189">
        <f t="shared" si="16"/>
        <v>103990.76163574669</v>
      </c>
      <c r="T48" s="189">
        <f t="shared" si="4"/>
        <v>103990.76163574668</v>
      </c>
      <c r="U48" s="180">
        <f t="shared" si="17"/>
        <v>103990.76163574668</v>
      </c>
      <c r="V48" s="129">
        <f t="shared" si="5"/>
        <v>1.2865742663740609E-2</v>
      </c>
    </row>
    <row r="49" spans="2:22" x14ac:dyDescent="0.25">
      <c r="B49" s="156">
        <f t="shared" si="6"/>
        <v>29</v>
      </c>
      <c r="C49" s="127" t="str">
        <f>סיכום!C49</f>
        <v xml:space="preserve">להקת בלט פאנוב </v>
      </c>
      <c r="D49" s="181">
        <f>'סיכום לועדה- הזנת נתונים'!N49</f>
        <v>800000</v>
      </c>
      <c r="E49" s="181">
        <f>סיכום!I49</f>
        <v>298202.27934444265</v>
      </c>
      <c r="F49" s="140">
        <f>IF(C49="","",IF(E49&gt;$D49,1,0))</f>
        <v>0</v>
      </c>
      <c r="G49" s="181">
        <f>IF($C49="","",IF(ISNUMBER(E49),MIN(D49:E49),E49))</f>
        <v>298202.27934444265</v>
      </c>
      <c r="H49" s="181">
        <f t="shared" si="0"/>
        <v>298202.27934444277</v>
      </c>
      <c r="I49" s="188">
        <f>IF(OR(H49&gt;$D49,$F49=1),1,0)</f>
        <v>0</v>
      </c>
      <c r="J49" s="189">
        <f>IF($C49="","",MIN(H49,$D49))</f>
        <v>298202.27934444277</v>
      </c>
      <c r="K49" s="189">
        <f t="shared" si="1"/>
        <v>298202.27934444282</v>
      </c>
      <c r="L49" s="188">
        <f>IF(OR(K49&gt;$D49,$F49=1,$I49=1),1,0)</f>
        <v>0</v>
      </c>
      <c r="M49" s="189">
        <f>IF($C49="","",MIN(K49,$D49))</f>
        <v>298202.27934444282</v>
      </c>
      <c r="N49" s="189">
        <f t="shared" si="2"/>
        <v>298202.27934444277</v>
      </c>
      <c r="O49" s="188">
        <f>IF(OR(N49&gt;$D49,$F49=1,$I49=1,$L49=1),1,0)</f>
        <v>0</v>
      </c>
      <c r="P49" s="189">
        <f>IF($C49="","",MIN(N49,$D49))</f>
        <v>298202.27934444277</v>
      </c>
      <c r="Q49" s="189">
        <f t="shared" si="3"/>
        <v>298202.27934444282</v>
      </c>
      <c r="R49" s="188">
        <f>IF(OR(Q49&gt;$D49,$F49=1,$I49=1,$L49=1,$O49=1),1,0)</f>
        <v>0</v>
      </c>
      <c r="S49" s="189">
        <f>IF($C49="","",MIN(Q49,$D49))</f>
        <v>298202.27934444282</v>
      </c>
      <c r="T49" s="189">
        <f t="shared" si="4"/>
        <v>298202.27934444277</v>
      </c>
      <c r="U49" s="180">
        <f t="shared" si="17"/>
        <v>298202.27934444277</v>
      </c>
      <c r="V49" s="129">
        <f t="shared" si="5"/>
        <v>3.6893602156940722E-2</v>
      </c>
    </row>
    <row r="50" spans="2:22" x14ac:dyDescent="0.25">
      <c r="B50" s="156" t="str">
        <f t="shared" si="6"/>
        <v/>
      </c>
      <c r="C50" s="127" t="str">
        <f>סיכום!C50</f>
        <v/>
      </c>
      <c r="D50" s="181" t="str">
        <f>'סיכום לועדה- הזנת נתונים'!N50</f>
        <v/>
      </c>
      <c r="E50" s="181" t="str">
        <f>סיכום!I50</f>
        <v/>
      </c>
      <c r="F50" s="140" t="str">
        <f t="shared" si="7"/>
        <v/>
      </c>
      <c r="G50" s="181" t="str">
        <f t="shared" si="8"/>
        <v/>
      </c>
      <c r="H50" s="181" t="str">
        <f t="shared" si="0"/>
        <v/>
      </c>
      <c r="I50" s="188">
        <f t="shared" si="9"/>
        <v>0</v>
      </c>
      <c r="J50" s="189" t="str">
        <f t="shared" si="10"/>
        <v/>
      </c>
      <c r="K50" s="189" t="str">
        <f t="shared" si="1"/>
        <v/>
      </c>
      <c r="L50" s="188">
        <f t="shared" si="11"/>
        <v>0</v>
      </c>
      <c r="M50" s="189" t="str">
        <f t="shared" si="12"/>
        <v/>
      </c>
      <c r="N50" s="189" t="str">
        <f t="shared" si="2"/>
        <v/>
      </c>
      <c r="O50" s="188">
        <f t="shared" si="13"/>
        <v>0</v>
      </c>
      <c r="P50" s="189" t="str">
        <f t="shared" si="14"/>
        <v/>
      </c>
      <c r="Q50" s="189" t="str">
        <f t="shared" si="3"/>
        <v/>
      </c>
      <c r="R50" s="188">
        <f t="shared" si="15"/>
        <v>0</v>
      </c>
      <c r="S50" s="189" t="str">
        <f t="shared" si="16"/>
        <v/>
      </c>
      <c r="T50" s="189" t="str">
        <f t="shared" si="4"/>
        <v/>
      </c>
      <c r="U50" s="180" t="str">
        <f t="shared" si="17"/>
        <v/>
      </c>
      <c r="V50" s="129" t="str">
        <f t="shared" si="5"/>
        <v/>
      </c>
    </row>
    <row r="51" spans="2:22" x14ac:dyDescent="0.25">
      <c r="B51" s="156" t="str">
        <f t="shared" si="6"/>
        <v/>
      </c>
      <c r="C51" s="127" t="str">
        <f>סיכום!C51</f>
        <v/>
      </c>
      <c r="D51" s="181" t="str">
        <f>'סיכום לועדה- הזנת נתונים'!N51</f>
        <v/>
      </c>
      <c r="E51" s="181" t="str">
        <f>סיכום!I51</f>
        <v/>
      </c>
      <c r="F51" s="140" t="str">
        <f t="shared" si="7"/>
        <v/>
      </c>
      <c r="G51" s="181" t="str">
        <f t="shared" si="8"/>
        <v/>
      </c>
      <c r="H51" s="181" t="str">
        <f t="shared" si="0"/>
        <v/>
      </c>
      <c r="I51" s="188">
        <f t="shared" si="9"/>
        <v>0</v>
      </c>
      <c r="J51" s="189" t="str">
        <f t="shared" si="10"/>
        <v/>
      </c>
      <c r="K51" s="189" t="str">
        <f t="shared" si="1"/>
        <v/>
      </c>
      <c r="L51" s="188">
        <f t="shared" si="11"/>
        <v>0</v>
      </c>
      <c r="M51" s="189" t="str">
        <f t="shared" si="12"/>
        <v/>
      </c>
      <c r="N51" s="189" t="str">
        <f t="shared" si="2"/>
        <v/>
      </c>
      <c r="O51" s="188">
        <f t="shared" si="13"/>
        <v>0</v>
      </c>
      <c r="P51" s="189" t="str">
        <f t="shared" si="14"/>
        <v/>
      </c>
      <c r="Q51" s="189" t="str">
        <f t="shared" si="3"/>
        <v/>
      </c>
      <c r="R51" s="188">
        <f t="shared" si="15"/>
        <v>0</v>
      </c>
      <c r="S51" s="189" t="str">
        <f t="shared" si="16"/>
        <v/>
      </c>
      <c r="T51" s="189" t="str">
        <f t="shared" si="4"/>
        <v/>
      </c>
      <c r="U51" s="180" t="str">
        <f t="shared" si="17"/>
        <v/>
      </c>
      <c r="V51" s="129" t="str">
        <f t="shared" si="5"/>
        <v/>
      </c>
    </row>
    <row r="52" spans="2:22" x14ac:dyDescent="0.25">
      <c r="B52" s="156">
        <f t="shared" si="6"/>
        <v>32</v>
      </c>
      <c r="C52" s="127" t="str">
        <f>סיכום!C52</f>
        <v>מיכל סממה</v>
      </c>
      <c r="D52" s="181">
        <f>'סיכום לועדה- הזנת נתונים'!N52</f>
        <v>295000</v>
      </c>
      <c r="E52" s="181">
        <f>סיכום!I52</f>
        <v>57262.444126778493</v>
      </c>
      <c r="F52" s="140">
        <f t="shared" si="7"/>
        <v>0</v>
      </c>
      <c r="G52" s="181">
        <f t="shared" si="8"/>
        <v>57262.444126778493</v>
      </c>
      <c r="H52" s="181">
        <f t="shared" si="0"/>
        <v>57262.444126778522</v>
      </c>
      <c r="I52" s="188">
        <f t="shared" si="9"/>
        <v>0</v>
      </c>
      <c r="J52" s="189">
        <f t="shared" si="10"/>
        <v>57262.444126778522</v>
      </c>
      <c r="K52" s="189">
        <f t="shared" si="1"/>
        <v>57262.444126778537</v>
      </c>
      <c r="L52" s="188">
        <f t="shared" si="11"/>
        <v>0</v>
      </c>
      <c r="M52" s="189">
        <f t="shared" si="12"/>
        <v>57262.444126778537</v>
      </c>
      <c r="N52" s="189">
        <f t="shared" si="2"/>
        <v>57262.444126778522</v>
      </c>
      <c r="O52" s="188">
        <f t="shared" si="13"/>
        <v>0</v>
      </c>
      <c r="P52" s="189">
        <f t="shared" si="14"/>
        <v>57262.444126778522</v>
      </c>
      <c r="Q52" s="189">
        <f t="shared" si="3"/>
        <v>57262.444126778537</v>
      </c>
      <c r="R52" s="188">
        <f t="shared" si="15"/>
        <v>0</v>
      </c>
      <c r="S52" s="189">
        <f t="shared" si="16"/>
        <v>57262.444126778537</v>
      </c>
      <c r="T52" s="189">
        <f t="shared" si="4"/>
        <v>57262.444126778522</v>
      </c>
      <c r="U52" s="180">
        <f t="shared" si="17"/>
        <v>57262.444126778522</v>
      </c>
      <c r="V52" s="129">
        <f t="shared" si="5"/>
        <v>7.0845126898148375E-3</v>
      </c>
    </row>
    <row r="53" spans="2:22" x14ac:dyDescent="0.25">
      <c r="B53" s="156">
        <f t="shared" si="6"/>
        <v>33</v>
      </c>
      <c r="C53" s="127" t="str">
        <f>סיכום!C53</f>
        <v>מאיה ברינר</v>
      </c>
      <c r="D53" s="181">
        <f>'סיכום לועדה- הזנת נתונים'!N53</f>
        <v>295000</v>
      </c>
      <c r="E53" s="181">
        <f>סיכום!I53</f>
        <v>244337.0856493889</v>
      </c>
      <c r="F53" s="140">
        <f t="shared" si="7"/>
        <v>0</v>
      </c>
      <c r="G53" s="181">
        <f t="shared" si="8"/>
        <v>244337.0856493889</v>
      </c>
      <c r="H53" s="181">
        <f t="shared" ref="H53:H84" si="18">IF($C53="","",IF(F53=1,G53,G53/SUMIF(F$21:F$132,0,G$21:G$132)*($C$2-SUMIF(F$21:F$132,1,G$21:G$132))))</f>
        <v>244337.08564938902</v>
      </c>
      <c r="I53" s="188">
        <f t="shared" si="9"/>
        <v>0</v>
      </c>
      <c r="J53" s="189">
        <f t="shared" si="10"/>
        <v>244337.08564938902</v>
      </c>
      <c r="K53" s="189">
        <f t="shared" ref="K53:K84" si="19">IF($C53="","",IF(I53=1,J53,J53/SUMIF(I$21:I$132,0,J$21:J$132)*($C$2-SUMIF(I$21:I$132,1,J$21:J$132))))</f>
        <v>244337.08564938908</v>
      </c>
      <c r="L53" s="188">
        <f t="shared" si="11"/>
        <v>0</v>
      </c>
      <c r="M53" s="189">
        <f t="shared" si="12"/>
        <v>244337.08564938908</v>
      </c>
      <c r="N53" s="189">
        <f t="shared" ref="N53:N84" si="20">IF($C53="","",IF(L53=1,M53,M53/SUMIF(L$21:L$132,0,M$21:M$132)*($C$2-SUMIF(L$21:L$132,1,M$21:M$132))))</f>
        <v>244337.08564938902</v>
      </c>
      <c r="O53" s="188">
        <f t="shared" si="13"/>
        <v>0</v>
      </c>
      <c r="P53" s="189">
        <f t="shared" si="14"/>
        <v>244337.08564938902</v>
      </c>
      <c r="Q53" s="189">
        <f t="shared" ref="Q53:Q84" si="21">IF($C53="","",IF(O53=2,P53,IF(O53=1,P53,P53/SUMIF(O$21:O$132,0,P$21:P$132)*($C$2-SUMIF(O$21:O$132,1,P$21:P$132)-SUMIF(O$21:O$132,2,P$21:P$132)))))</f>
        <v>244337.08564938908</v>
      </c>
      <c r="R53" s="188">
        <f t="shared" si="15"/>
        <v>0</v>
      </c>
      <c r="S53" s="189">
        <f t="shared" si="16"/>
        <v>244337.08564938908</v>
      </c>
      <c r="T53" s="189">
        <f t="shared" ref="T53:T84" si="22">IF($C53="","",IF(R53=2,S53,IF(R53=1,S53,S53/SUMIF(R$21:R$132,0,S$21:S$132)*($C$2-SUMIF(R$21:R$132,1,S$21:S$132)-SUMIF(R$21:R$132,2,S$21:S$132)))))</f>
        <v>244337.08564938902</v>
      </c>
      <c r="U53" s="180">
        <f t="shared" si="17"/>
        <v>244337.08564938902</v>
      </c>
      <c r="V53" s="129">
        <f t="shared" ref="V53:V84" si="23">IF(C53="","",IFERROR(U53/SUMIF($U$21:$U$132,"&lt;&gt;#DIV/0!"),0))</f>
        <v>3.0229397474600159E-2</v>
      </c>
    </row>
    <row r="54" spans="2:22" x14ac:dyDescent="0.25">
      <c r="B54" s="156">
        <f t="shared" si="6"/>
        <v>34</v>
      </c>
      <c r="C54" s="127" t="str">
        <f>סיכום!C54</f>
        <v>מאיה מכלל גלפנד</v>
      </c>
      <c r="D54" s="181">
        <f>'סיכום לועדה- הזנת נתונים'!N54</f>
        <v>295000</v>
      </c>
      <c r="E54" s="181">
        <f>סיכום!I54</f>
        <v>47793.416642515142</v>
      </c>
      <c r="F54" s="140">
        <f t="shared" si="7"/>
        <v>0</v>
      </c>
      <c r="G54" s="181">
        <f t="shared" si="8"/>
        <v>47793.416642515142</v>
      </c>
      <c r="H54" s="181">
        <f t="shared" si="18"/>
        <v>47793.416642515163</v>
      </c>
      <c r="I54" s="188">
        <f t="shared" si="9"/>
        <v>0</v>
      </c>
      <c r="J54" s="189">
        <f t="shared" si="10"/>
        <v>47793.416642515163</v>
      </c>
      <c r="K54" s="189">
        <f t="shared" si="19"/>
        <v>47793.416642515171</v>
      </c>
      <c r="L54" s="188">
        <f t="shared" si="11"/>
        <v>0</v>
      </c>
      <c r="M54" s="189">
        <f t="shared" si="12"/>
        <v>47793.416642515171</v>
      </c>
      <c r="N54" s="189">
        <f t="shared" si="20"/>
        <v>47793.416642515156</v>
      </c>
      <c r="O54" s="188">
        <f t="shared" si="13"/>
        <v>0</v>
      </c>
      <c r="P54" s="189">
        <f t="shared" si="14"/>
        <v>47793.416642515156</v>
      </c>
      <c r="Q54" s="189">
        <f t="shared" si="21"/>
        <v>47793.416642515163</v>
      </c>
      <c r="R54" s="188">
        <f t="shared" si="15"/>
        <v>0</v>
      </c>
      <c r="S54" s="189">
        <f t="shared" si="16"/>
        <v>47793.416642515163</v>
      </c>
      <c r="T54" s="189">
        <f t="shared" si="22"/>
        <v>47793.416642515156</v>
      </c>
      <c r="U54" s="180">
        <f t="shared" si="17"/>
        <v>47793.416642515156</v>
      </c>
      <c r="V54" s="129">
        <f t="shared" si="23"/>
        <v>5.9130040964347303E-3</v>
      </c>
    </row>
    <row r="55" spans="2:22" x14ac:dyDescent="0.25">
      <c r="B55" s="156">
        <f t="shared" si="6"/>
        <v>35</v>
      </c>
      <c r="C55" s="127" t="str">
        <f>סיכום!C55</f>
        <v>מיה שטרן ותומר שרעבי</v>
      </c>
      <c r="D55" s="181">
        <f>'סיכום לועדה- הזנת נתונים'!N55</f>
        <v>295000</v>
      </c>
      <c r="E55" s="181">
        <f>סיכום!I55</f>
        <v>57779.608282467838</v>
      </c>
      <c r="F55" s="140">
        <f t="shared" si="7"/>
        <v>0</v>
      </c>
      <c r="G55" s="181">
        <f t="shared" si="8"/>
        <v>57779.608282467838</v>
      </c>
      <c r="H55" s="181">
        <f t="shared" si="18"/>
        <v>57779.60828246786</v>
      </c>
      <c r="I55" s="188">
        <f t="shared" si="9"/>
        <v>0</v>
      </c>
      <c r="J55" s="189">
        <f t="shared" si="10"/>
        <v>57779.60828246786</v>
      </c>
      <c r="K55" s="189">
        <f t="shared" si="19"/>
        <v>57779.608282467867</v>
      </c>
      <c r="L55" s="188">
        <f t="shared" si="11"/>
        <v>0</v>
      </c>
      <c r="M55" s="189">
        <f t="shared" si="12"/>
        <v>57779.608282467867</v>
      </c>
      <c r="N55" s="189">
        <f t="shared" si="20"/>
        <v>57779.608282467852</v>
      </c>
      <c r="O55" s="188">
        <f t="shared" si="13"/>
        <v>0</v>
      </c>
      <c r="P55" s="189">
        <f t="shared" si="14"/>
        <v>57779.608282467852</v>
      </c>
      <c r="Q55" s="189">
        <f t="shared" si="21"/>
        <v>57779.60828246786</v>
      </c>
      <c r="R55" s="188">
        <f t="shared" si="15"/>
        <v>0</v>
      </c>
      <c r="S55" s="189">
        <f t="shared" si="16"/>
        <v>57779.60828246786</v>
      </c>
      <c r="T55" s="189">
        <f t="shared" si="22"/>
        <v>57779.608282467852</v>
      </c>
      <c r="U55" s="180">
        <f t="shared" si="17"/>
        <v>57779.608282467852</v>
      </c>
      <c r="V55" s="129">
        <f t="shared" si="23"/>
        <v>7.1484962671764093E-3</v>
      </c>
    </row>
    <row r="56" spans="2:22" x14ac:dyDescent="0.25">
      <c r="B56" s="156">
        <f t="shared" si="6"/>
        <v>36</v>
      </c>
      <c r="C56" s="127" t="str">
        <f>סיכום!C56</f>
        <v>מיכאל גטמן</v>
      </c>
      <c r="D56" s="181">
        <f>'סיכום לועדה- הזנת נתונים'!N56</f>
        <v>295000</v>
      </c>
      <c r="E56" s="181">
        <f>סיכום!I56</f>
        <v>121187.52481657024</v>
      </c>
      <c r="F56" s="140">
        <f t="shared" si="7"/>
        <v>0</v>
      </c>
      <c r="G56" s="181">
        <f t="shared" si="8"/>
        <v>121187.52481657024</v>
      </c>
      <c r="H56" s="181">
        <f t="shared" si="18"/>
        <v>121187.52481657029</v>
      </c>
      <c r="I56" s="188">
        <f t="shared" si="9"/>
        <v>0</v>
      </c>
      <c r="J56" s="189">
        <f t="shared" si="10"/>
        <v>121187.52481657029</v>
      </c>
      <c r="K56" s="189">
        <f t="shared" si="19"/>
        <v>121187.52481657032</v>
      </c>
      <c r="L56" s="188">
        <f t="shared" si="11"/>
        <v>0</v>
      </c>
      <c r="M56" s="189">
        <f t="shared" si="12"/>
        <v>121187.52481657032</v>
      </c>
      <c r="N56" s="189">
        <f t="shared" si="20"/>
        <v>121187.52481657029</v>
      </c>
      <c r="O56" s="188">
        <f t="shared" si="13"/>
        <v>0</v>
      </c>
      <c r="P56" s="189">
        <f t="shared" si="14"/>
        <v>121187.52481657029</v>
      </c>
      <c r="Q56" s="189">
        <f t="shared" si="21"/>
        <v>121187.52481657032</v>
      </c>
      <c r="R56" s="188">
        <f t="shared" si="15"/>
        <v>0</v>
      </c>
      <c r="S56" s="189">
        <f t="shared" si="16"/>
        <v>121187.52481657032</v>
      </c>
      <c r="T56" s="189">
        <f t="shared" si="22"/>
        <v>121187.52481657029</v>
      </c>
      <c r="U56" s="180">
        <f t="shared" si="17"/>
        <v>121187.52481657029</v>
      </c>
      <c r="V56" s="129">
        <f t="shared" si="23"/>
        <v>1.49933271361839E-2</v>
      </c>
    </row>
    <row r="57" spans="2:22" x14ac:dyDescent="0.25">
      <c r="B57" s="156">
        <f t="shared" si="6"/>
        <v>37</v>
      </c>
      <c r="C57" s="127" t="str">
        <f>סיכום!C57</f>
        <v>מיכל הרמן</v>
      </c>
      <c r="D57" s="181">
        <f>'סיכום לועדה- הזנת נתונים'!N57</f>
        <v>295000</v>
      </c>
      <c r="E57" s="181">
        <f>סיכום!I57</f>
        <v>47100.992027626424</v>
      </c>
      <c r="F57" s="140">
        <f t="shared" si="7"/>
        <v>0</v>
      </c>
      <c r="G57" s="181">
        <f t="shared" si="8"/>
        <v>47100.992027626424</v>
      </c>
      <c r="H57" s="181">
        <f t="shared" si="18"/>
        <v>47100.992027626446</v>
      </c>
      <c r="I57" s="188">
        <f t="shared" si="9"/>
        <v>0</v>
      </c>
      <c r="J57" s="189">
        <f t="shared" si="10"/>
        <v>47100.992027626446</v>
      </c>
      <c r="K57" s="189">
        <f t="shared" si="19"/>
        <v>47100.992027626453</v>
      </c>
      <c r="L57" s="188">
        <f t="shared" si="11"/>
        <v>0</v>
      </c>
      <c r="M57" s="189">
        <f t="shared" si="12"/>
        <v>47100.992027626453</v>
      </c>
      <c r="N57" s="189">
        <f t="shared" si="20"/>
        <v>47100.992027626438</v>
      </c>
      <c r="O57" s="188">
        <f t="shared" si="13"/>
        <v>0</v>
      </c>
      <c r="P57" s="189">
        <f t="shared" si="14"/>
        <v>47100.992027626438</v>
      </c>
      <c r="Q57" s="189">
        <f t="shared" si="21"/>
        <v>47100.992027626446</v>
      </c>
      <c r="R57" s="188">
        <f t="shared" si="15"/>
        <v>0</v>
      </c>
      <c r="S57" s="189">
        <f t="shared" si="16"/>
        <v>47100.992027626446</v>
      </c>
      <c r="T57" s="189">
        <f t="shared" si="22"/>
        <v>47100.992027626431</v>
      </c>
      <c r="U57" s="180">
        <f t="shared" si="17"/>
        <v>47100.992027626431</v>
      </c>
      <c r="V57" s="129">
        <f t="shared" si="23"/>
        <v>5.8273372855654872E-3</v>
      </c>
    </row>
    <row r="58" spans="2:22" x14ac:dyDescent="0.25">
      <c r="B58" s="156">
        <f t="shared" si="6"/>
        <v>38</v>
      </c>
      <c r="C58" s="127" t="str">
        <f>סיכום!C58</f>
        <v>מירב דגן</v>
      </c>
      <c r="D58" s="181">
        <f>'סיכום לועדה- הזנת נתונים'!N58</f>
        <v>295000</v>
      </c>
      <c r="E58" s="181">
        <f>סיכום!I58</f>
        <v>76204.978424139175</v>
      </c>
      <c r="F58" s="140">
        <f t="shared" si="7"/>
        <v>0</v>
      </c>
      <c r="G58" s="181">
        <f t="shared" si="8"/>
        <v>76204.978424139175</v>
      </c>
      <c r="H58" s="181">
        <f t="shared" si="18"/>
        <v>76204.978424139204</v>
      </c>
      <c r="I58" s="188">
        <f t="shared" si="9"/>
        <v>0</v>
      </c>
      <c r="J58" s="189">
        <f t="shared" si="10"/>
        <v>76204.978424139204</v>
      </c>
      <c r="K58" s="189">
        <f t="shared" si="19"/>
        <v>76204.978424139219</v>
      </c>
      <c r="L58" s="188">
        <f t="shared" si="11"/>
        <v>0</v>
      </c>
      <c r="M58" s="189">
        <f t="shared" si="12"/>
        <v>76204.978424139219</v>
      </c>
      <c r="N58" s="189">
        <f t="shared" si="20"/>
        <v>76204.97842413919</v>
      </c>
      <c r="O58" s="188">
        <f t="shared" si="13"/>
        <v>0</v>
      </c>
      <c r="P58" s="189">
        <f t="shared" si="14"/>
        <v>76204.97842413919</v>
      </c>
      <c r="Q58" s="189">
        <f t="shared" si="21"/>
        <v>76204.978424139204</v>
      </c>
      <c r="R58" s="188">
        <f t="shared" si="15"/>
        <v>0</v>
      </c>
      <c r="S58" s="189">
        <f t="shared" si="16"/>
        <v>76204.978424139204</v>
      </c>
      <c r="T58" s="189">
        <f t="shared" si="22"/>
        <v>76204.97842413919</v>
      </c>
      <c r="U58" s="180">
        <f t="shared" si="17"/>
        <v>76204.97842413919</v>
      </c>
      <c r="V58" s="129">
        <f t="shared" si="23"/>
        <v>9.4280840593810745E-3</v>
      </c>
    </row>
    <row r="59" spans="2:22" x14ac:dyDescent="0.25">
      <c r="B59" s="156">
        <f t="shared" si="6"/>
        <v>39</v>
      </c>
      <c r="C59" s="127" t="str">
        <f>סיכום!C59</f>
        <v>תמר לם ודיוויד קרן</v>
      </c>
      <c r="D59" s="181">
        <f>'סיכום לועדה- הזנת נתונים'!N59</f>
        <v>295000</v>
      </c>
      <c r="E59" s="181">
        <f>סיכום!I59</f>
        <v>50172.318265900569</v>
      </c>
      <c r="F59" s="140">
        <f t="shared" si="7"/>
        <v>0</v>
      </c>
      <c r="G59" s="181">
        <f t="shared" si="8"/>
        <v>50172.318265900569</v>
      </c>
      <c r="H59" s="181">
        <f t="shared" si="18"/>
        <v>50172.318265900591</v>
      </c>
      <c r="I59" s="188">
        <f t="shared" si="9"/>
        <v>0</v>
      </c>
      <c r="J59" s="189">
        <f t="shared" si="10"/>
        <v>50172.318265900591</v>
      </c>
      <c r="K59" s="189">
        <f t="shared" si="19"/>
        <v>50172.318265900605</v>
      </c>
      <c r="L59" s="188">
        <f t="shared" si="11"/>
        <v>0</v>
      </c>
      <c r="M59" s="189">
        <f t="shared" si="12"/>
        <v>50172.318265900605</v>
      </c>
      <c r="N59" s="189">
        <f t="shared" si="20"/>
        <v>50172.318265900591</v>
      </c>
      <c r="O59" s="188">
        <f t="shared" si="13"/>
        <v>0</v>
      </c>
      <c r="P59" s="189">
        <f t="shared" si="14"/>
        <v>50172.318265900591</v>
      </c>
      <c r="Q59" s="189">
        <f t="shared" si="21"/>
        <v>50172.318265900605</v>
      </c>
      <c r="R59" s="188">
        <f t="shared" si="15"/>
        <v>0</v>
      </c>
      <c r="S59" s="189">
        <f t="shared" si="16"/>
        <v>50172.318265900605</v>
      </c>
      <c r="T59" s="189">
        <f t="shared" si="22"/>
        <v>50172.318265900591</v>
      </c>
      <c r="U59" s="180">
        <f t="shared" si="17"/>
        <v>50172.318265900591</v>
      </c>
      <c r="V59" s="129">
        <f t="shared" si="23"/>
        <v>6.2073219341676443E-3</v>
      </c>
    </row>
    <row r="60" spans="2:22" x14ac:dyDescent="0.25">
      <c r="B60" s="156">
        <f t="shared" si="6"/>
        <v>40</v>
      </c>
      <c r="C60" s="127" t="str">
        <f>סיכום!C60</f>
        <v>סיגל ברגמן</v>
      </c>
      <c r="D60" s="181">
        <f>'סיכום לועדה- הזנת נתונים'!N60</f>
        <v>295000</v>
      </c>
      <c r="E60" s="181">
        <f>סיכום!I60</f>
        <v>71654.836597695627</v>
      </c>
      <c r="F60" s="140">
        <f t="shared" si="7"/>
        <v>0</v>
      </c>
      <c r="G60" s="181">
        <f t="shared" si="8"/>
        <v>71654.836597695627</v>
      </c>
      <c r="H60" s="181">
        <f t="shared" si="18"/>
        <v>71654.836597695656</v>
      </c>
      <c r="I60" s="188">
        <f t="shared" si="9"/>
        <v>0</v>
      </c>
      <c r="J60" s="189">
        <f t="shared" si="10"/>
        <v>71654.836597695656</v>
      </c>
      <c r="K60" s="189">
        <f t="shared" si="19"/>
        <v>71654.83659769567</v>
      </c>
      <c r="L60" s="188">
        <f t="shared" si="11"/>
        <v>0</v>
      </c>
      <c r="M60" s="189">
        <f t="shared" si="12"/>
        <v>71654.83659769567</v>
      </c>
      <c r="N60" s="189">
        <f t="shared" si="20"/>
        <v>71654.836597695656</v>
      </c>
      <c r="O60" s="188">
        <f t="shared" si="13"/>
        <v>0</v>
      </c>
      <c r="P60" s="189">
        <f t="shared" si="14"/>
        <v>71654.836597695656</v>
      </c>
      <c r="Q60" s="189">
        <f t="shared" si="21"/>
        <v>71654.83659769567</v>
      </c>
      <c r="R60" s="188">
        <f t="shared" si="15"/>
        <v>0</v>
      </c>
      <c r="S60" s="189">
        <f t="shared" si="16"/>
        <v>71654.83659769567</v>
      </c>
      <c r="T60" s="189">
        <f t="shared" si="22"/>
        <v>71654.836597695656</v>
      </c>
      <c r="U60" s="180">
        <f t="shared" si="17"/>
        <v>71654.836597695656</v>
      </c>
      <c r="V60" s="129">
        <f t="shared" si="23"/>
        <v>8.8651402660891339E-3</v>
      </c>
    </row>
    <row r="61" spans="2:22" x14ac:dyDescent="0.25">
      <c r="B61" s="156">
        <f t="shared" si="6"/>
        <v>41</v>
      </c>
      <c r="C61" s="127" t="str">
        <f>סיכום!C61</f>
        <v>מעין ליבמן שרון</v>
      </c>
      <c r="D61" s="181">
        <f>'סיכום לועדה- הזנת נתונים'!N61</f>
        <v>295000</v>
      </c>
      <c r="E61" s="181">
        <f>סיכום!I61</f>
        <v>85780.744948069158</v>
      </c>
      <c r="F61" s="140">
        <f t="shared" si="7"/>
        <v>0</v>
      </c>
      <c r="G61" s="181">
        <f t="shared" si="8"/>
        <v>85780.744948069158</v>
      </c>
      <c r="H61" s="181">
        <f t="shared" si="18"/>
        <v>85780.744948069201</v>
      </c>
      <c r="I61" s="188">
        <f t="shared" si="9"/>
        <v>0</v>
      </c>
      <c r="J61" s="189">
        <f t="shared" si="10"/>
        <v>85780.744948069201</v>
      </c>
      <c r="K61" s="189">
        <f t="shared" si="19"/>
        <v>85780.74494806923</v>
      </c>
      <c r="L61" s="188">
        <f t="shared" si="11"/>
        <v>0</v>
      </c>
      <c r="M61" s="189">
        <f t="shared" si="12"/>
        <v>85780.74494806923</v>
      </c>
      <c r="N61" s="189">
        <f t="shared" si="20"/>
        <v>85780.744948069216</v>
      </c>
      <c r="O61" s="188">
        <f t="shared" si="13"/>
        <v>0</v>
      </c>
      <c r="P61" s="189">
        <f t="shared" si="14"/>
        <v>85780.744948069216</v>
      </c>
      <c r="Q61" s="189">
        <f t="shared" si="21"/>
        <v>85780.744948069245</v>
      </c>
      <c r="R61" s="188">
        <f t="shared" si="15"/>
        <v>0</v>
      </c>
      <c r="S61" s="189">
        <f t="shared" si="16"/>
        <v>85780.744948069245</v>
      </c>
      <c r="T61" s="189">
        <f t="shared" si="22"/>
        <v>85780.74494806923</v>
      </c>
      <c r="U61" s="180">
        <f t="shared" si="17"/>
        <v>85780.74494806923</v>
      </c>
      <c r="V61" s="129">
        <f t="shared" si="23"/>
        <v>1.0612798412531809E-2</v>
      </c>
    </row>
    <row r="62" spans="2:22" x14ac:dyDescent="0.25">
      <c r="B62" s="156">
        <f t="shared" si="6"/>
        <v>42</v>
      </c>
      <c r="C62" s="127" t="str">
        <f>סיכום!C62</f>
        <v>אודליה קופרברג</v>
      </c>
      <c r="D62" s="181">
        <f>'סיכום לועדה- הזנת נתונים'!N62</f>
        <v>295000</v>
      </c>
      <c r="E62" s="181">
        <f>סיכום!I62</f>
        <v>54901.5092275879</v>
      </c>
      <c r="F62" s="140">
        <f t="shared" si="7"/>
        <v>0</v>
      </c>
      <c r="G62" s="181">
        <f t="shared" si="8"/>
        <v>54901.5092275879</v>
      </c>
      <c r="H62" s="181">
        <f t="shared" si="18"/>
        <v>54901.509227587921</v>
      </c>
      <c r="I62" s="188">
        <f t="shared" si="9"/>
        <v>0</v>
      </c>
      <c r="J62" s="189">
        <f t="shared" si="10"/>
        <v>54901.509227587921</v>
      </c>
      <c r="K62" s="189">
        <f t="shared" si="19"/>
        <v>54901.509227587936</v>
      </c>
      <c r="L62" s="188">
        <f t="shared" si="11"/>
        <v>0</v>
      </c>
      <c r="M62" s="189">
        <f t="shared" si="12"/>
        <v>54901.509227587936</v>
      </c>
      <c r="N62" s="189">
        <f t="shared" si="20"/>
        <v>54901.509227587921</v>
      </c>
      <c r="O62" s="188">
        <f t="shared" si="13"/>
        <v>0</v>
      </c>
      <c r="P62" s="189">
        <f t="shared" si="14"/>
        <v>54901.509227587921</v>
      </c>
      <c r="Q62" s="189">
        <f t="shared" si="21"/>
        <v>54901.509227587936</v>
      </c>
      <c r="R62" s="188">
        <f t="shared" si="15"/>
        <v>0</v>
      </c>
      <c r="S62" s="189">
        <f t="shared" si="16"/>
        <v>54901.509227587936</v>
      </c>
      <c r="T62" s="189">
        <f t="shared" si="22"/>
        <v>54901.509227587921</v>
      </c>
      <c r="U62" s="180">
        <f t="shared" si="17"/>
        <v>54901.509227587921</v>
      </c>
      <c r="V62" s="129">
        <f t="shared" si="23"/>
        <v>6.7924176961727369E-3</v>
      </c>
    </row>
    <row r="63" spans="2:22" x14ac:dyDescent="0.25">
      <c r="B63" s="156">
        <f t="shared" si="6"/>
        <v>43</v>
      </c>
      <c r="C63" s="127" t="str">
        <f>סיכום!C63</f>
        <v>נועה צוק</v>
      </c>
      <c r="D63" s="181">
        <f>'סיכום לועדה- הזנת נתונים'!N63</f>
        <v>295000</v>
      </c>
      <c r="E63" s="181">
        <f>סיכום!I63</f>
        <v>87659.146440685188</v>
      </c>
      <c r="F63" s="140">
        <f t="shared" si="7"/>
        <v>0</v>
      </c>
      <c r="G63" s="181">
        <f t="shared" si="8"/>
        <v>87659.146440685188</v>
      </c>
      <c r="H63" s="181">
        <f t="shared" si="18"/>
        <v>87659.146440685217</v>
      </c>
      <c r="I63" s="188">
        <f t="shared" si="9"/>
        <v>0</v>
      </c>
      <c r="J63" s="189">
        <f t="shared" si="10"/>
        <v>87659.146440685217</v>
      </c>
      <c r="K63" s="189">
        <f t="shared" si="19"/>
        <v>87659.146440685232</v>
      </c>
      <c r="L63" s="188">
        <f t="shared" si="11"/>
        <v>0</v>
      </c>
      <c r="M63" s="189">
        <f t="shared" si="12"/>
        <v>87659.146440685232</v>
      </c>
      <c r="N63" s="189">
        <f t="shared" si="20"/>
        <v>87659.146440685217</v>
      </c>
      <c r="O63" s="188">
        <f t="shared" si="13"/>
        <v>0</v>
      </c>
      <c r="P63" s="189">
        <f t="shared" si="14"/>
        <v>87659.146440685217</v>
      </c>
      <c r="Q63" s="189">
        <f t="shared" si="21"/>
        <v>87659.146440685232</v>
      </c>
      <c r="R63" s="188">
        <f t="shared" si="15"/>
        <v>0</v>
      </c>
      <c r="S63" s="189">
        <f t="shared" si="16"/>
        <v>87659.146440685232</v>
      </c>
      <c r="T63" s="189">
        <f t="shared" si="22"/>
        <v>87659.146440685217</v>
      </c>
      <c r="U63" s="180">
        <f t="shared" si="17"/>
        <v>87659.146440685217</v>
      </c>
      <c r="V63" s="129">
        <f t="shared" si="23"/>
        <v>1.0845194346969086E-2</v>
      </c>
    </row>
    <row r="64" spans="2:22" x14ac:dyDescent="0.25">
      <c r="B64" s="156">
        <f t="shared" si="6"/>
        <v>44</v>
      </c>
      <c r="C64" s="127" t="str">
        <f>סיכום!C64</f>
        <v>נטע פולברמכר</v>
      </c>
      <c r="D64" s="181">
        <f>'סיכום לועדה- הזנת נתונים'!N64</f>
        <v>295000</v>
      </c>
      <c r="E64" s="181">
        <f>סיכום!I64</f>
        <v>87692.594136023705</v>
      </c>
      <c r="F64" s="140">
        <f t="shared" si="7"/>
        <v>0</v>
      </c>
      <c r="G64" s="181">
        <f t="shared" si="8"/>
        <v>87692.594136023705</v>
      </c>
      <c r="H64" s="181">
        <f t="shared" si="18"/>
        <v>87692.594136023748</v>
      </c>
      <c r="I64" s="188">
        <f t="shared" si="9"/>
        <v>0</v>
      </c>
      <c r="J64" s="189">
        <f t="shared" si="10"/>
        <v>87692.594136023748</v>
      </c>
      <c r="K64" s="189">
        <f t="shared" si="19"/>
        <v>87692.594136023778</v>
      </c>
      <c r="L64" s="188">
        <f t="shared" si="11"/>
        <v>0</v>
      </c>
      <c r="M64" s="189">
        <f t="shared" si="12"/>
        <v>87692.594136023778</v>
      </c>
      <c r="N64" s="189">
        <f t="shared" si="20"/>
        <v>87692.594136023763</v>
      </c>
      <c r="O64" s="188">
        <f t="shared" si="13"/>
        <v>0</v>
      </c>
      <c r="P64" s="189">
        <f t="shared" si="14"/>
        <v>87692.594136023763</v>
      </c>
      <c r="Q64" s="189">
        <f t="shared" si="21"/>
        <v>87692.594136023792</v>
      </c>
      <c r="R64" s="188">
        <f t="shared" si="15"/>
        <v>0</v>
      </c>
      <c r="S64" s="189">
        <f t="shared" si="16"/>
        <v>87692.594136023792</v>
      </c>
      <c r="T64" s="189">
        <f t="shared" si="22"/>
        <v>87692.594136023778</v>
      </c>
      <c r="U64" s="180">
        <f t="shared" si="17"/>
        <v>87692.594136023778</v>
      </c>
      <c r="V64" s="129">
        <f t="shared" si="23"/>
        <v>1.0849332497648552E-2</v>
      </c>
    </row>
    <row r="65" spans="2:22" x14ac:dyDescent="0.25">
      <c r="B65" s="156">
        <f t="shared" si="6"/>
        <v>45</v>
      </c>
      <c r="C65" s="127" t="str">
        <f>סיכום!C65</f>
        <v>ניב שינפלד ואורן לאור</v>
      </c>
      <c r="D65" s="181">
        <f>'סיכום לועדה- הזנת נתונים'!N65</f>
        <v>360000</v>
      </c>
      <c r="E65" s="181">
        <f>סיכום!I65</f>
        <v>230514.79311682339</v>
      </c>
      <c r="F65" s="140">
        <f t="shared" si="7"/>
        <v>0</v>
      </c>
      <c r="G65" s="181">
        <f t="shared" si="8"/>
        <v>230514.79311682339</v>
      </c>
      <c r="H65" s="181">
        <f t="shared" si="18"/>
        <v>230514.79311682348</v>
      </c>
      <c r="I65" s="188">
        <f t="shared" si="9"/>
        <v>0</v>
      </c>
      <c r="J65" s="189">
        <f t="shared" si="10"/>
        <v>230514.79311682348</v>
      </c>
      <c r="K65" s="189">
        <f t="shared" si="19"/>
        <v>230514.79311682351</v>
      </c>
      <c r="L65" s="188">
        <f t="shared" si="11"/>
        <v>0</v>
      </c>
      <c r="M65" s="189">
        <f t="shared" si="12"/>
        <v>230514.79311682351</v>
      </c>
      <c r="N65" s="189">
        <f t="shared" si="20"/>
        <v>230514.79311682348</v>
      </c>
      <c r="O65" s="188">
        <f t="shared" si="13"/>
        <v>0</v>
      </c>
      <c r="P65" s="189">
        <f t="shared" si="14"/>
        <v>230514.79311682348</v>
      </c>
      <c r="Q65" s="189">
        <f t="shared" si="21"/>
        <v>230514.79311682351</v>
      </c>
      <c r="R65" s="188">
        <f t="shared" si="15"/>
        <v>0</v>
      </c>
      <c r="S65" s="189">
        <f t="shared" si="16"/>
        <v>230514.79311682351</v>
      </c>
      <c r="T65" s="189">
        <f t="shared" si="22"/>
        <v>230514.79311682348</v>
      </c>
      <c r="U65" s="180">
        <f t="shared" si="17"/>
        <v>230514.79311682348</v>
      </c>
      <c r="V65" s="129">
        <f t="shared" si="23"/>
        <v>2.8519302693586442E-2</v>
      </c>
    </row>
    <row r="66" spans="2:22" x14ac:dyDescent="0.25">
      <c r="B66" s="156">
        <f t="shared" si="6"/>
        <v>46</v>
      </c>
      <c r="C66" s="127" t="str">
        <f>סיכום!C66</f>
        <v>נימה יעקובי</v>
      </c>
      <c r="D66" s="181">
        <f>'סיכום לועדה- הזנת נתונים'!N66</f>
        <v>295000</v>
      </c>
      <c r="E66" s="181">
        <f>סיכום!I66</f>
        <v>177627.2408311023</v>
      </c>
      <c r="F66" s="140">
        <f t="shared" si="7"/>
        <v>0</v>
      </c>
      <c r="G66" s="181">
        <f t="shared" si="8"/>
        <v>177627.2408311023</v>
      </c>
      <c r="H66" s="181">
        <f t="shared" si="18"/>
        <v>177627.24083110239</v>
      </c>
      <c r="I66" s="188">
        <f t="shared" si="9"/>
        <v>0</v>
      </c>
      <c r="J66" s="189">
        <f t="shared" si="10"/>
        <v>177627.24083110239</v>
      </c>
      <c r="K66" s="189">
        <f t="shared" si="19"/>
        <v>177627.24083110242</v>
      </c>
      <c r="L66" s="188">
        <f t="shared" si="11"/>
        <v>0</v>
      </c>
      <c r="M66" s="189">
        <f t="shared" si="12"/>
        <v>177627.24083110242</v>
      </c>
      <c r="N66" s="189">
        <f t="shared" si="20"/>
        <v>177627.24083110236</v>
      </c>
      <c r="O66" s="188">
        <f t="shared" si="13"/>
        <v>0</v>
      </c>
      <c r="P66" s="189">
        <f t="shared" si="14"/>
        <v>177627.24083110236</v>
      </c>
      <c r="Q66" s="189">
        <f t="shared" si="21"/>
        <v>177627.24083110239</v>
      </c>
      <c r="R66" s="188">
        <f t="shared" si="15"/>
        <v>0</v>
      </c>
      <c r="S66" s="189">
        <f t="shared" si="16"/>
        <v>177627.24083110239</v>
      </c>
      <c r="T66" s="189">
        <f t="shared" si="22"/>
        <v>177627.24083110233</v>
      </c>
      <c r="U66" s="180">
        <f t="shared" si="17"/>
        <v>177627.24083110233</v>
      </c>
      <c r="V66" s="129">
        <f t="shared" si="23"/>
        <v>2.1976051859376615E-2</v>
      </c>
    </row>
    <row r="67" spans="2:22" x14ac:dyDescent="0.25">
      <c r="B67" s="156">
        <f t="shared" si="6"/>
        <v>47</v>
      </c>
      <c r="C67" s="127" t="str">
        <f>סיכום!C67</f>
        <v>נמרוד פריד</v>
      </c>
      <c r="D67" s="181">
        <f>'סיכום לועדה- הזנת נתונים'!N67</f>
        <v>295000</v>
      </c>
      <c r="E67" s="181">
        <f>סיכום!I67</f>
        <v>57317.825615401816</v>
      </c>
      <c r="F67" s="140">
        <f t="shared" si="7"/>
        <v>0</v>
      </c>
      <c r="G67" s="181">
        <f t="shared" si="8"/>
        <v>57317.825615401816</v>
      </c>
      <c r="H67" s="181">
        <f t="shared" si="18"/>
        <v>57317.825615401838</v>
      </c>
      <c r="I67" s="188">
        <f t="shared" si="9"/>
        <v>0</v>
      </c>
      <c r="J67" s="189">
        <f t="shared" si="10"/>
        <v>57317.825615401838</v>
      </c>
      <c r="K67" s="189">
        <f t="shared" si="19"/>
        <v>57317.825615401845</v>
      </c>
      <c r="L67" s="188">
        <f t="shared" si="11"/>
        <v>0</v>
      </c>
      <c r="M67" s="189">
        <f t="shared" si="12"/>
        <v>57317.825615401845</v>
      </c>
      <c r="N67" s="189">
        <f t="shared" si="20"/>
        <v>57317.825615401831</v>
      </c>
      <c r="O67" s="188">
        <f t="shared" si="13"/>
        <v>0</v>
      </c>
      <c r="P67" s="189">
        <f t="shared" si="14"/>
        <v>57317.825615401831</v>
      </c>
      <c r="Q67" s="189">
        <f t="shared" si="21"/>
        <v>57317.825615401838</v>
      </c>
      <c r="R67" s="188">
        <f t="shared" si="15"/>
        <v>0</v>
      </c>
      <c r="S67" s="189">
        <f t="shared" si="16"/>
        <v>57317.825615401838</v>
      </c>
      <c r="T67" s="189">
        <f t="shared" si="22"/>
        <v>57317.825615401824</v>
      </c>
      <c r="U67" s="180">
        <f t="shared" si="17"/>
        <v>57317.825615401824</v>
      </c>
      <c r="V67" s="129">
        <f t="shared" si="23"/>
        <v>7.0913644905878526E-3</v>
      </c>
    </row>
    <row r="68" spans="2:22" x14ac:dyDescent="0.25">
      <c r="B68" s="156">
        <f t="shared" si="6"/>
        <v>48</v>
      </c>
      <c r="C68" s="127" t="str">
        <f>סיכום!C68</f>
        <v>נעה דר</v>
      </c>
      <c r="D68" s="181">
        <f>'סיכום לועדה- הזנת נתונים'!N68</f>
        <v>295000</v>
      </c>
      <c r="E68" s="181">
        <f>סיכום!I68</f>
        <v>108324.59493064166</v>
      </c>
      <c r="F68" s="140">
        <f t="shared" si="7"/>
        <v>0</v>
      </c>
      <c r="G68" s="181">
        <f t="shared" si="8"/>
        <v>108324.59493064166</v>
      </c>
      <c r="H68" s="181">
        <f t="shared" si="18"/>
        <v>108324.5949306417</v>
      </c>
      <c r="I68" s="188">
        <f t="shared" si="9"/>
        <v>0</v>
      </c>
      <c r="J68" s="189">
        <f t="shared" si="10"/>
        <v>108324.5949306417</v>
      </c>
      <c r="K68" s="189">
        <f t="shared" si="19"/>
        <v>108324.59493064172</v>
      </c>
      <c r="L68" s="188">
        <f t="shared" si="11"/>
        <v>0</v>
      </c>
      <c r="M68" s="189">
        <f t="shared" si="12"/>
        <v>108324.59493064172</v>
      </c>
      <c r="N68" s="189">
        <f t="shared" si="20"/>
        <v>108324.59493064169</v>
      </c>
      <c r="O68" s="188">
        <f t="shared" si="13"/>
        <v>0</v>
      </c>
      <c r="P68" s="189">
        <f t="shared" si="14"/>
        <v>108324.59493064169</v>
      </c>
      <c r="Q68" s="189">
        <f t="shared" si="21"/>
        <v>108324.5949306417</v>
      </c>
      <c r="R68" s="188">
        <f t="shared" si="15"/>
        <v>0</v>
      </c>
      <c r="S68" s="189">
        <f t="shared" si="16"/>
        <v>108324.5949306417</v>
      </c>
      <c r="T68" s="189">
        <f t="shared" si="22"/>
        <v>108324.59493064167</v>
      </c>
      <c r="U68" s="180">
        <f t="shared" si="17"/>
        <v>108324.59493064167</v>
      </c>
      <c r="V68" s="129">
        <f t="shared" si="23"/>
        <v>1.3401924753789879E-2</v>
      </c>
    </row>
    <row r="69" spans="2:22" x14ac:dyDescent="0.25">
      <c r="B69" s="156">
        <f t="shared" si="6"/>
        <v>49</v>
      </c>
      <c r="C69" s="127" t="str">
        <f>סיכום!C69</f>
        <v>נעה שדור</v>
      </c>
      <c r="D69" s="181">
        <f>'סיכום לועדה- הזנת נתונים'!N69</f>
        <v>295000</v>
      </c>
      <c r="E69" s="181">
        <f>סיכום!I69</f>
        <v>45664.255160527435</v>
      </c>
      <c r="F69" s="140">
        <f t="shared" si="7"/>
        <v>0</v>
      </c>
      <c r="G69" s="181">
        <f t="shared" si="8"/>
        <v>45664.255160527435</v>
      </c>
      <c r="H69" s="181">
        <f t="shared" si="18"/>
        <v>45664.255160527457</v>
      </c>
      <c r="I69" s="188">
        <f t="shared" si="9"/>
        <v>0</v>
      </c>
      <c r="J69" s="189">
        <f t="shared" si="10"/>
        <v>45664.255160527457</v>
      </c>
      <c r="K69" s="189">
        <f t="shared" si="19"/>
        <v>45664.255160527464</v>
      </c>
      <c r="L69" s="188">
        <f t="shared" si="11"/>
        <v>0</v>
      </c>
      <c r="M69" s="189">
        <f t="shared" si="12"/>
        <v>45664.255160527464</v>
      </c>
      <c r="N69" s="189">
        <f t="shared" si="20"/>
        <v>45664.255160527457</v>
      </c>
      <c r="O69" s="188">
        <f t="shared" si="13"/>
        <v>0</v>
      </c>
      <c r="P69" s="189">
        <f t="shared" si="14"/>
        <v>45664.255160527457</v>
      </c>
      <c r="Q69" s="189">
        <f t="shared" si="21"/>
        <v>45664.255160527464</v>
      </c>
      <c r="R69" s="188">
        <f t="shared" si="15"/>
        <v>0</v>
      </c>
      <c r="S69" s="189">
        <f t="shared" si="16"/>
        <v>45664.255160527464</v>
      </c>
      <c r="T69" s="189">
        <f t="shared" si="22"/>
        <v>45664.255160527457</v>
      </c>
      <c r="U69" s="180">
        <f t="shared" si="17"/>
        <v>45664.255160527457</v>
      </c>
      <c r="V69" s="129">
        <f t="shared" si="23"/>
        <v>5.6495841225263372E-3</v>
      </c>
    </row>
    <row r="70" spans="2:22" x14ac:dyDescent="0.25">
      <c r="B70" s="156">
        <f t="shared" si="6"/>
        <v>50</v>
      </c>
      <c r="C70" s="127" t="str">
        <f>סיכום!C70</f>
        <v>סאלי אן פרילנד</v>
      </c>
      <c r="D70" s="181">
        <f>'סיכום לועדה- הזנת נתונים'!N70</f>
        <v>295000</v>
      </c>
      <c r="E70" s="181">
        <f>סיכום!I70</f>
        <v>57408.280918846664</v>
      </c>
      <c r="F70" s="140">
        <f t="shared" si="7"/>
        <v>0</v>
      </c>
      <c r="G70" s="181">
        <f t="shared" si="8"/>
        <v>57408.280918846664</v>
      </c>
      <c r="H70" s="181">
        <f t="shared" si="18"/>
        <v>57408.280918846685</v>
      </c>
      <c r="I70" s="188">
        <f t="shared" si="9"/>
        <v>0</v>
      </c>
      <c r="J70" s="189">
        <f t="shared" si="10"/>
        <v>57408.280918846685</v>
      </c>
      <c r="K70" s="189">
        <f t="shared" si="19"/>
        <v>57408.2809188467</v>
      </c>
      <c r="L70" s="188">
        <f t="shared" si="11"/>
        <v>0</v>
      </c>
      <c r="M70" s="189">
        <f t="shared" si="12"/>
        <v>57408.2809188467</v>
      </c>
      <c r="N70" s="189">
        <f t="shared" si="20"/>
        <v>57408.280918846685</v>
      </c>
      <c r="O70" s="188">
        <f t="shared" si="13"/>
        <v>0</v>
      </c>
      <c r="P70" s="189">
        <f t="shared" si="14"/>
        <v>57408.280918846685</v>
      </c>
      <c r="Q70" s="189">
        <f t="shared" si="21"/>
        <v>57408.2809188467</v>
      </c>
      <c r="R70" s="188">
        <f t="shared" si="15"/>
        <v>0</v>
      </c>
      <c r="S70" s="189">
        <f t="shared" si="16"/>
        <v>57408.2809188467</v>
      </c>
      <c r="T70" s="189">
        <f t="shared" si="22"/>
        <v>57408.280918846685</v>
      </c>
      <c r="U70" s="180">
        <f t="shared" si="17"/>
        <v>57408.280918846685</v>
      </c>
      <c r="V70" s="129">
        <f t="shared" si="23"/>
        <v>7.1025556256308735E-3</v>
      </c>
    </row>
    <row r="71" spans="2:22" x14ac:dyDescent="0.25">
      <c r="B71" s="156">
        <f t="shared" si="6"/>
        <v>51</v>
      </c>
      <c r="C71" s="127" t="str">
        <f>סיכום!C71</f>
        <v>סהר עזימי</v>
      </c>
      <c r="D71" s="181">
        <f>'סיכום לועדה- הזנת נתונים'!N71</f>
        <v>295000</v>
      </c>
      <c r="E71" s="181">
        <f>סיכום!I71</f>
        <v>72648.154513605929</v>
      </c>
      <c r="F71" s="140">
        <f t="shared" si="7"/>
        <v>0</v>
      </c>
      <c r="G71" s="181">
        <f t="shared" si="8"/>
        <v>72648.154513605929</v>
      </c>
      <c r="H71" s="181">
        <f t="shared" si="18"/>
        <v>72648.154513605958</v>
      </c>
      <c r="I71" s="188">
        <f t="shared" si="9"/>
        <v>0</v>
      </c>
      <c r="J71" s="189">
        <f t="shared" si="10"/>
        <v>72648.154513605958</v>
      </c>
      <c r="K71" s="189">
        <f t="shared" si="19"/>
        <v>72648.154513605972</v>
      </c>
      <c r="L71" s="188">
        <f t="shared" si="11"/>
        <v>0</v>
      </c>
      <c r="M71" s="189">
        <f t="shared" si="12"/>
        <v>72648.154513605972</v>
      </c>
      <c r="N71" s="189">
        <f t="shared" si="20"/>
        <v>72648.154513605958</v>
      </c>
      <c r="O71" s="188">
        <f t="shared" si="13"/>
        <v>0</v>
      </c>
      <c r="P71" s="189">
        <f t="shared" si="14"/>
        <v>72648.154513605958</v>
      </c>
      <c r="Q71" s="189">
        <f t="shared" si="21"/>
        <v>72648.154513605972</v>
      </c>
      <c r="R71" s="188">
        <f t="shared" si="15"/>
        <v>0</v>
      </c>
      <c r="S71" s="189">
        <f t="shared" si="16"/>
        <v>72648.154513605972</v>
      </c>
      <c r="T71" s="189">
        <f t="shared" si="22"/>
        <v>72648.154513605958</v>
      </c>
      <c r="U71" s="180">
        <f t="shared" si="17"/>
        <v>72648.154513605958</v>
      </c>
      <c r="V71" s="129">
        <f t="shared" si="23"/>
        <v>8.9880336124630103E-3</v>
      </c>
    </row>
    <row r="72" spans="2:22" x14ac:dyDescent="0.25">
      <c r="B72" s="156">
        <f t="shared" si="6"/>
        <v>52</v>
      </c>
      <c r="C72" s="127" t="str">
        <f>סיכום!C72</f>
        <v>עדו פדר</v>
      </c>
      <c r="D72" s="181">
        <f>'סיכום לועדה- הזנת נתונים'!N72</f>
        <v>295000</v>
      </c>
      <c r="E72" s="181">
        <f>סיכום!I72</f>
        <v>58935.97888793653</v>
      </c>
      <c r="F72" s="140">
        <f t="shared" si="7"/>
        <v>0</v>
      </c>
      <c r="G72" s="181">
        <f t="shared" si="8"/>
        <v>58935.97888793653</v>
      </c>
      <c r="H72" s="181">
        <f t="shared" si="18"/>
        <v>58935.978887936559</v>
      </c>
      <c r="I72" s="188">
        <f t="shared" si="9"/>
        <v>0</v>
      </c>
      <c r="J72" s="189">
        <f t="shared" si="10"/>
        <v>58935.978887936559</v>
      </c>
      <c r="K72" s="189">
        <f t="shared" si="19"/>
        <v>58935.978887936573</v>
      </c>
      <c r="L72" s="188">
        <f t="shared" si="11"/>
        <v>0</v>
      </c>
      <c r="M72" s="189">
        <f t="shared" si="12"/>
        <v>58935.978887936573</v>
      </c>
      <c r="N72" s="189">
        <f t="shared" si="20"/>
        <v>58935.978887936559</v>
      </c>
      <c r="O72" s="188">
        <f t="shared" si="13"/>
        <v>0</v>
      </c>
      <c r="P72" s="189">
        <f t="shared" si="14"/>
        <v>58935.978887936559</v>
      </c>
      <c r="Q72" s="189">
        <f t="shared" si="21"/>
        <v>58935.978887936573</v>
      </c>
      <c r="R72" s="188">
        <f t="shared" si="15"/>
        <v>0</v>
      </c>
      <c r="S72" s="189">
        <f t="shared" si="16"/>
        <v>58935.978887936573</v>
      </c>
      <c r="T72" s="189">
        <f t="shared" si="22"/>
        <v>58935.978887936559</v>
      </c>
      <c r="U72" s="180">
        <f t="shared" si="17"/>
        <v>58935.978887936559</v>
      </c>
      <c r="V72" s="129">
        <f t="shared" si="23"/>
        <v>7.2915625011365634E-3</v>
      </c>
    </row>
    <row r="73" spans="2:22" x14ac:dyDescent="0.25">
      <c r="B73" s="156">
        <f t="shared" si="6"/>
        <v>53</v>
      </c>
      <c r="C73" s="127" t="str">
        <f>סיכום!C73</f>
        <v>עודד רונן</v>
      </c>
      <c r="D73" s="181">
        <f>'סיכום לועדה- הזנת נתונים'!N73</f>
        <v>295000</v>
      </c>
      <c r="E73" s="181">
        <f>סיכום!I73</f>
        <v>56094.934202090619</v>
      </c>
      <c r="F73" s="140">
        <f t="shared" si="7"/>
        <v>0</v>
      </c>
      <c r="G73" s="181">
        <f t="shared" si="8"/>
        <v>56094.934202090619</v>
      </c>
      <c r="H73" s="181">
        <f t="shared" si="18"/>
        <v>56094.934202090641</v>
      </c>
      <c r="I73" s="188">
        <f t="shared" si="9"/>
        <v>0</v>
      </c>
      <c r="J73" s="189">
        <f t="shared" si="10"/>
        <v>56094.934202090641</v>
      </c>
      <c r="K73" s="189">
        <f t="shared" si="19"/>
        <v>56094.934202090648</v>
      </c>
      <c r="L73" s="188">
        <f t="shared" si="11"/>
        <v>0</v>
      </c>
      <c r="M73" s="189">
        <f t="shared" si="12"/>
        <v>56094.934202090648</v>
      </c>
      <c r="N73" s="189">
        <f t="shared" si="20"/>
        <v>56094.934202090641</v>
      </c>
      <c r="O73" s="188">
        <f t="shared" si="13"/>
        <v>0</v>
      </c>
      <c r="P73" s="189">
        <f t="shared" si="14"/>
        <v>56094.934202090641</v>
      </c>
      <c r="Q73" s="189">
        <f t="shared" si="21"/>
        <v>56094.934202090648</v>
      </c>
      <c r="R73" s="188">
        <f t="shared" si="15"/>
        <v>0</v>
      </c>
      <c r="S73" s="189">
        <f t="shared" si="16"/>
        <v>56094.934202090648</v>
      </c>
      <c r="T73" s="189">
        <f t="shared" si="22"/>
        <v>56094.934202090641</v>
      </c>
      <c r="U73" s="180">
        <f t="shared" si="17"/>
        <v>56094.934202090641</v>
      </c>
      <c r="V73" s="129">
        <f t="shared" si="23"/>
        <v>6.9400682986773647E-3</v>
      </c>
    </row>
    <row r="74" spans="2:22" x14ac:dyDescent="0.25">
      <c r="B74" s="156">
        <f t="shared" si="6"/>
        <v>54</v>
      </c>
      <c r="C74" s="127" t="str">
        <f>סיכום!C74</f>
        <v>עידן כהן</v>
      </c>
      <c r="D74" s="181">
        <f>'סיכום לועדה- הזנת נתונים'!N74</f>
        <v>295000</v>
      </c>
      <c r="E74" s="181">
        <f>סיכום!I74</f>
        <v>43588.702306967229</v>
      </c>
      <c r="F74" s="140">
        <f t="shared" si="7"/>
        <v>0</v>
      </c>
      <c r="G74" s="181">
        <f t="shared" si="8"/>
        <v>43588.702306967229</v>
      </c>
      <c r="H74" s="181">
        <f t="shared" si="18"/>
        <v>43588.70230696725</v>
      </c>
      <c r="I74" s="188">
        <f t="shared" si="9"/>
        <v>0</v>
      </c>
      <c r="J74" s="189">
        <f t="shared" si="10"/>
        <v>43588.70230696725</v>
      </c>
      <c r="K74" s="189">
        <f t="shared" si="19"/>
        <v>43588.702306967265</v>
      </c>
      <c r="L74" s="188">
        <f t="shared" si="11"/>
        <v>0</v>
      </c>
      <c r="M74" s="189">
        <f t="shared" si="12"/>
        <v>43588.702306967265</v>
      </c>
      <c r="N74" s="189">
        <f t="shared" si="20"/>
        <v>43588.702306967258</v>
      </c>
      <c r="O74" s="188">
        <f t="shared" si="13"/>
        <v>0</v>
      </c>
      <c r="P74" s="189">
        <f t="shared" si="14"/>
        <v>43588.702306967258</v>
      </c>
      <c r="Q74" s="189">
        <f t="shared" si="21"/>
        <v>43588.702306967272</v>
      </c>
      <c r="R74" s="188">
        <f t="shared" si="15"/>
        <v>0</v>
      </c>
      <c r="S74" s="189">
        <f t="shared" si="16"/>
        <v>43588.702306967272</v>
      </c>
      <c r="T74" s="189">
        <f t="shared" si="22"/>
        <v>43588.702306967265</v>
      </c>
      <c r="U74" s="180">
        <f t="shared" si="17"/>
        <v>43588.702306967265</v>
      </c>
      <c r="V74" s="129">
        <f t="shared" si="23"/>
        <v>5.3927966110314833E-3</v>
      </c>
    </row>
    <row r="75" spans="2:22" x14ac:dyDescent="0.25">
      <c r="B75" s="156">
        <f t="shared" si="6"/>
        <v>55</v>
      </c>
      <c r="C75" s="127" t="str">
        <f>סיכום!C75</f>
        <v>עידן שרעבי</v>
      </c>
      <c r="D75" s="181">
        <f>'סיכום לועדה- הזנת נתונים'!N75</f>
        <v>295000</v>
      </c>
      <c r="E75" s="181">
        <f>סיכום!I75</f>
        <v>60524.126155340615</v>
      </c>
      <c r="F75" s="140">
        <f t="shared" si="7"/>
        <v>0</v>
      </c>
      <c r="G75" s="181">
        <f t="shared" si="8"/>
        <v>60524.126155340615</v>
      </c>
      <c r="H75" s="181">
        <f t="shared" si="18"/>
        <v>60524.126155340644</v>
      </c>
      <c r="I75" s="188">
        <f t="shared" si="9"/>
        <v>0</v>
      </c>
      <c r="J75" s="189">
        <f t="shared" si="10"/>
        <v>60524.126155340644</v>
      </c>
      <c r="K75" s="189">
        <f t="shared" si="19"/>
        <v>60524.126155340658</v>
      </c>
      <c r="L75" s="188">
        <f t="shared" si="11"/>
        <v>0</v>
      </c>
      <c r="M75" s="189">
        <f t="shared" si="12"/>
        <v>60524.126155340658</v>
      </c>
      <c r="N75" s="189">
        <f t="shared" si="20"/>
        <v>60524.126155340644</v>
      </c>
      <c r="O75" s="188">
        <f t="shared" si="13"/>
        <v>0</v>
      </c>
      <c r="P75" s="189">
        <f t="shared" si="14"/>
        <v>60524.126155340644</v>
      </c>
      <c r="Q75" s="189">
        <f t="shared" si="21"/>
        <v>60524.126155340658</v>
      </c>
      <c r="R75" s="188">
        <f t="shared" si="15"/>
        <v>0</v>
      </c>
      <c r="S75" s="189">
        <f t="shared" si="16"/>
        <v>60524.126155340658</v>
      </c>
      <c r="T75" s="189">
        <f t="shared" si="22"/>
        <v>60524.126155340644</v>
      </c>
      <c r="U75" s="180">
        <f t="shared" si="17"/>
        <v>60524.126155340644</v>
      </c>
      <c r="V75" s="129">
        <f t="shared" si="23"/>
        <v>7.4880481671047994E-3</v>
      </c>
    </row>
    <row r="76" spans="2:22" x14ac:dyDescent="0.25">
      <c r="B76" s="156">
        <f t="shared" si="6"/>
        <v>56</v>
      </c>
      <c r="C76" s="127" t="str">
        <f>סיכום!C76</f>
        <v>ענת גריגוריו</v>
      </c>
      <c r="D76" s="181">
        <f>'סיכום לועדה- הזנת נתונים'!N76</f>
        <v>295000</v>
      </c>
      <c r="E76" s="181">
        <f>סיכום!I76</f>
        <v>64058.295208008574</v>
      </c>
      <c r="F76" s="140">
        <f t="shared" si="7"/>
        <v>0</v>
      </c>
      <c r="G76" s="181">
        <f t="shared" si="8"/>
        <v>64058.295208008574</v>
      </c>
      <c r="H76" s="181">
        <f t="shared" si="18"/>
        <v>64058.295208008603</v>
      </c>
      <c r="I76" s="188">
        <f t="shared" si="9"/>
        <v>0</v>
      </c>
      <c r="J76" s="189">
        <f t="shared" si="10"/>
        <v>64058.295208008603</v>
      </c>
      <c r="K76" s="189">
        <f t="shared" si="19"/>
        <v>64058.295208008618</v>
      </c>
      <c r="L76" s="188">
        <f t="shared" si="11"/>
        <v>0</v>
      </c>
      <c r="M76" s="189">
        <f t="shared" si="12"/>
        <v>64058.295208008618</v>
      </c>
      <c r="N76" s="189">
        <f t="shared" si="20"/>
        <v>64058.295208008603</v>
      </c>
      <c r="O76" s="188">
        <f t="shared" si="13"/>
        <v>0</v>
      </c>
      <c r="P76" s="189">
        <f t="shared" si="14"/>
        <v>64058.295208008603</v>
      </c>
      <c r="Q76" s="189">
        <f t="shared" si="21"/>
        <v>64058.295208008618</v>
      </c>
      <c r="R76" s="188">
        <f t="shared" si="15"/>
        <v>0</v>
      </c>
      <c r="S76" s="189">
        <f t="shared" si="16"/>
        <v>64058.295208008618</v>
      </c>
      <c r="T76" s="189">
        <f t="shared" si="22"/>
        <v>64058.295208008603</v>
      </c>
      <c r="U76" s="180">
        <f t="shared" si="17"/>
        <v>64058.295208008603</v>
      </c>
      <c r="V76" s="129">
        <f t="shared" si="23"/>
        <v>7.9252957537803426E-3</v>
      </c>
    </row>
    <row r="77" spans="2:22" x14ac:dyDescent="0.25">
      <c r="B77" s="156">
        <f t="shared" si="6"/>
        <v>57</v>
      </c>
      <c r="C77" s="127" t="str">
        <f>סיכום!C77</f>
        <v>ענת דניאלי</v>
      </c>
      <c r="D77" s="181">
        <f>'סיכום לועדה- הזנת נתונים'!N77</f>
        <v>295000</v>
      </c>
      <c r="E77" s="181">
        <f>סיכום!I77</f>
        <v>86750.937940007483</v>
      </c>
      <c r="F77" s="140">
        <f t="shared" si="7"/>
        <v>0</v>
      </c>
      <c r="G77" s="181">
        <f t="shared" si="8"/>
        <v>86750.937940007483</v>
      </c>
      <c r="H77" s="181">
        <f t="shared" si="18"/>
        <v>86750.937940007512</v>
      </c>
      <c r="I77" s="188">
        <f t="shared" si="9"/>
        <v>0</v>
      </c>
      <c r="J77" s="189">
        <f t="shared" si="10"/>
        <v>86750.937940007512</v>
      </c>
      <c r="K77" s="189">
        <f t="shared" si="19"/>
        <v>86750.937940007527</v>
      </c>
      <c r="L77" s="188">
        <f t="shared" si="11"/>
        <v>0</v>
      </c>
      <c r="M77" s="189">
        <f t="shared" si="12"/>
        <v>86750.937940007527</v>
      </c>
      <c r="N77" s="189">
        <f t="shared" si="20"/>
        <v>86750.937940007498</v>
      </c>
      <c r="O77" s="188">
        <f t="shared" si="13"/>
        <v>0</v>
      </c>
      <c r="P77" s="189">
        <f t="shared" si="14"/>
        <v>86750.937940007498</v>
      </c>
      <c r="Q77" s="189">
        <f t="shared" si="21"/>
        <v>86750.937940007512</v>
      </c>
      <c r="R77" s="188">
        <f t="shared" si="15"/>
        <v>0</v>
      </c>
      <c r="S77" s="189">
        <f t="shared" si="16"/>
        <v>86750.937940007512</v>
      </c>
      <c r="T77" s="189">
        <f t="shared" si="22"/>
        <v>86750.937940007483</v>
      </c>
      <c r="U77" s="180">
        <f t="shared" si="17"/>
        <v>86750.937940007483</v>
      </c>
      <c r="V77" s="129">
        <f t="shared" si="23"/>
        <v>1.0732830742058967E-2</v>
      </c>
    </row>
    <row r="78" spans="2:22" x14ac:dyDescent="0.25">
      <c r="B78" s="156">
        <f t="shared" si="6"/>
        <v>58</v>
      </c>
      <c r="C78" s="127" t="str">
        <f>סיכום!C78</f>
        <v>ענת כץ וארז מעיין</v>
      </c>
      <c r="D78" s="181">
        <f>'סיכום לועדה- הזנת נתונים'!N78</f>
        <v>295000</v>
      </c>
      <c r="E78" s="181">
        <f>סיכום!I78</f>
        <v>56878.75395064539</v>
      </c>
      <c r="F78" s="140">
        <f t="shared" si="7"/>
        <v>0</v>
      </c>
      <c r="G78" s="181">
        <f t="shared" si="8"/>
        <v>56878.75395064539</v>
      </c>
      <c r="H78" s="181">
        <f t="shared" si="18"/>
        <v>56878.75395064542</v>
      </c>
      <c r="I78" s="188">
        <f t="shared" si="9"/>
        <v>0</v>
      </c>
      <c r="J78" s="189">
        <f t="shared" si="10"/>
        <v>56878.75395064542</v>
      </c>
      <c r="K78" s="189">
        <f t="shared" si="19"/>
        <v>56878.753950645434</v>
      </c>
      <c r="L78" s="188">
        <f t="shared" si="11"/>
        <v>0</v>
      </c>
      <c r="M78" s="189">
        <f t="shared" si="12"/>
        <v>56878.753950645434</v>
      </c>
      <c r="N78" s="189">
        <f t="shared" si="20"/>
        <v>56878.75395064542</v>
      </c>
      <c r="O78" s="188">
        <f t="shared" si="13"/>
        <v>0</v>
      </c>
      <c r="P78" s="189">
        <f t="shared" si="14"/>
        <v>56878.75395064542</v>
      </c>
      <c r="Q78" s="189">
        <f t="shared" si="21"/>
        <v>56878.753950645434</v>
      </c>
      <c r="R78" s="188">
        <f t="shared" si="15"/>
        <v>0</v>
      </c>
      <c r="S78" s="189">
        <f t="shared" si="16"/>
        <v>56878.753950645434</v>
      </c>
      <c r="T78" s="189">
        <f t="shared" si="22"/>
        <v>56878.75395064542</v>
      </c>
      <c r="U78" s="180">
        <f t="shared" si="17"/>
        <v>56878.75395064542</v>
      </c>
      <c r="V78" s="129">
        <f t="shared" si="23"/>
        <v>7.0370425204355136E-3</v>
      </c>
    </row>
    <row r="79" spans="2:22" x14ac:dyDescent="0.25">
      <c r="B79" s="156">
        <f t="shared" si="6"/>
        <v>59</v>
      </c>
      <c r="C79" s="127" t="str">
        <f>סיכום!C79</f>
        <v>ענת שמגר</v>
      </c>
      <c r="D79" s="181">
        <f>'סיכום לועדה- הזנת נתונים'!N79</f>
        <v>295000</v>
      </c>
      <c r="E79" s="181">
        <f>סיכום!I79</f>
        <v>72709.721233874865</v>
      </c>
      <c r="F79" s="140">
        <f t="shared" si="7"/>
        <v>0</v>
      </c>
      <c r="G79" s="181">
        <f t="shared" si="8"/>
        <v>72709.721233874865</v>
      </c>
      <c r="H79" s="181">
        <f t="shared" si="18"/>
        <v>72709.721233874894</v>
      </c>
      <c r="I79" s="188">
        <f t="shared" si="9"/>
        <v>0</v>
      </c>
      <c r="J79" s="189">
        <f t="shared" si="10"/>
        <v>72709.721233874894</v>
      </c>
      <c r="K79" s="189">
        <f t="shared" si="19"/>
        <v>72709.721233874909</v>
      </c>
      <c r="L79" s="188">
        <f t="shared" si="11"/>
        <v>0</v>
      </c>
      <c r="M79" s="189">
        <f t="shared" si="12"/>
        <v>72709.721233874909</v>
      </c>
      <c r="N79" s="189">
        <f t="shared" si="20"/>
        <v>72709.72123387488</v>
      </c>
      <c r="O79" s="188">
        <f t="shared" si="13"/>
        <v>0</v>
      </c>
      <c r="P79" s="189">
        <f t="shared" si="14"/>
        <v>72709.72123387488</v>
      </c>
      <c r="Q79" s="189">
        <f t="shared" si="21"/>
        <v>72709.721233874894</v>
      </c>
      <c r="R79" s="188">
        <f t="shared" si="15"/>
        <v>0</v>
      </c>
      <c r="S79" s="189">
        <f t="shared" si="16"/>
        <v>72709.721233874894</v>
      </c>
      <c r="T79" s="189">
        <f t="shared" si="22"/>
        <v>72709.721233874865</v>
      </c>
      <c r="U79" s="180">
        <f t="shared" si="17"/>
        <v>72709.721233874865</v>
      </c>
      <c r="V79" s="129">
        <f t="shared" si="23"/>
        <v>8.9956506504303337E-3</v>
      </c>
    </row>
    <row r="80" spans="2:22" x14ac:dyDescent="0.25">
      <c r="B80" s="156">
        <f t="shared" si="6"/>
        <v>60</v>
      </c>
      <c r="C80" s="127" t="str">
        <f>סיכום!C80</f>
        <v>ק.ט.מ.ו.ן קבוצת מחול בירושלים</v>
      </c>
      <c r="D80" s="181">
        <f>'סיכום לועדה- הזנת נתונים'!N80</f>
        <v>300000</v>
      </c>
      <c r="E80" s="181">
        <f>סיכום!I80</f>
        <v>114631.70594346903</v>
      </c>
      <c r="F80" s="140">
        <f t="shared" si="7"/>
        <v>0</v>
      </c>
      <c r="G80" s="181">
        <f t="shared" si="8"/>
        <v>114631.70594346903</v>
      </c>
      <c r="H80" s="181">
        <f t="shared" si="18"/>
        <v>114631.70594346907</v>
      </c>
      <c r="I80" s="188">
        <f t="shared" si="9"/>
        <v>0</v>
      </c>
      <c r="J80" s="189">
        <f t="shared" si="10"/>
        <v>114631.70594346907</v>
      </c>
      <c r="K80" s="189">
        <f t="shared" si="19"/>
        <v>114631.7059434691</v>
      </c>
      <c r="L80" s="188">
        <f t="shared" si="11"/>
        <v>0</v>
      </c>
      <c r="M80" s="189">
        <f t="shared" si="12"/>
        <v>114631.7059434691</v>
      </c>
      <c r="N80" s="189">
        <f t="shared" si="20"/>
        <v>114631.70594346907</v>
      </c>
      <c r="O80" s="188">
        <f t="shared" si="13"/>
        <v>0</v>
      </c>
      <c r="P80" s="189">
        <f t="shared" si="14"/>
        <v>114631.70594346907</v>
      </c>
      <c r="Q80" s="189">
        <f t="shared" si="21"/>
        <v>114631.7059434691</v>
      </c>
      <c r="R80" s="188">
        <f t="shared" si="15"/>
        <v>0</v>
      </c>
      <c r="S80" s="189">
        <f t="shared" si="16"/>
        <v>114631.7059434691</v>
      </c>
      <c r="T80" s="189">
        <f t="shared" si="22"/>
        <v>114631.70594346907</v>
      </c>
      <c r="U80" s="180">
        <f t="shared" si="17"/>
        <v>114631.70594346907</v>
      </c>
      <c r="V80" s="129">
        <f t="shared" si="23"/>
        <v>1.418224087001292E-2</v>
      </c>
    </row>
    <row r="81" spans="2:22" x14ac:dyDescent="0.25">
      <c r="B81" s="156">
        <f t="shared" si="6"/>
        <v>61</v>
      </c>
      <c r="C81" s="127" t="str">
        <f>סיכום!C81</f>
        <v>רונית זיו</v>
      </c>
      <c r="D81" s="181">
        <f>'סיכום לועדה- הזנת נתונים'!N81</f>
        <v>295000</v>
      </c>
      <c r="E81" s="181">
        <f>סיכום!I81</f>
        <v>85500.279110332296</v>
      </c>
      <c r="F81" s="140">
        <f t="shared" si="7"/>
        <v>0</v>
      </c>
      <c r="G81" s="181">
        <f t="shared" si="8"/>
        <v>85500.279110332296</v>
      </c>
      <c r="H81" s="181">
        <f t="shared" si="18"/>
        <v>85500.279110332325</v>
      </c>
      <c r="I81" s="188">
        <f t="shared" si="9"/>
        <v>0</v>
      </c>
      <c r="J81" s="189">
        <f t="shared" si="10"/>
        <v>85500.279110332325</v>
      </c>
      <c r="K81" s="189">
        <f t="shared" si="19"/>
        <v>85500.27911033234</v>
      </c>
      <c r="L81" s="188">
        <f t="shared" si="11"/>
        <v>0</v>
      </c>
      <c r="M81" s="189">
        <f t="shared" si="12"/>
        <v>85500.27911033234</v>
      </c>
      <c r="N81" s="189">
        <f t="shared" si="20"/>
        <v>85500.279110332311</v>
      </c>
      <c r="O81" s="188">
        <f t="shared" si="13"/>
        <v>0</v>
      </c>
      <c r="P81" s="189">
        <f t="shared" si="14"/>
        <v>85500.279110332311</v>
      </c>
      <c r="Q81" s="189">
        <f t="shared" si="21"/>
        <v>85500.279110332325</v>
      </c>
      <c r="R81" s="188">
        <f t="shared" si="15"/>
        <v>0</v>
      </c>
      <c r="S81" s="189">
        <f t="shared" si="16"/>
        <v>85500.279110332325</v>
      </c>
      <c r="T81" s="189">
        <f t="shared" si="22"/>
        <v>85500.279110332296</v>
      </c>
      <c r="U81" s="180">
        <f t="shared" si="17"/>
        <v>85500.279110332296</v>
      </c>
      <c r="V81" s="129">
        <f t="shared" si="23"/>
        <v>1.05780991638915E-2</v>
      </c>
    </row>
    <row r="82" spans="2:22" x14ac:dyDescent="0.25">
      <c r="B82" s="156">
        <f t="shared" si="6"/>
        <v>62</v>
      </c>
      <c r="C82" s="127" t="str">
        <f>סיכום!C82</f>
        <v>טלי זבילביץ</v>
      </c>
      <c r="D82" s="181">
        <f>'סיכום לועדה- הזנת נתונים'!N82</f>
        <v>295000</v>
      </c>
      <c r="E82" s="181">
        <f>סיכום!I82</f>
        <v>46241.165975372591</v>
      </c>
      <c r="F82" s="140">
        <f t="shared" si="7"/>
        <v>0</v>
      </c>
      <c r="G82" s="181">
        <f t="shared" si="8"/>
        <v>46241.165975372591</v>
      </c>
      <c r="H82" s="181">
        <f t="shared" si="18"/>
        <v>46241.165975372613</v>
      </c>
      <c r="I82" s="188">
        <f t="shared" si="9"/>
        <v>0</v>
      </c>
      <c r="J82" s="189">
        <f t="shared" si="10"/>
        <v>46241.165975372613</v>
      </c>
      <c r="K82" s="189">
        <f t="shared" si="19"/>
        <v>46241.16597537262</v>
      </c>
      <c r="L82" s="188">
        <f t="shared" si="11"/>
        <v>0</v>
      </c>
      <c r="M82" s="189">
        <f t="shared" si="12"/>
        <v>46241.16597537262</v>
      </c>
      <c r="N82" s="189">
        <f t="shared" si="20"/>
        <v>46241.165975372605</v>
      </c>
      <c r="O82" s="188">
        <f t="shared" si="13"/>
        <v>0</v>
      </c>
      <c r="P82" s="189">
        <f t="shared" si="14"/>
        <v>46241.165975372605</v>
      </c>
      <c r="Q82" s="189">
        <f t="shared" si="21"/>
        <v>46241.165975372613</v>
      </c>
      <c r="R82" s="188">
        <f t="shared" si="15"/>
        <v>0</v>
      </c>
      <c r="S82" s="189">
        <f t="shared" si="16"/>
        <v>46241.165975372613</v>
      </c>
      <c r="T82" s="189">
        <f t="shared" si="22"/>
        <v>46241.165975372598</v>
      </c>
      <c r="U82" s="180">
        <f t="shared" si="17"/>
        <v>46241.165975372598</v>
      </c>
      <c r="V82" s="129">
        <f t="shared" si="23"/>
        <v>5.7209595597957092E-3</v>
      </c>
    </row>
    <row r="83" spans="2:22" x14ac:dyDescent="0.25">
      <c r="B83" s="156">
        <f t="shared" si="6"/>
        <v>63</v>
      </c>
      <c r="C83" s="127" t="str">
        <f>סיכום!C83</f>
        <v>רייצ'ל ארדוס</v>
      </c>
      <c r="D83" s="181">
        <f>'סיכום לועדה- הזנת נתונים'!N83</f>
        <v>295000</v>
      </c>
      <c r="E83" s="181">
        <f>סיכום!I83</f>
        <v>110559.00114140411</v>
      </c>
      <c r="F83" s="140">
        <f t="shared" si="7"/>
        <v>0</v>
      </c>
      <c r="G83" s="181">
        <f t="shared" si="8"/>
        <v>110559.00114140411</v>
      </c>
      <c r="H83" s="181">
        <f t="shared" si="18"/>
        <v>110559.00114140417</v>
      </c>
      <c r="I83" s="188">
        <f t="shared" si="9"/>
        <v>0</v>
      </c>
      <c r="J83" s="189">
        <f t="shared" si="10"/>
        <v>110559.00114140417</v>
      </c>
      <c r="K83" s="189">
        <f t="shared" si="19"/>
        <v>110559.00114140419</v>
      </c>
      <c r="L83" s="188">
        <f t="shared" si="11"/>
        <v>0</v>
      </c>
      <c r="M83" s="189">
        <f t="shared" si="12"/>
        <v>110559.00114140419</v>
      </c>
      <c r="N83" s="189">
        <f t="shared" si="20"/>
        <v>110559.00114140417</v>
      </c>
      <c r="O83" s="188">
        <f t="shared" si="13"/>
        <v>0</v>
      </c>
      <c r="P83" s="189">
        <f t="shared" si="14"/>
        <v>110559.00114140417</v>
      </c>
      <c r="Q83" s="189">
        <f t="shared" si="21"/>
        <v>110559.00114140419</v>
      </c>
      <c r="R83" s="188">
        <f t="shared" si="15"/>
        <v>0</v>
      </c>
      <c r="S83" s="189">
        <f t="shared" si="16"/>
        <v>110559.00114140419</v>
      </c>
      <c r="T83" s="189">
        <f t="shared" si="22"/>
        <v>110559.00114140417</v>
      </c>
      <c r="U83" s="180">
        <f t="shared" si="17"/>
        <v>110559.00114140417</v>
      </c>
      <c r="V83" s="129">
        <f t="shared" si="23"/>
        <v>1.3678365611244395E-2</v>
      </c>
    </row>
    <row r="84" spans="2:22" x14ac:dyDescent="0.25">
      <c r="B84" s="156">
        <f t="shared" si="6"/>
        <v>64</v>
      </c>
      <c r="C84" s="127" t="str">
        <f>סיכום!C84</f>
        <v>שירה אביתר</v>
      </c>
      <c r="D84" s="181">
        <f>'סיכום לועדה- הזנת נתונים'!N84</f>
        <v>295000</v>
      </c>
      <c r="E84" s="181">
        <f>סיכום!I84</f>
        <v>49687.048553462097</v>
      </c>
      <c r="F84" s="140">
        <f t="shared" si="7"/>
        <v>0</v>
      </c>
      <c r="G84" s="181">
        <f t="shared" si="8"/>
        <v>49687.048553462097</v>
      </c>
      <c r="H84" s="181">
        <f t="shared" si="18"/>
        <v>49687.048553462118</v>
      </c>
      <c r="I84" s="188">
        <f t="shared" si="9"/>
        <v>0</v>
      </c>
      <c r="J84" s="189">
        <f t="shared" si="10"/>
        <v>49687.048553462118</v>
      </c>
      <c r="K84" s="189">
        <f t="shared" si="19"/>
        <v>49687.048553462126</v>
      </c>
      <c r="L84" s="188">
        <f t="shared" si="11"/>
        <v>0</v>
      </c>
      <c r="M84" s="189">
        <f t="shared" si="12"/>
        <v>49687.048553462126</v>
      </c>
      <c r="N84" s="189">
        <f t="shared" si="20"/>
        <v>49687.048553462111</v>
      </c>
      <c r="O84" s="188">
        <f t="shared" si="13"/>
        <v>0</v>
      </c>
      <c r="P84" s="189">
        <f t="shared" si="14"/>
        <v>49687.048553462111</v>
      </c>
      <c r="Q84" s="189">
        <f t="shared" si="21"/>
        <v>49687.048553462118</v>
      </c>
      <c r="R84" s="188">
        <f t="shared" si="15"/>
        <v>0</v>
      </c>
      <c r="S84" s="189">
        <f t="shared" si="16"/>
        <v>49687.048553462118</v>
      </c>
      <c r="T84" s="189">
        <f t="shared" si="22"/>
        <v>49687.048553462104</v>
      </c>
      <c r="U84" s="180">
        <f t="shared" si="17"/>
        <v>49687.048553462104</v>
      </c>
      <c r="V84" s="129">
        <f t="shared" si="23"/>
        <v>6.1472843390530905E-3</v>
      </c>
    </row>
    <row r="85" spans="2:22" x14ac:dyDescent="0.25">
      <c r="B85" s="156">
        <f t="shared" si="6"/>
        <v>65</v>
      </c>
      <c r="C85" s="127" t="str">
        <f>סיכום!C85</f>
        <v>שלומית פונדמינסקי</v>
      </c>
      <c r="D85" s="181">
        <f>'סיכום לועדה- הזנת נתונים'!N85</f>
        <v>295000</v>
      </c>
      <c r="E85" s="181">
        <f>סיכום!I85</f>
        <v>137754.67302300167</v>
      </c>
      <c r="F85" s="140">
        <f t="shared" si="7"/>
        <v>0</v>
      </c>
      <c r="G85" s="181">
        <f t="shared" si="8"/>
        <v>137754.67302300167</v>
      </c>
      <c r="H85" s="181">
        <f t="shared" ref="H85:H109" si="24">IF($C85="","",IF(F85=1,G85,G85/SUMIF(F$21:F$132,0,G$21:G$132)*($C$2-SUMIF(F$21:F$132,1,G$21:G$132))))</f>
        <v>137754.67302300173</v>
      </c>
      <c r="I85" s="188">
        <f t="shared" si="9"/>
        <v>0</v>
      </c>
      <c r="J85" s="189">
        <f t="shared" si="10"/>
        <v>137754.67302300173</v>
      </c>
      <c r="K85" s="189">
        <f t="shared" ref="K85:K109" si="25">IF($C85="","",IF(I85=1,J85,J85/SUMIF(I$21:I$132,0,J$21:J$132)*($C$2-SUMIF(I$21:I$132,1,J$21:J$132))))</f>
        <v>137754.67302300176</v>
      </c>
      <c r="L85" s="188">
        <f t="shared" si="11"/>
        <v>0</v>
      </c>
      <c r="M85" s="189">
        <f t="shared" si="12"/>
        <v>137754.67302300176</v>
      </c>
      <c r="N85" s="189">
        <f t="shared" ref="N85:N109" si="26">IF($C85="","",IF(L85=1,M85,M85/SUMIF(L$21:L$132,0,M$21:M$132)*($C$2-SUMIF(L$21:L$132,1,M$21:M$132))))</f>
        <v>137754.67302300173</v>
      </c>
      <c r="O85" s="188">
        <f t="shared" si="13"/>
        <v>0</v>
      </c>
      <c r="P85" s="189">
        <f t="shared" si="14"/>
        <v>137754.67302300173</v>
      </c>
      <c r="Q85" s="189">
        <f t="shared" ref="Q85:Q109" si="27">IF($C85="","",IF(O85=2,P85,IF(O85=1,P85,P85/SUMIF(O$21:O$132,0,P$21:P$132)*($C$2-SUMIF(O$21:O$132,1,P$21:P$132)-SUMIF(O$21:O$132,2,P$21:P$132)))))</f>
        <v>137754.67302300176</v>
      </c>
      <c r="R85" s="188">
        <f t="shared" si="15"/>
        <v>0</v>
      </c>
      <c r="S85" s="189">
        <f t="shared" si="16"/>
        <v>137754.67302300176</v>
      </c>
      <c r="T85" s="189">
        <f t="shared" ref="T85:T109" si="28">IF($C85="","",IF(R85=2,S85,IF(R85=1,S85,S85/SUMIF(R$21:R$132,0,S$21:S$132)*($C$2-SUMIF(R$21:R$132,1,S$21:S$132)-SUMIF(R$21:R$132,2,S$21:S$132)))))</f>
        <v>137754.67302300173</v>
      </c>
      <c r="U85" s="180">
        <f t="shared" si="17"/>
        <v>137754.67302300173</v>
      </c>
      <c r="V85" s="129">
        <f t="shared" ref="V85:V109" si="29">IF(C85="","",IFERROR(U85/SUMIF($U$21:$U$132,"&lt;&gt;#DIV/0!"),0))</f>
        <v>1.7043015609883173E-2</v>
      </c>
    </row>
    <row r="86" spans="2:22" x14ac:dyDescent="0.25">
      <c r="B86" s="156" t="str">
        <f t="shared" ref="B86:B118" si="30">IF(C86="","",ROW()-20)</f>
        <v/>
      </c>
      <c r="C86" s="127" t="str">
        <f>סיכום!C86</f>
        <v/>
      </c>
      <c r="D86" s="181" t="str">
        <f>'סיכום לועדה- הזנת נתונים'!N86</f>
        <v/>
      </c>
      <c r="E86" s="181" t="str">
        <f>סיכום!I86</f>
        <v/>
      </c>
      <c r="F86" s="140" t="str">
        <f t="shared" ref="F86:F109" si="31">IF(C86="","",IF(E86&gt;$D86,1,0))</f>
        <v/>
      </c>
      <c r="G86" s="181" t="str">
        <f t="shared" ref="G86:G109" si="32">IF($C86="","",IF(ISNUMBER(E86),MIN(D86:E86),E86))</f>
        <v/>
      </c>
      <c r="H86" s="181" t="str">
        <f t="shared" si="24"/>
        <v/>
      </c>
      <c r="I86" s="188">
        <f t="shared" ref="I86:I109" si="33">IF(OR(H86&gt;$D86,$F86=1),1,0)</f>
        <v>0</v>
      </c>
      <c r="J86" s="189" t="str">
        <f t="shared" ref="J86:J109" si="34">IF($C86="","",MIN(H86,$D86))</f>
        <v/>
      </c>
      <c r="K86" s="189" t="str">
        <f t="shared" si="25"/>
        <v/>
      </c>
      <c r="L86" s="188">
        <f t="shared" ref="L86:L109" si="35">IF(OR(K86&gt;$D86,$F86=1,$I86=1),1,0)</f>
        <v>0</v>
      </c>
      <c r="M86" s="189" t="str">
        <f t="shared" ref="M86:M109" si="36">IF($C86="","",MIN(K86,$D86))</f>
        <v/>
      </c>
      <c r="N86" s="189" t="str">
        <f t="shared" si="26"/>
        <v/>
      </c>
      <c r="O86" s="188">
        <f t="shared" ref="O86:O109" si="37">IF(OR(N86&gt;$D86,$F86=1,$I86=1,$L86=1),1,0)</f>
        <v>0</v>
      </c>
      <c r="P86" s="189" t="str">
        <f t="shared" ref="P86:P109" si="38">IF($C86="","",MIN(N86,$D86))</f>
        <v/>
      </c>
      <c r="Q86" s="189" t="str">
        <f t="shared" si="27"/>
        <v/>
      </c>
      <c r="R86" s="188">
        <f t="shared" ref="R86:R109" si="39">IF(OR(Q86&gt;$D86,$F86=1,$I86=1,$L86=1,$O86=1),1,0)</f>
        <v>0</v>
      </c>
      <c r="S86" s="189" t="str">
        <f t="shared" ref="S86:S109" si="40">IF($C86="","",MIN(Q86,$D86))</f>
        <v/>
      </c>
      <c r="T86" s="189" t="str">
        <f t="shared" si="28"/>
        <v/>
      </c>
      <c r="U86" s="180" t="str">
        <f t="shared" ref="U86:U109" si="41">IF(ISNUMBER(E86),IFERROR(T86,0),E86)</f>
        <v/>
      </c>
      <c r="V86" s="129" t="str">
        <f t="shared" si="29"/>
        <v/>
      </c>
    </row>
    <row r="87" spans="2:22" x14ac:dyDescent="0.25">
      <c r="B87" s="156">
        <f t="shared" si="30"/>
        <v>67</v>
      </c>
      <c r="C87" s="127" t="str">
        <f>סיכום!C87</f>
        <v>שרון וזנה</v>
      </c>
      <c r="D87" s="181">
        <f>'סיכום לועדה- הזנת נתונים'!N87</f>
        <v>295000</v>
      </c>
      <c r="E87" s="181">
        <f>סיכום!I87</f>
        <v>77347.798210162524</v>
      </c>
      <c r="F87" s="140">
        <f t="shared" si="31"/>
        <v>0</v>
      </c>
      <c r="G87" s="181">
        <f t="shared" si="32"/>
        <v>77347.798210162524</v>
      </c>
      <c r="H87" s="181">
        <f t="shared" si="24"/>
        <v>77347.798210162568</v>
      </c>
      <c r="I87" s="188">
        <f t="shared" si="33"/>
        <v>0</v>
      </c>
      <c r="J87" s="189">
        <f t="shared" si="34"/>
        <v>77347.798210162568</v>
      </c>
      <c r="K87" s="189">
        <f t="shared" si="25"/>
        <v>77347.798210162597</v>
      </c>
      <c r="L87" s="188">
        <f t="shared" si="35"/>
        <v>0</v>
      </c>
      <c r="M87" s="189">
        <f t="shared" si="36"/>
        <v>77347.798210162597</v>
      </c>
      <c r="N87" s="189">
        <f t="shared" si="26"/>
        <v>77347.798210162582</v>
      </c>
      <c r="O87" s="188">
        <f t="shared" si="37"/>
        <v>0</v>
      </c>
      <c r="P87" s="189">
        <f t="shared" si="38"/>
        <v>77347.798210162582</v>
      </c>
      <c r="Q87" s="189">
        <f t="shared" si="27"/>
        <v>77347.798210162597</v>
      </c>
      <c r="R87" s="188">
        <f t="shared" si="39"/>
        <v>0</v>
      </c>
      <c r="S87" s="189">
        <f t="shared" si="40"/>
        <v>77347.798210162597</v>
      </c>
      <c r="T87" s="189">
        <f t="shared" si="28"/>
        <v>77347.798210162582</v>
      </c>
      <c r="U87" s="180">
        <f t="shared" si="41"/>
        <v>77347.798210162582</v>
      </c>
      <c r="V87" s="129">
        <f t="shared" si="29"/>
        <v>9.5694737852252774E-3</v>
      </c>
    </row>
    <row r="88" spans="2:22" x14ac:dyDescent="0.25">
      <c r="B88" s="156">
        <f t="shared" si="30"/>
        <v>68</v>
      </c>
      <c r="C88" s="127" t="str">
        <f>סיכום!C88</f>
        <v>שרונה פלורסהיים</v>
      </c>
      <c r="D88" s="181">
        <f>'סיכום לועדה- הזנת נתונים'!N88</f>
        <v>295000</v>
      </c>
      <c r="E88" s="181">
        <f>סיכום!I88</f>
        <v>142184.1801568006</v>
      </c>
      <c r="F88" s="140">
        <f t="shared" si="31"/>
        <v>0</v>
      </c>
      <c r="G88" s="181">
        <f t="shared" si="32"/>
        <v>142184.1801568006</v>
      </c>
      <c r="H88" s="181">
        <f t="shared" si="24"/>
        <v>142184.18015680066</v>
      </c>
      <c r="I88" s="188">
        <f t="shared" si="33"/>
        <v>0</v>
      </c>
      <c r="J88" s="189">
        <f t="shared" si="34"/>
        <v>142184.18015680066</v>
      </c>
      <c r="K88" s="189">
        <f t="shared" si="25"/>
        <v>142184.18015680069</v>
      </c>
      <c r="L88" s="188">
        <f t="shared" si="35"/>
        <v>0</v>
      </c>
      <c r="M88" s="189">
        <f t="shared" si="36"/>
        <v>142184.18015680069</v>
      </c>
      <c r="N88" s="189">
        <f t="shared" si="26"/>
        <v>142184.18015680066</v>
      </c>
      <c r="O88" s="188">
        <f t="shared" si="37"/>
        <v>0</v>
      </c>
      <c r="P88" s="189">
        <f t="shared" si="38"/>
        <v>142184.18015680066</v>
      </c>
      <c r="Q88" s="189">
        <f t="shared" si="27"/>
        <v>142184.18015680069</v>
      </c>
      <c r="R88" s="188">
        <f t="shared" si="39"/>
        <v>0</v>
      </c>
      <c r="S88" s="189">
        <f t="shared" si="40"/>
        <v>142184.18015680069</v>
      </c>
      <c r="T88" s="189">
        <f t="shared" si="28"/>
        <v>142184.18015680066</v>
      </c>
      <c r="U88" s="180">
        <f t="shared" si="41"/>
        <v>142184.18015680066</v>
      </c>
      <c r="V88" s="129">
        <f t="shared" si="29"/>
        <v>1.7591034472465197E-2</v>
      </c>
    </row>
    <row r="89" spans="2:22" x14ac:dyDescent="0.25">
      <c r="B89" s="156">
        <f t="shared" si="30"/>
        <v>69</v>
      </c>
      <c r="C89" s="127" t="str">
        <f>סיכום!C89</f>
        <v>תמי ליבוביץ</v>
      </c>
      <c r="D89" s="181">
        <f>'סיכום לועדה- הזנת נתונים'!N89</f>
        <v>295000</v>
      </c>
      <c r="E89" s="181">
        <f>סיכום!I89</f>
        <v>60804.09804667881</v>
      </c>
      <c r="F89" s="140">
        <f t="shared" si="31"/>
        <v>0</v>
      </c>
      <c r="G89" s="181">
        <f t="shared" si="32"/>
        <v>60804.09804667881</v>
      </c>
      <c r="H89" s="181">
        <f t="shared" si="24"/>
        <v>60804.098046678839</v>
      </c>
      <c r="I89" s="188">
        <f t="shared" si="33"/>
        <v>0</v>
      </c>
      <c r="J89" s="189">
        <f t="shared" si="34"/>
        <v>60804.098046678839</v>
      </c>
      <c r="K89" s="189">
        <f t="shared" si="25"/>
        <v>60804.098046678853</v>
      </c>
      <c r="L89" s="188">
        <f t="shared" si="35"/>
        <v>0</v>
      </c>
      <c r="M89" s="189">
        <f t="shared" si="36"/>
        <v>60804.098046678853</v>
      </c>
      <c r="N89" s="189">
        <f t="shared" si="26"/>
        <v>60804.098046678839</v>
      </c>
      <c r="O89" s="188">
        <f t="shared" si="37"/>
        <v>0</v>
      </c>
      <c r="P89" s="189">
        <f t="shared" si="38"/>
        <v>60804.098046678839</v>
      </c>
      <c r="Q89" s="189">
        <f t="shared" si="27"/>
        <v>60804.098046678853</v>
      </c>
      <c r="R89" s="188">
        <f t="shared" si="39"/>
        <v>0</v>
      </c>
      <c r="S89" s="189">
        <f t="shared" si="40"/>
        <v>60804.098046678853</v>
      </c>
      <c r="T89" s="189">
        <f t="shared" si="28"/>
        <v>60804.098046678839</v>
      </c>
      <c r="U89" s="180">
        <f t="shared" si="41"/>
        <v>60804.098046678839</v>
      </c>
      <c r="V89" s="129">
        <f t="shared" si="29"/>
        <v>7.5226863046698941E-3</v>
      </c>
    </row>
    <row r="90" spans="2:22" x14ac:dyDescent="0.25">
      <c r="B90" s="156">
        <f t="shared" si="30"/>
        <v>70</v>
      </c>
      <c r="C90" s="127" t="str">
        <f>סיכום!C90</f>
        <v>תמר בורר</v>
      </c>
      <c r="D90" s="181">
        <f>'סיכום לועדה- הזנת נתונים'!N90</f>
        <v>295000</v>
      </c>
      <c r="E90" s="181">
        <f>סיכום!I90</f>
        <v>70403.206666451631</v>
      </c>
      <c r="F90" s="140">
        <f t="shared" si="31"/>
        <v>0</v>
      </c>
      <c r="G90" s="181">
        <f t="shared" si="32"/>
        <v>70403.206666451631</v>
      </c>
      <c r="H90" s="181">
        <f t="shared" si="24"/>
        <v>70403.206666451661</v>
      </c>
      <c r="I90" s="188">
        <f t="shared" si="33"/>
        <v>0</v>
      </c>
      <c r="J90" s="189">
        <f t="shared" si="34"/>
        <v>70403.206666451661</v>
      </c>
      <c r="K90" s="189">
        <f t="shared" si="25"/>
        <v>70403.206666451675</v>
      </c>
      <c r="L90" s="188">
        <f t="shared" si="35"/>
        <v>0</v>
      </c>
      <c r="M90" s="189">
        <f t="shared" si="36"/>
        <v>70403.206666451675</v>
      </c>
      <c r="N90" s="189">
        <f t="shared" si="26"/>
        <v>70403.206666451661</v>
      </c>
      <c r="O90" s="188">
        <f t="shared" si="37"/>
        <v>0</v>
      </c>
      <c r="P90" s="189">
        <f t="shared" si="38"/>
        <v>70403.206666451661</v>
      </c>
      <c r="Q90" s="189">
        <f t="shared" si="27"/>
        <v>70403.206666451675</v>
      </c>
      <c r="R90" s="188">
        <f t="shared" si="39"/>
        <v>0</v>
      </c>
      <c r="S90" s="189">
        <f t="shared" si="40"/>
        <v>70403.206666451675</v>
      </c>
      <c r="T90" s="189">
        <f t="shared" si="28"/>
        <v>70403.206666451661</v>
      </c>
      <c r="U90" s="180">
        <f t="shared" si="41"/>
        <v>70403.206666451661</v>
      </c>
      <c r="V90" s="129">
        <f t="shared" si="29"/>
        <v>8.7102885431829605E-3</v>
      </c>
    </row>
    <row r="91" spans="2:22" x14ac:dyDescent="0.25">
      <c r="B91" s="156">
        <f t="shared" si="30"/>
        <v>71</v>
      </c>
      <c r="C91" s="127" t="str">
        <f>סיכום!C91</f>
        <v>תמי ורונן יצחקי</v>
      </c>
      <c r="D91" s="181">
        <f>'סיכום לועדה- הזנת נתונים'!N91</f>
        <v>295000</v>
      </c>
      <c r="E91" s="181">
        <f>סיכום!I91</f>
        <v>93115.524924557205</v>
      </c>
      <c r="F91" s="140">
        <f t="shared" si="31"/>
        <v>0</v>
      </c>
      <c r="G91" s="181">
        <f t="shared" si="32"/>
        <v>93115.524924557205</v>
      </c>
      <c r="H91" s="181">
        <f t="shared" si="24"/>
        <v>93115.524924557249</v>
      </c>
      <c r="I91" s="188">
        <f t="shared" si="33"/>
        <v>0</v>
      </c>
      <c r="J91" s="189">
        <f t="shared" si="34"/>
        <v>93115.524924557249</v>
      </c>
      <c r="K91" s="189">
        <f t="shared" si="25"/>
        <v>93115.524924557263</v>
      </c>
      <c r="L91" s="188">
        <f t="shared" si="35"/>
        <v>0</v>
      </c>
      <c r="M91" s="189">
        <f t="shared" si="36"/>
        <v>93115.524924557263</v>
      </c>
      <c r="N91" s="189">
        <f t="shared" si="26"/>
        <v>93115.524924557234</v>
      </c>
      <c r="O91" s="188">
        <f t="shared" si="37"/>
        <v>0</v>
      </c>
      <c r="P91" s="189">
        <f t="shared" si="38"/>
        <v>93115.524924557234</v>
      </c>
      <c r="Q91" s="189">
        <f t="shared" si="27"/>
        <v>93115.524924557249</v>
      </c>
      <c r="R91" s="188">
        <f t="shared" si="39"/>
        <v>0</v>
      </c>
      <c r="S91" s="189">
        <f t="shared" si="40"/>
        <v>93115.524924557249</v>
      </c>
      <c r="T91" s="189">
        <f t="shared" si="28"/>
        <v>93115.524924557219</v>
      </c>
      <c r="U91" s="180">
        <f t="shared" si="41"/>
        <v>93115.524924557219</v>
      </c>
      <c r="V91" s="129">
        <f t="shared" si="29"/>
        <v>1.1520257788617512E-2</v>
      </c>
    </row>
    <row r="92" spans="2:22" x14ac:dyDescent="0.25">
      <c r="B92" s="156">
        <f t="shared" si="30"/>
        <v>72</v>
      </c>
      <c r="C92" s="127" t="str">
        <f>סיכום!C92</f>
        <v>רננה רז</v>
      </c>
      <c r="D92" s="181">
        <f>'סיכום לועדה- הזנת נתונים'!N92</f>
        <v>230000</v>
      </c>
      <c r="E92" s="181">
        <f>סיכום!I92</f>
        <v>184349.44001703308</v>
      </c>
      <c r="F92" s="140">
        <f t="shared" si="31"/>
        <v>0</v>
      </c>
      <c r="G92" s="181">
        <f t="shared" si="32"/>
        <v>184349.44001703308</v>
      </c>
      <c r="H92" s="181">
        <f t="shared" si="24"/>
        <v>184349.44001703316</v>
      </c>
      <c r="I92" s="188">
        <f t="shared" si="33"/>
        <v>0</v>
      </c>
      <c r="J92" s="189">
        <f t="shared" si="34"/>
        <v>184349.44001703316</v>
      </c>
      <c r="K92" s="189">
        <f t="shared" si="25"/>
        <v>184349.44001703322</v>
      </c>
      <c r="L92" s="188">
        <f t="shared" si="35"/>
        <v>0</v>
      </c>
      <c r="M92" s="189">
        <f t="shared" si="36"/>
        <v>184349.44001703322</v>
      </c>
      <c r="N92" s="189">
        <f t="shared" si="26"/>
        <v>184349.44001703319</v>
      </c>
      <c r="O92" s="188">
        <f t="shared" si="37"/>
        <v>0</v>
      </c>
      <c r="P92" s="189">
        <f t="shared" si="38"/>
        <v>184349.44001703319</v>
      </c>
      <c r="Q92" s="189">
        <f t="shared" si="27"/>
        <v>184349.44001703325</v>
      </c>
      <c r="R92" s="188">
        <f t="shared" si="39"/>
        <v>0</v>
      </c>
      <c r="S92" s="189">
        <f t="shared" si="40"/>
        <v>184349.44001703325</v>
      </c>
      <c r="T92" s="189">
        <f t="shared" si="28"/>
        <v>184349.44001703322</v>
      </c>
      <c r="U92" s="180">
        <f t="shared" si="41"/>
        <v>184349.44001703322</v>
      </c>
      <c r="V92" s="129">
        <f t="shared" si="29"/>
        <v>2.2807722706865284E-2</v>
      </c>
    </row>
    <row r="93" spans="2:22" x14ac:dyDescent="0.25">
      <c r="B93" s="156">
        <f t="shared" si="30"/>
        <v>73</v>
      </c>
      <c r="C93" s="127" t="str">
        <f>סיכום!C93</f>
        <v>רתם תשח</v>
      </c>
      <c r="D93" s="181">
        <f>'סיכום לועדה- הזנת נתונים'!N93</f>
        <v>295000</v>
      </c>
      <c r="E93" s="181">
        <f>סיכום!I93</f>
        <v>38037.776124086151</v>
      </c>
      <c r="F93" s="140">
        <f t="shared" si="31"/>
        <v>0</v>
      </c>
      <c r="G93" s="181">
        <f t="shared" si="32"/>
        <v>38037.776124086151</v>
      </c>
      <c r="H93" s="181">
        <f t="shared" si="24"/>
        <v>38037.776124086166</v>
      </c>
      <c r="I93" s="188">
        <f t="shared" si="33"/>
        <v>0</v>
      </c>
      <c r="J93" s="189">
        <f t="shared" si="34"/>
        <v>38037.776124086166</v>
      </c>
      <c r="K93" s="189">
        <f t="shared" si="25"/>
        <v>38037.776124086173</v>
      </c>
      <c r="L93" s="188">
        <f t="shared" si="35"/>
        <v>0</v>
      </c>
      <c r="M93" s="189">
        <f t="shared" si="36"/>
        <v>38037.776124086173</v>
      </c>
      <c r="N93" s="189">
        <f t="shared" si="26"/>
        <v>38037.776124086166</v>
      </c>
      <c r="O93" s="188">
        <f t="shared" si="37"/>
        <v>0</v>
      </c>
      <c r="P93" s="189">
        <f t="shared" si="38"/>
        <v>38037.776124086166</v>
      </c>
      <c r="Q93" s="189">
        <f t="shared" si="27"/>
        <v>38037.776124086173</v>
      </c>
      <c r="R93" s="188">
        <f t="shared" si="39"/>
        <v>0</v>
      </c>
      <c r="S93" s="189">
        <f t="shared" si="40"/>
        <v>38037.776124086173</v>
      </c>
      <c r="T93" s="189">
        <f t="shared" si="28"/>
        <v>38037.776124086166</v>
      </c>
      <c r="U93" s="180">
        <f t="shared" si="41"/>
        <v>38037.776124086166</v>
      </c>
      <c r="V93" s="129">
        <f t="shared" si="29"/>
        <v>4.7060357229391052E-3</v>
      </c>
    </row>
    <row r="94" spans="2:22" x14ac:dyDescent="0.25">
      <c r="B94" s="156" t="str">
        <f t="shared" si="30"/>
        <v/>
      </c>
      <c r="C94" s="127" t="str">
        <f>סיכום!C94</f>
        <v/>
      </c>
      <c r="D94" s="181" t="str">
        <f>'סיכום לועדה- הזנת נתונים'!N94</f>
        <v/>
      </c>
      <c r="E94" s="181" t="str">
        <f>סיכום!I94</f>
        <v/>
      </c>
      <c r="F94" s="140" t="str">
        <f t="shared" si="31"/>
        <v/>
      </c>
      <c r="G94" s="181" t="str">
        <f t="shared" si="32"/>
        <v/>
      </c>
      <c r="H94" s="181" t="str">
        <f t="shared" si="24"/>
        <v/>
      </c>
      <c r="I94" s="188">
        <f t="shared" si="33"/>
        <v>0</v>
      </c>
      <c r="J94" s="189" t="str">
        <f t="shared" si="34"/>
        <v/>
      </c>
      <c r="K94" s="189" t="str">
        <f t="shared" si="25"/>
        <v/>
      </c>
      <c r="L94" s="188">
        <f t="shared" si="35"/>
        <v>0</v>
      </c>
      <c r="M94" s="189" t="str">
        <f t="shared" si="36"/>
        <v/>
      </c>
      <c r="N94" s="189" t="str">
        <f t="shared" si="26"/>
        <v/>
      </c>
      <c r="O94" s="188">
        <f t="shared" si="37"/>
        <v>0</v>
      </c>
      <c r="P94" s="189" t="str">
        <f t="shared" si="38"/>
        <v/>
      </c>
      <c r="Q94" s="189" t="str">
        <f t="shared" si="27"/>
        <v/>
      </c>
      <c r="R94" s="188">
        <f t="shared" si="39"/>
        <v>0</v>
      </c>
      <c r="S94" s="189" t="str">
        <f t="shared" si="40"/>
        <v/>
      </c>
      <c r="T94" s="189" t="str">
        <f t="shared" si="28"/>
        <v/>
      </c>
      <c r="U94" s="180" t="str">
        <f t="shared" si="41"/>
        <v/>
      </c>
      <c r="V94" s="129" t="str">
        <f t="shared" si="29"/>
        <v/>
      </c>
    </row>
    <row r="95" spans="2:22" x14ac:dyDescent="0.25">
      <c r="B95" s="156" t="str">
        <f t="shared" si="30"/>
        <v/>
      </c>
      <c r="C95" s="127" t="str">
        <f>סיכום!C95</f>
        <v/>
      </c>
      <c r="D95" s="181" t="str">
        <f>'סיכום לועדה- הזנת נתונים'!N95</f>
        <v/>
      </c>
      <c r="E95" s="181" t="str">
        <f>סיכום!I95</f>
        <v/>
      </c>
      <c r="F95" s="140" t="str">
        <f t="shared" si="31"/>
        <v/>
      </c>
      <c r="G95" s="181" t="str">
        <f t="shared" si="32"/>
        <v/>
      </c>
      <c r="H95" s="181" t="str">
        <f t="shared" si="24"/>
        <v/>
      </c>
      <c r="I95" s="188">
        <f t="shared" si="33"/>
        <v>0</v>
      </c>
      <c r="J95" s="189" t="str">
        <f t="shared" si="34"/>
        <v/>
      </c>
      <c r="K95" s="189" t="str">
        <f t="shared" si="25"/>
        <v/>
      </c>
      <c r="L95" s="188">
        <f t="shared" si="35"/>
        <v>0</v>
      </c>
      <c r="M95" s="189" t="str">
        <f t="shared" si="36"/>
        <v/>
      </c>
      <c r="N95" s="189" t="str">
        <f t="shared" si="26"/>
        <v/>
      </c>
      <c r="O95" s="188">
        <f t="shared" si="37"/>
        <v>0</v>
      </c>
      <c r="P95" s="189" t="str">
        <f t="shared" si="38"/>
        <v/>
      </c>
      <c r="Q95" s="189" t="str">
        <f t="shared" si="27"/>
        <v/>
      </c>
      <c r="R95" s="188">
        <f t="shared" si="39"/>
        <v>0</v>
      </c>
      <c r="S95" s="189" t="str">
        <f t="shared" si="40"/>
        <v/>
      </c>
      <c r="T95" s="189" t="str">
        <f t="shared" si="28"/>
        <v/>
      </c>
      <c r="U95" s="180" t="str">
        <f t="shared" si="41"/>
        <v/>
      </c>
      <c r="V95" s="129" t="str">
        <f t="shared" si="29"/>
        <v/>
      </c>
    </row>
    <row r="96" spans="2:22" x14ac:dyDescent="0.25">
      <c r="B96" s="156">
        <f t="shared" si="30"/>
        <v>76</v>
      </c>
      <c r="C96" s="127" t="str">
        <f>סיכום!C96</f>
        <v>שרון שגיא - פלמנקו</v>
      </c>
      <c r="D96" s="181">
        <f>'סיכום לועדה- הזנת נתונים'!N96</f>
        <v>280000</v>
      </c>
      <c r="E96" s="181">
        <f>סיכום!I96</f>
        <v>246451.76040490516</v>
      </c>
      <c r="F96" s="140">
        <f t="shared" si="31"/>
        <v>0</v>
      </c>
      <c r="G96" s="181">
        <f t="shared" si="32"/>
        <v>246451.76040490516</v>
      </c>
      <c r="H96" s="181">
        <f t="shared" si="24"/>
        <v>246451.76040490525</v>
      </c>
      <c r="I96" s="188">
        <f t="shared" si="33"/>
        <v>0</v>
      </c>
      <c r="J96" s="189">
        <f t="shared" si="34"/>
        <v>246451.76040490525</v>
      </c>
      <c r="K96" s="189">
        <f t="shared" si="25"/>
        <v>246451.7604049053</v>
      </c>
      <c r="L96" s="188">
        <f t="shared" si="35"/>
        <v>0</v>
      </c>
      <c r="M96" s="189">
        <f t="shared" si="36"/>
        <v>246451.7604049053</v>
      </c>
      <c r="N96" s="189">
        <f t="shared" si="26"/>
        <v>246451.76040490525</v>
      </c>
      <c r="O96" s="188">
        <f t="shared" si="37"/>
        <v>0</v>
      </c>
      <c r="P96" s="189">
        <f t="shared" si="38"/>
        <v>246451.76040490525</v>
      </c>
      <c r="Q96" s="189">
        <f t="shared" si="27"/>
        <v>246451.7604049053</v>
      </c>
      <c r="R96" s="188">
        <f t="shared" si="39"/>
        <v>0</v>
      </c>
      <c r="S96" s="189">
        <f t="shared" si="40"/>
        <v>246451.7604049053</v>
      </c>
      <c r="T96" s="189">
        <f t="shared" si="28"/>
        <v>246451.76040490525</v>
      </c>
      <c r="U96" s="180">
        <f t="shared" si="41"/>
        <v>246451.76040490525</v>
      </c>
      <c r="V96" s="129">
        <f t="shared" si="29"/>
        <v>3.0491025149924619E-2</v>
      </c>
    </row>
    <row r="97" spans="2:22" x14ac:dyDescent="0.25">
      <c r="B97" s="156" t="str">
        <f t="shared" si="30"/>
        <v/>
      </c>
      <c r="C97" s="127" t="str">
        <f>סיכום!C97</f>
        <v/>
      </c>
      <c r="D97" s="181" t="str">
        <f>'סיכום לועדה- הזנת נתונים'!N97</f>
        <v/>
      </c>
      <c r="E97" s="181" t="str">
        <f>סיכום!I97</f>
        <v/>
      </c>
      <c r="F97" s="140" t="str">
        <f t="shared" si="31"/>
        <v/>
      </c>
      <c r="G97" s="181" t="str">
        <f t="shared" si="32"/>
        <v/>
      </c>
      <c r="H97" s="181" t="str">
        <f t="shared" si="24"/>
        <v/>
      </c>
      <c r="I97" s="188">
        <f t="shared" si="33"/>
        <v>0</v>
      </c>
      <c r="J97" s="189" t="str">
        <f t="shared" si="34"/>
        <v/>
      </c>
      <c r="K97" s="189" t="str">
        <f t="shared" si="25"/>
        <v/>
      </c>
      <c r="L97" s="188">
        <f t="shared" si="35"/>
        <v>0</v>
      </c>
      <c r="M97" s="189" t="str">
        <f t="shared" si="36"/>
        <v/>
      </c>
      <c r="N97" s="189" t="str">
        <f t="shared" si="26"/>
        <v/>
      </c>
      <c r="O97" s="188">
        <f t="shared" si="37"/>
        <v>0</v>
      </c>
      <c r="P97" s="189" t="str">
        <f t="shared" si="38"/>
        <v/>
      </c>
      <c r="Q97" s="189" t="str">
        <f t="shared" si="27"/>
        <v/>
      </c>
      <c r="R97" s="188">
        <f t="shared" si="39"/>
        <v>0</v>
      </c>
      <c r="S97" s="189" t="str">
        <f t="shared" si="40"/>
        <v/>
      </c>
      <c r="T97" s="189" t="str">
        <f t="shared" si="28"/>
        <v/>
      </c>
      <c r="U97" s="180" t="str">
        <f t="shared" si="41"/>
        <v/>
      </c>
      <c r="V97" s="129" t="str">
        <f t="shared" si="29"/>
        <v/>
      </c>
    </row>
    <row r="98" spans="2:22" x14ac:dyDescent="0.25">
      <c r="B98" s="156">
        <f t="shared" si="30"/>
        <v>78</v>
      </c>
      <c r="C98" s="127" t="str">
        <f>סיכום!C98</f>
        <v>אוליביה קורט מסה</v>
      </c>
      <c r="D98" s="181">
        <f>'סיכום לועדה- הזנת נתונים'!N98</f>
        <v>295000</v>
      </c>
      <c r="E98" s="181">
        <f>סיכום!I98</f>
        <v>98573.416263819134</v>
      </c>
      <c r="F98" s="140">
        <f t="shared" si="31"/>
        <v>0</v>
      </c>
      <c r="G98" s="181">
        <f t="shared" si="32"/>
        <v>98573.416263819134</v>
      </c>
      <c r="H98" s="181">
        <f t="shared" si="24"/>
        <v>98573.416263819192</v>
      </c>
      <c r="I98" s="188">
        <f t="shared" si="33"/>
        <v>0</v>
      </c>
      <c r="J98" s="189">
        <f t="shared" si="34"/>
        <v>98573.416263819192</v>
      </c>
      <c r="K98" s="189">
        <f t="shared" si="25"/>
        <v>98573.416263819221</v>
      </c>
      <c r="L98" s="188">
        <f t="shared" si="35"/>
        <v>0</v>
      </c>
      <c r="M98" s="189">
        <f t="shared" si="36"/>
        <v>98573.416263819221</v>
      </c>
      <c r="N98" s="189">
        <f t="shared" si="26"/>
        <v>98573.416263819207</v>
      </c>
      <c r="O98" s="188">
        <f t="shared" si="37"/>
        <v>0</v>
      </c>
      <c r="P98" s="189">
        <f t="shared" si="38"/>
        <v>98573.416263819207</v>
      </c>
      <c r="Q98" s="189">
        <f t="shared" si="27"/>
        <v>98573.416263819221</v>
      </c>
      <c r="R98" s="188">
        <f t="shared" si="39"/>
        <v>0</v>
      </c>
      <c r="S98" s="189">
        <f t="shared" si="40"/>
        <v>98573.416263819221</v>
      </c>
      <c r="T98" s="189">
        <f t="shared" si="28"/>
        <v>98573.416263819207</v>
      </c>
      <c r="U98" s="180">
        <f t="shared" si="41"/>
        <v>98573.416263819207</v>
      </c>
      <c r="V98" s="129">
        <f t="shared" si="29"/>
        <v>1.2195508400816754E-2</v>
      </c>
    </row>
    <row r="99" spans="2:22" x14ac:dyDescent="0.25">
      <c r="B99" s="156" t="str">
        <f t="shared" si="30"/>
        <v/>
      </c>
      <c r="C99" s="127" t="str">
        <f>סיכום!C99</f>
        <v/>
      </c>
      <c r="D99" s="181" t="str">
        <f>'סיכום לועדה- הזנת נתונים'!N99</f>
        <v/>
      </c>
      <c r="E99" s="181" t="str">
        <f>סיכום!I99</f>
        <v/>
      </c>
      <c r="F99" s="140" t="str">
        <f t="shared" si="31"/>
        <v/>
      </c>
      <c r="G99" s="181" t="str">
        <f t="shared" si="32"/>
        <v/>
      </c>
      <c r="H99" s="181" t="str">
        <f t="shared" si="24"/>
        <v/>
      </c>
      <c r="I99" s="188">
        <f t="shared" si="33"/>
        <v>0</v>
      </c>
      <c r="J99" s="189" t="str">
        <f t="shared" si="34"/>
        <v/>
      </c>
      <c r="K99" s="189" t="str">
        <f t="shared" si="25"/>
        <v/>
      </c>
      <c r="L99" s="188">
        <f t="shared" si="35"/>
        <v>0</v>
      </c>
      <c r="M99" s="189" t="str">
        <f t="shared" si="36"/>
        <v/>
      </c>
      <c r="N99" s="189" t="str">
        <f t="shared" si="26"/>
        <v/>
      </c>
      <c r="O99" s="188">
        <f t="shared" si="37"/>
        <v>0</v>
      </c>
      <c r="P99" s="189" t="str">
        <f t="shared" si="38"/>
        <v/>
      </c>
      <c r="Q99" s="189" t="str">
        <f t="shared" si="27"/>
        <v/>
      </c>
      <c r="R99" s="188">
        <f t="shared" si="39"/>
        <v>0</v>
      </c>
      <c r="S99" s="189" t="str">
        <f t="shared" si="40"/>
        <v/>
      </c>
      <c r="T99" s="189" t="str">
        <f t="shared" si="28"/>
        <v/>
      </c>
      <c r="U99" s="180" t="str">
        <f t="shared" si="41"/>
        <v/>
      </c>
      <c r="V99" s="129" t="str">
        <f t="shared" si="29"/>
        <v/>
      </c>
    </row>
    <row r="100" spans="2:22" x14ac:dyDescent="0.25">
      <c r="B100" s="156" t="str">
        <f t="shared" si="30"/>
        <v/>
      </c>
      <c r="C100" s="127" t="str">
        <f>סיכום!C100</f>
        <v/>
      </c>
      <c r="D100" s="181" t="str">
        <f>'סיכום לועדה- הזנת נתונים'!N100</f>
        <v/>
      </c>
      <c r="E100" s="181" t="str">
        <f>סיכום!I100</f>
        <v/>
      </c>
      <c r="F100" s="140" t="str">
        <f t="shared" si="31"/>
        <v/>
      </c>
      <c r="G100" s="181" t="str">
        <f t="shared" si="32"/>
        <v/>
      </c>
      <c r="H100" s="181" t="str">
        <f t="shared" si="24"/>
        <v/>
      </c>
      <c r="I100" s="188">
        <f t="shared" si="33"/>
        <v>0</v>
      </c>
      <c r="J100" s="189" t="str">
        <f t="shared" si="34"/>
        <v/>
      </c>
      <c r="K100" s="189" t="str">
        <f t="shared" si="25"/>
        <v/>
      </c>
      <c r="L100" s="188">
        <f t="shared" si="35"/>
        <v>0</v>
      </c>
      <c r="M100" s="189" t="str">
        <f t="shared" si="36"/>
        <v/>
      </c>
      <c r="N100" s="189" t="str">
        <f t="shared" si="26"/>
        <v/>
      </c>
      <c r="O100" s="188">
        <f t="shared" si="37"/>
        <v>0</v>
      </c>
      <c r="P100" s="189" t="str">
        <f t="shared" si="38"/>
        <v/>
      </c>
      <c r="Q100" s="189" t="str">
        <f t="shared" si="27"/>
        <v/>
      </c>
      <c r="R100" s="188">
        <f t="shared" si="39"/>
        <v>0</v>
      </c>
      <c r="S100" s="189" t="str">
        <f t="shared" si="40"/>
        <v/>
      </c>
      <c r="T100" s="189" t="str">
        <f t="shared" si="28"/>
        <v/>
      </c>
      <c r="U100" s="180" t="str">
        <f t="shared" si="41"/>
        <v/>
      </c>
      <c r="V100" s="129" t="str">
        <f t="shared" si="29"/>
        <v/>
      </c>
    </row>
    <row r="101" spans="2:22" x14ac:dyDescent="0.25">
      <c r="B101" s="156">
        <f t="shared" si="30"/>
        <v>81</v>
      </c>
      <c r="C101" s="127" t="str">
        <f>סיכום!C101</f>
        <v>דגה פדר</v>
      </c>
      <c r="D101" s="181">
        <f>'סיכום לועדה- הזנת נתונים'!N101</f>
        <v>295000</v>
      </c>
      <c r="E101" s="181">
        <f>סיכום!I101</f>
        <v>35122.32314662393</v>
      </c>
      <c r="F101" s="140">
        <f t="shared" si="31"/>
        <v>0</v>
      </c>
      <c r="G101" s="181">
        <f t="shared" si="32"/>
        <v>35122.32314662393</v>
      </c>
      <c r="H101" s="181">
        <f t="shared" si="24"/>
        <v>35122.323146623952</v>
      </c>
      <c r="I101" s="188">
        <f t="shared" si="33"/>
        <v>0</v>
      </c>
      <c r="J101" s="189">
        <f t="shared" si="34"/>
        <v>35122.323146623952</v>
      </c>
      <c r="K101" s="189">
        <f t="shared" si="25"/>
        <v>35122.323146623959</v>
      </c>
      <c r="L101" s="188">
        <f t="shared" si="35"/>
        <v>0</v>
      </c>
      <c r="M101" s="189">
        <f t="shared" si="36"/>
        <v>35122.323146623959</v>
      </c>
      <c r="N101" s="189">
        <f t="shared" si="26"/>
        <v>35122.323146623952</v>
      </c>
      <c r="O101" s="188">
        <f t="shared" si="37"/>
        <v>0</v>
      </c>
      <c r="P101" s="189">
        <f t="shared" si="38"/>
        <v>35122.323146623952</v>
      </c>
      <c r="Q101" s="189">
        <f t="shared" si="27"/>
        <v>35122.323146623959</v>
      </c>
      <c r="R101" s="188">
        <f t="shared" si="39"/>
        <v>0</v>
      </c>
      <c r="S101" s="189">
        <f t="shared" si="40"/>
        <v>35122.323146623959</v>
      </c>
      <c r="T101" s="189">
        <f t="shared" si="28"/>
        <v>35122.323146623952</v>
      </c>
      <c r="U101" s="180">
        <f t="shared" si="41"/>
        <v>35122.323146623952</v>
      </c>
      <c r="V101" s="129">
        <f t="shared" si="29"/>
        <v>4.3453357226097356E-3</v>
      </c>
    </row>
    <row r="102" spans="2:22" x14ac:dyDescent="0.25">
      <c r="B102" s="156">
        <f t="shared" si="30"/>
        <v>82</v>
      </c>
      <c r="C102" s="127" t="str">
        <f>סיכום!C102</f>
        <v>דנה חפוטה</v>
      </c>
      <c r="D102" s="181">
        <f>'סיכום לועדה- הזנת נתונים'!N102</f>
        <v>295000</v>
      </c>
      <c r="E102" s="181">
        <f>סיכום!I102</f>
        <v>50641.641837943338</v>
      </c>
      <c r="F102" s="140">
        <f t="shared" si="31"/>
        <v>0</v>
      </c>
      <c r="G102" s="181">
        <f t="shared" si="32"/>
        <v>50641.641837943338</v>
      </c>
      <c r="H102" s="181">
        <f t="shared" si="24"/>
        <v>50641.64183794336</v>
      </c>
      <c r="I102" s="188">
        <f t="shared" si="33"/>
        <v>0</v>
      </c>
      <c r="J102" s="189">
        <f t="shared" si="34"/>
        <v>50641.64183794336</v>
      </c>
      <c r="K102" s="189">
        <f t="shared" si="25"/>
        <v>50641.641837943374</v>
      </c>
      <c r="L102" s="188">
        <f t="shared" si="35"/>
        <v>0</v>
      </c>
      <c r="M102" s="189">
        <f t="shared" si="36"/>
        <v>50641.641837943374</v>
      </c>
      <c r="N102" s="189">
        <f t="shared" si="26"/>
        <v>50641.641837943367</v>
      </c>
      <c r="O102" s="188">
        <f t="shared" si="37"/>
        <v>0</v>
      </c>
      <c r="P102" s="189">
        <f t="shared" si="38"/>
        <v>50641.641837943367</v>
      </c>
      <c r="Q102" s="189">
        <f t="shared" si="27"/>
        <v>50641.641837943382</v>
      </c>
      <c r="R102" s="188">
        <f t="shared" si="39"/>
        <v>0</v>
      </c>
      <c r="S102" s="189">
        <f t="shared" si="40"/>
        <v>50641.641837943382</v>
      </c>
      <c r="T102" s="189">
        <f t="shared" si="28"/>
        <v>50641.641837943374</v>
      </c>
      <c r="U102" s="180">
        <f t="shared" si="41"/>
        <v>50641.641837943374</v>
      </c>
      <c r="V102" s="129">
        <f t="shared" si="29"/>
        <v>6.2653866719284872E-3</v>
      </c>
    </row>
    <row r="103" spans="2:22" x14ac:dyDescent="0.25">
      <c r="B103" s="156" t="str">
        <f t="shared" si="30"/>
        <v/>
      </c>
      <c r="C103" s="127" t="str">
        <f>סיכום!C103</f>
        <v/>
      </c>
      <c r="D103" s="181" t="str">
        <f>'סיכום לועדה- הזנת נתונים'!N103</f>
        <v/>
      </c>
      <c r="E103" s="181" t="str">
        <f>סיכום!I103</f>
        <v/>
      </c>
      <c r="F103" s="140" t="str">
        <f t="shared" si="31"/>
        <v/>
      </c>
      <c r="G103" s="181" t="str">
        <f t="shared" si="32"/>
        <v/>
      </c>
      <c r="H103" s="181" t="str">
        <f t="shared" si="24"/>
        <v/>
      </c>
      <c r="I103" s="188">
        <f t="shared" si="33"/>
        <v>0</v>
      </c>
      <c r="J103" s="189" t="str">
        <f t="shared" si="34"/>
        <v/>
      </c>
      <c r="K103" s="189" t="str">
        <f t="shared" si="25"/>
        <v/>
      </c>
      <c r="L103" s="188">
        <f t="shared" si="35"/>
        <v>0</v>
      </c>
      <c r="M103" s="189" t="str">
        <f t="shared" si="36"/>
        <v/>
      </c>
      <c r="N103" s="189" t="str">
        <f t="shared" si="26"/>
        <v/>
      </c>
      <c r="O103" s="188">
        <f t="shared" si="37"/>
        <v>0</v>
      </c>
      <c r="P103" s="189" t="str">
        <f t="shared" si="38"/>
        <v/>
      </c>
      <c r="Q103" s="189" t="str">
        <f t="shared" si="27"/>
        <v/>
      </c>
      <c r="R103" s="188">
        <f t="shared" si="39"/>
        <v>0</v>
      </c>
      <c r="S103" s="189" t="str">
        <f t="shared" si="40"/>
        <v/>
      </c>
      <c r="T103" s="189" t="str">
        <f t="shared" si="28"/>
        <v/>
      </c>
      <c r="U103" s="180" t="str">
        <f t="shared" si="41"/>
        <v/>
      </c>
      <c r="V103" s="129" t="str">
        <f t="shared" si="29"/>
        <v/>
      </c>
    </row>
    <row r="104" spans="2:22" x14ac:dyDescent="0.25">
      <c r="B104" s="156" t="str">
        <f t="shared" si="30"/>
        <v/>
      </c>
      <c r="C104" s="127" t="str">
        <f>סיכום!C104</f>
        <v/>
      </c>
      <c r="D104" s="181" t="str">
        <f>'סיכום לועדה- הזנת נתונים'!N104</f>
        <v/>
      </c>
      <c r="E104" s="181" t="str">
        <f>סיכום!I104</f>
        <v/>
      </c>
      <c r="F104" s="140" t="str">
        <f t="shared" si="31"/>
        <v/>
      </c>
      <c r="G104" s="181" t="str">
        <f t="shared" si="32"/>
        <v/>
      </c>
      <c r="H104" s="181" t="str">
        <f t="shared" si="24"/>
        <v/>
      </c>
      <c r="I104" s="188">
        <f t="shared" si="33"/>
        <v>0</v>
      </c>
      <c r="J104" s="189" t="str">
        <f t="shared" si="34"/>
        <v/>
      </c>
      <c r="K104" s="189" t="str">
        <f t="shared" si="25"/>
        <v/>
      </c>
      <c r="L104" s="188">
        <f t="shared" si="35"/>
        <v>0</v>
      </c>
      <c r="M104" s="189" t="str">
        <f t="shared" si="36"/>
        <v/>
      </c>
      <c r="N104" s="189" t="str">
        <f t="shared" si="26"/>
        <v/>
      </c>
      <c r="O104" s="188">
        <f t="shared" si="37"/>
        <v>0</v>
      </c>
      <c r="P104" s="189" t="str">
        <f t="shared" si="38"/>
        <v/>
      </c>
      <c r="Q104" s="189" t="str">
        <f t="shared" si="27"/>
        <v/>
      </c>
      <c r="R104" s="188">
        <f t="shared" si="39"/>
        <v>0</v>
      </c>
      <c r="S104" s="189" t="str">
        <f t="shared" si="40"/>
        <v/>
      </c>
      <c r="T104" s="189" t="str">
        <f t="shared" si="28"/>
        <v/>
      </c>
      <c r="U104" s="180" t="str">
        <f t="shared" si="41"/>
        <v/>
      </c>
      <c r="V104" s="129" t="str">
        <f t="shared" si="29"/>
        <v/>
      </c>
    </row>
    <row r="105" spans="2:22" x14ac:dyDescent="0.25">
      <c r="B105" s="156">
        <f t="shared" si="30"/>
        <v>85</v>
      </c>
      <c r="C105" s="127" t="str">
        <f>סיכום!C105</f>
        <v>יענק'לה פילצר</v>
      </c>
      <c r="D105" s="181">
        <f>'סיכום לועדה- הזנת נתונים'!N105</f>
        <v>295000</v>
      </c>
      <c r="E105" s="181">
        <f>סיכום!I105</f>
        <v>147543.09020021959</v>
      </c>
      <c r="F105" s="140">
        <f t="shared" si="31"/>
        <v>0</v>
      </c>
      <c r="G105" s="181">
        <f t="shared" si="32"/>
        <v>147543.09020021959</v>
      </c>
      <c r="H105" s="181">
        <f t="shared" si="24"/>
        <v>147543.09020021965</v>
      </c>
      <c r="I105" s="188">
        <f t="shared" si="33"/>
        <v>0</v>
      </c>
      <c r="J105" s="189">
        <f t="shared" si="34"/>
        <v>147543.09020021965</v>
      </c>
      <c r="K105" s="189">
        <f t="shared" si="25"/>
        <v>147543.09020021968</v>
      </c>
      <c r="L105" s="188">
        <f t="shared" si="35"/>
        <v>0</v>
      </c>
      <c r="M105" s="189">
        <f t="shared" si="36"/>
        <v>147543.09020021968</v>
      </c>
      <c r="N105" s="189">
        <f t="shared" si="26"/>
        <v>147543.09020021965</v>
      </c>
      <c r="O105" s="188">
        <f t="shared" si="37"/>
        <v>0</v>
      </c>
      <c r="P105" s="189">
        <f t="shared" si="38"/>
        <v>147543.09020021965</v>
      </c>
      <c r="Q105" s="189">
        <f t="shared" si="27"/>
        <v>147543.09020021968</v>
      </c>
      <c r="R105" s="188">
        <f t="shared" si="39"/>
        <v>0</v>
      </c>
      <c r="S105" s="189">
        <f t="shared" si="40"/>
        <v>147543.09020021968</v>
      </c>
      <c r="T105" s="189">
        <f t="shared" si="28"/>
        <v>147543.09020021965</v>
      </c>
      <c r="U105" s="180">
        <f t="shared" si="41"/>
        <v>147543.09020021965</v>
      </c>
      <c r="V105" s="129">
        <f t="shared" si="29"/>
        <v>1.8254039113379989E-2</v>
      </c>
    </row>
    <row r="106" spans="2:22" x14ac:dyDescent="0.25">
      <c r="B106" s="156">
        <f t="shared" si="30"/>
        <v>86</v>
      </c>
      <c r="C106" s="127" t="str">
        <f>סיכום!C106</f>
        <v>ענבל פינטו</v>
      </c>
      <c r="D106" s="181">
        <f>'סיכום לועדה- הזנת נתונים'!N106</f>
        <v>295000</v>
      </c>
      <c r="E106" s="181">
        <f>סיכום!I106</f>
        <v>104815.5494652968</v>
      </c>
      <c r="F106" s="140">
        <f t="shared" si="31"/>
        <v>0</v>
      </c>
      <c r="G106" s="181">
        <f t="shared" si="32"/>
        <v>104815.5494652968</v>
      </c>
      <c r="H106" s="181">
        <f t="shared" si="24"/>
        <v>104815.54946529685</v>
      </c>
      <c r="I106" s="188">
        <f t="shared" si="33"/>
        <v>0</v>
      </c>
      <c r="J106" s="189">
        <f t="shared" si="34"/>
        <v>104815.54946529685</v>
      </c>
      <c r="K106" s="189">
        <f t="shared" si="25"/>
        <v>104815.54946529686</v>
      </c>
      <c r="L106" s="188">
        <f t="shared" si="35"/>
        <v>0</v>
      </c>
      <c r="M106" s="189">
        <f t="shared" si="36"/>
        <v>104815.54946529686</v>
      </c>
      <c r="N106" s="189">
        <f t="shared" si="26"/>
        <v>104815.54946529685</v>
      </c>
      <c r="O106" s="188">
        <f t="shared" si="37"/>
        <v>0</v>
      </c>
      <c r="P106" s="189">
        <f t="shared" si="38"/>
        <v>104815.54946529685</v>
      </c>
      <c r="Q106" s="189">
        <f t="shared" si="27"/>
        <v>104815.54946529686</v>
      </c>
      <c r="R106" s="188">
        <f t="shared" si="39"/>
        <v>0</v>
      </c>
      <c r="S106" s="189">
        <f t="shared" si="40"/>
        <v>104815.54946529686</v>
      </c>
      <c r="T106" s="189">
        <f t="shared" si="28"/>
        <v>104815.54946529685</v>
      </c>
      <c r="U106" s="180">
        <f t="shared" si="41"/>
        <v>104815.54946529685</v>
      </c>
      <c r="V106" s="129">
        <f t="shared" si="29"/>
        <v>1.2967785458699137E-2</v>
      </c>
    </row>
    <row r="107" spans="2:22" x14ac:dyDescent="0.25">
      <c r="B107" s="156">
        <f t="shared" si="30"/>
        <v>87</v>
      </c>
      <c r="C107" s="127" t="str">
        <f>סיכום!C107</f>
        <v>רוני חדש</v>
      </c>
      <c r="D107" s="181">
        <f>'סיכום לועדה- הזנת נתונים'!N107</f>
        <v>295000</v>
      </c>
      <c r="E107" s="181">
        <f>סיכום!I107</f>
        <v>99915.235085259555</v>
      </c>
      <c r="F107" s="140">
        <f t="shared" si="31"/>
        <v>0</v>
      </c>
      <c r="G107" s="181">
        <f t="shared" si="32"/>
        <v>99915.235085259555</v>
      </c>
      <c r="H107" s="181">
        <f t="shared" si="24"/>
        <v>99915.235085259599</v>
      </c>
      <c r="I107" s="188">
        <f t="shared" si="33"/>
        <v>0</v>
      </c>
      <c r="J107" s="189">
        <f t="shared" si="34"/>
        <v>99915.235085259599</v>
      </c>
      <c r="K107" s="189">
        <f t="shared" si="25"/>
        <v>99915.235085259614</v>
      </c>
      <c r="L107" s="188">
        <f t="shared" si="35"/>
        <v>0</v>
      </c>
      <c r="M107" s="189">
        <f t="shared" si="36"/>
        <v>99915.235085259614</v>
      </c>
      <c r="N107" s="189">
        <f t="shared" si="26"/>
        <v>99915.235085259585</v>
      </c>
      <c r="O107" s="188">
        <f t="shared" si="37"/>
        <v>0</v>
      </c>
      <c r="P107" s="189">
        <f t="shared" si="38"/>
        <v>99915.235085259585</v>
      </c>
      <c r="Q107" s="189">
        <f t="shared" si="27"/>
        <v>99915.235085259599</v>
      </c>
      <c r="R107" s="188">
        <f t="shared" si="39"/>
        <v>0</v>
      </c>
      <c r="S107" s="189">
        <f t="shared" si="40"/>
        <v>99915.235085259599</v>
      </c>
      <c r="T107" s="189">
        <f t="shared" si="28"/>
        <v>99915.23508525957</v>
      </c>
      <c r="U107" s="180">
        <f t="shared" si="41"/>
        <v>99915.23508525957</v>
      </c>
      <c r="V107" s="129">
        <f t="shared" si="29"/>
        <v>1.2361518298104409E-2</v>
      </c>
    </row>
    <row r="108" spans="2:22" x14ac:dyDescent="0.25">
      <c r="B108" s="156">
        <f t="shared" si="30"/>
        <v>88</v>
      </c>
      <c r="C108" s="127" t="str">
        <f>סיכום!C108</f>
        <v>שחר בנימיני</v>
      </c>
      <c r="D108" s="181">
        <f>'סיכום לועדה- הזנת נתונים'!N108</f>
        <v>295000</v>
      </c>
      <c r="E108" s="181">
        <f>סיכום!I108</f>
        <v>105211.97108072019</v>
      </c>
      <c r="F108" s="140">
        <f t="shared" si="31"/>
        <v>0</v>
      </c>
      <c r="G108" s="181">
        <f t="shared" si="32"/>
        <v>105211.97108072019</v>
      </c>
      <c r="H108" s="181">
        <f t="shared" si="24"/>
        <v>105211.97108072024</v>
      </c>
      <c r="I108" s="188">
        <f t="shared" si="33"/>
        <v>0</v>
      </c>
      <c r="J108" s="189">
        <f t="shared" si="34"/>
        <v>105211.97108072024</v>
      </c>
      <c r="K108" s="189">
        <f t="shared" si="25"/>
        <v>105211.97108072026</v>
      </c>
      <c r="L108" s="188">
        <f t="shared" si="35"/>
        <v>0</v>
      </c>
      <c r="M108" s="189">
        <f t="shared" si="36"/>
        <v>105211.97108072026</v>
      </c>
      <c r="N108" s="189">
        <f t="shared" si="26"/>
        <v>105211.97108072024</v>
      </c>
      <c r="O108" s="188">
        <f t="shared" si="37"/>
        <v>0</v>
      </c>
      <c r="P108" s="189">
        <f t="shared" si="38"/>
        <v>105211.97108072024</v>
      </c>
      <c r="Q108" s="189">
        <f t="shared" si="27"/>
        <v>105211.97108072026</v>
      </c>
      <c r="R108" s="188">
        <f t="shared" si="39"/>
        <v>0</v>
      </c>
      <c r="S108" s="189">
        <f t="shared" si="40"/>
        <v>105211.97108072026</v>
      </c>
      <c r="T108" s="189">
        <f t="shared" si="28"/>
        <v>105211.97108072024</v>
      </c>
      <c r="U108" s="180">
        <f t="shared" si="41"/>
        <v>105211.97108072024</v>
      </c>
      <c r="V108" s="129">
        <f t="shared" si="29"/>
        <v>1.3016830762437238E-2</v>
      </c>
    </row>
    <row r="109" spans="2:22" x14ac:dyDescent="0.25">
      <c r="B109" s="156">
        <f t="shared" si="30"/>
        <v>89</v>
      </c>
      <c r="C109" s="127" t="str">
        <f>סיכום!C109</f>
        <v>רביד אברבאנל</v>
      </c>
      <c r="D109" s="181">
        <f>'סיכום לועדה- הזנת נתונים'!N109</f>
        <v>295000</v>
      </c>
      <c r="E109" s="181">
        <f>סיכום!I109</f>
        <v>65375.814765201132</v>
      </c>
      <c r="F109" s="140">
        <f t="shared" si="31"/>
        <v>0</v>
      </c>
      <c r="G109" s="181">
        <f t="shared" si="32"/>
        <v>65375.814765201132</v>
      </c>
      <c r="H109" s="181">
        <f t="shared" si="24"/>
        <v>65375.814765201161</v>
      </c>
      <c r="I109" s="188">
        <f t="shared" si="33"/>
        <v>0</v>
      </c>
      <c r="J109" s="189">
        <f t="shared" si="34"/>
        <v>65375.814765201161</v>
      </c>
      <c r="K109" s="189">
        <f t="shared" si="25"/>
        <v>65375.814765201176</v>
      </c>
      <c r="L109" s="188">
        <f t="shared" si="35"/>
        <v>0</v>
      </c>
      <c r="M109" s="189">
        <f t="shared" si="36"/>
        <v>65375.814765201176</v>
      </c>
      <c r="N109" s="189">
        <f t="shared" si="26"/>
        <v>65375.814765201161</v>
      </c>
      <c r="O109" s="188">
        <f t="shared" si="37"/>
        <v>0</v>
      </c>
      <c r="P109" s="189">
        <f t="shared" si="38"/>
        <v>65375.814765201161</v>
      </c>
      <c r="Q109" s="189">
        <f t="shared" si="27"/>
        <v>65375.814765201176</v>
      </c>
      <c r="R109" s="188">
        <f t="shared" si="39"/>
        <v>0</v>
      </c>
      <c r="S109" s="189">
        <f t="shared" si="40"/>
        <v>65375.814765201176</v>
      </c>
      <c r="T109" s="189">
        <f t="shared" si="28"/>
        <v>65375.814765201161</v>
      </c>
      <c r="U109" s="180">
        <f t="shared" si="41"/>
        <v>65375.814765201161</v>
      </c>
      <c r="V109" s="129">
        <f t="shared" si="29"/>
        <v>8.0882993447787387E-3</v>
      </c>
    </row>
    <row r="110" spans="2:22" x14ac:dyDescent="0.25">
      <c r="B110" s="156">
        <f t="shared" si="30"/>
        <v>90</v>
      </c>
      <c r="C110" s="127" t="str">
        <f>סיכום!C110</f>
        <v>שרון פרידמן</v>
      </c>
      <c r="D110" s="181">
        <f>'סיכום לועדה- הזנת נתונים'!N110</f>
        <v>295000</v>
      </c>
      <c r="E110" s="181">
        <f>סיכום!I110</f>
        <v>85426.572974711657</v>
      </c>
      <c r="F110" s="140">
        <f t="shared" ref="F110:F132" si="42">IF(C110="","",IF(E110&gt;$D110,1,0))</f>
        <v>0</v>
      </c>
      <c r="G110" s="181">
        <f t="shared" ref="G110:G132" si="43">IF($C110="","",IF(ISNUMBER(E110),MIN(D110:E110),E110))</f>
        <v>85426.572974711657</v>
      </c>
      <c r="H110" s="181">
        <f t="shared" ref="H110:H132" si="44">IF($C110="","",IF(F110=1,G110,G110/SUMIF(F$21:F$132,0,G$21:G$132)*($C$2-SUMIF(F$21:F$132,1,G$21:G$132))))</f>
        <v>85426.5729747117</v>
      </c>
      <c r="I110" s="188">
        <f t="shared" ref="I110:I132" si="45">IF(OR(H110&gt;$D110,$F110=1),1,0)</f>
        <v>0</v>
      </c>
      <c r="J110" s="189">
        <f t="shared" ref="J110:J132" si="46">IF($C110="","",MIN(H110,$D110))</f>
        <v>85426.5729747117</v>
      </c>
      <c r="K110" s="189">
        <f t="shared" ref="K110:K132" si="47">IF($C110="","",IF(I110=1,J110,J110/SUMIF(I$21:I$132,0,J$21:J$132)*($C$2-SUMIF(I$21:I$132,1,J$21:J$132))))</f>
        <v>85426.572974711715</v>
      </c>
      <c r="L110" s="188">
        <f t="shared" ref="L110:L132" si="48">IF(OR(K110&gt;$D110,$F110=1,$I110=1),1,0)</f>
        <v>0</v>
      </c>
      <c r="M110" s="189">
        <f t="shared" ref="M110:M132" si="49">IF($C110="","",MIN(K110,$D110))</f>
        <v>85426.572974711715</v>
      </c>
      <c r="N110" s="189">
        <f t="shared" ref="N110:N132" si="50">IF($C110="","",IF(L110=1,M110,M110/SUMIF(L$21:L$132,0,M$21:M$132)*($C$2-SUMIF(L$21:L$132,1,M$21:M$132))))</f>
        <v>85426.5729747117</v>
      </c>
      <c r="O110" s="188">
        <f t="shared" ref="O110:O132" si="51">IF(OR(N110&gt;$D110,$F110=1,$I110=1,$L110=1),1,0)</f>
        <v>0</v>
      </c>
      <c r="P110" s="189">
        <f t="shared" ref="P110:P132" si="52">IF($C110="","",MIN(N110,$D110))</f>
        <v>85426.5729747117</v>
      </c>
      <c r="Q110" s="189">
        <f t="shared" ref="Q110:Q132" si="53">IF($C110="","",IF(O110=2,P110,IF(O110=1,P110,P110/SUMIF(O$21:O$132,0,P$21:P$132)*($C$2-SUMIF(O$21:O$132,1,P$21:P$132)-SUMIF(O$21:O$132,2,P$21:P$132)))))</f>
        <v>85426.572974711715</v>
      </c>
      <c r="R110" s="188">
        <f t="shared" ref="R110:R132" si="54">IF(OR(Q110&gt;$D110,$F110=1,$I110=1,$L110=1,$O110=1),1,0)</f>
        <v>0</v>
      </c>
      <c r="S110" s="189">
        <f t="shared" ref="S110:S132" si="55">IF($C110="","",MIN(Q110,$D110))</f>
        <v>85426.572974711715</v>
      </c>
      <c r="T110" s="189">
        <f t="shared" ref="T110:T132" si="56">IF($C110="","",IF(R110=2,S110,IF(R110=1,S110,S110/SUMIF(R$21:R$132,0,S$21:S$132)*($C$2-SUMIF(R$21:R$132,1,S$21:S$132)-SUMIF(R$21:R$132,2,S$21:S$132)))))</f>
        <v>85426.5729747117</v>
      </c>
      <c r="U110" s="180">
        <f t="shared" ref="U110:U120" si="57">IF(ISNUMBER(E110),IFERROR(T110,0),E110)</f>
        <v>85426.5729747117</v>
      </c>
      <c r="V110" s="129">
        <f t="shared" ref="V110:V117" si="58">IF(C110="","",IFERROR(U110/SUMIF($U$21:$U$132,"&lt;&gt;#DIV/0!"),0))</f>
        <v>1.0568980236799159E-2</v>
      </c>
    </row>
    <row r="111" spans="2:22" x14ac:dyDescent="0.25">
      <c r="B111" s="156">
        <f t="shared" si="30"/>
        <v>91</v>
      </c>
      <c r="C111" s="127" t="str">
        <f>סיכום!C111</f>
        <v>מירב כהן</v>
      </c>
      <c r="D111" s="181">
        <f>'סיכום לועדה- הזנת נתונים'!N111</f>
        <v>295000</v>
      </c>
      <c r="E111" s="181">
        <f>סיכום!I111</f>
        <v>41436.98133154682</v>
      </c>
      <c r="F111" s="140">
        <f t="shared" si="42"/>
        <v>0</v>
      </c>
      <c r="G111" s="181">
        <f t="shared" si="43"/>
        <v>41436.98133154682</v>
      </c>
      <c r="H111" s="181">
        <f t="shared" si="44"/>
        <v>41436.981331546842</v>
      </c>
      <c r="I111" s="188">
        <f t="shared" si="45"/>
        <v>0</v>
      </c>
      <c r="J111" s="189">
        <f t="shared" si="46"/>
        <v>41436.981331546842</v>
      </c>
      <c r="K111" s="189">
        <f t="shared" si="47"/>
        <v>41436.981331546849</v>
      </c>
      <c r="L111" s="188">
        <f t="shared" si="48"/>
        <v>0</v>
      </c>
      <c r="M111" s="189">
        <f t="shared" si="49"/>
        <v>41436.981331546849</v>
      </c>
      <c r="N111" s="189">
        <f t="shared" si="50"/>
        <v>41436.981331546842</v>
      </c>
      <c r="O111" s="188">
        <f t="shared" si="51"/>
        <v>0</v>
      </c>
      <c r="P111" s="189">
        <f t="shared" si="52"/>
        <v>41436.981331546842</v>
      </c>
      <c r="Q111" s="189">
        <f t="shared" si="53"/>
        <v>41436.981331546849</v>
      </c>
      <c r="R111" s="188">
        <f t="shared" si="54"/>
        <v>0</v>
      </c>
      <c r="S111" s="189">
        <f t="shared" si="55"/>
        <v>41436.981331546849</v>
      </c>
      <c r="T111" s="189">
        <f t="shared" si="56"/>
        <v>41436.981331546842</v>
      </c>
      <c r="U111" s="180">
        <f t="shared" si="57"/>
        <v>41436.981331546842</v>
      </c>
      <c r="V111" s="129">
        <f t="shared" si="58"/>
        <v>5.1265855753733318E-3</v>
      </c>
    </row>
    <row r="112" spans="2:22" x14ac:dyDescent="0.25">
      <c r="B112" s="156">
        <f t="shared" si="30"/>
        <v>92</v>
      </c>
      <c r="C112" s="127" t="str">
        <f>סיכום!C112</f>
        <v>קים טייטלבאום</v>
      </c>
      <c r="D112" s="181">
        <f>'סיכום לועדה- הזנת נתונים'!N112</f>
        <v>295000</v>
      </c>
      <c r="E112" s="181">
        <f>סיכום!I112</f>
        <v>47314.32935596841</v>
      </c>
      <c r="F112" s="140">
        <f t="shared" si="42"/>
        <v>0</v>
      </c>
      <c r="G112" s="181">
        <f t="shared" si="43"/>
        <v>47314.32935596841</v>
      </c>
      <c r="H112" s="181">
        <f t="shared" si="44"/>
        <v>47314.329355968432</v>
      </c>
      <c r="I112" s="188">
        <f t="shared" si="45"/>
        <v>0</v>
      </c>
      <c r="J112" s="189">
        <f t="shared" si="46"/>
        <v>47314.329355968432</v>
      </c>
      <c r="K112" s="189">
        <f t="shared" si="47"/>
        <v>47314.329355968446</v>
      </c>
      <c r="L112" s="188">
        <f t="shared" si="48"/>
        <v>0</v>
      </c>
      <c r="M112" s="189">
        <f t="shared" si="49"/>
        <v>47314.329355968446</v>
      </c>
      <c r="N112" s="189">
        <f t="shared" si="50"/>
        <v>47314.329355968439</v>
      </c>
      <c r="O112" s="188">
        <f t="shared" si="51"/>
        <v>0</v>
      </c>
      <c r="P112" s="189">
        <f t="shared" si="52"/>
        <v>47314.329355968439</v>
      </c>
      <c r="Q112" s="189">
        <f t="shared" si="53"/>
        <v>47314.329355968453</v>
      </c>
      <c r="R112" s="188">
        <f t="shared" si="54"/>
        <v>0</v>
      </c>
      <c r="S112" s="189">
        <f t="shared" si="55"/>
        <v>47314.329355968453</v>
      </c>
      <c r="T112" s="189">
        <f t="shared" si="56"/>
        <v>47314.329355968446</v>
      </c>
      <c r="U112" s="180">
        <f t="shared" si="57"/>
        <v>47314.329355968446</v>
      </c>
      <c r="V112" s="129">
        <f t="shared" si="58"/>
        <v>5.8537313913864684E-3</v>
      </c>
    </row>
    <row r="113" spans="2:22" x14ac:dyDescent="0.25">
      <c r="B113" s="156" t="str">
        <f t="shared" si="30"/>
        <v/>
      </c>
      <c r="C113" s="127" t="str">
        <f>סיכום!C113</f>
        <v/>
      </c>
      <c r="D113" s="181" t="str">
        <f>'סיכום לועדה- הזנת נתונים'!N113</f>
        <v/>
      </c>
      <c r="E113" s="181" t="str">
        <f>סיכום!I113</f>
        <v/>
      </c>
      <c r="F113" s="140" t="str">
        <f t="shared" si="42"/>
        <v/>
      </c>
      <c r="G113" s="181" t="str">
        <f t="shared" si="43"/>
        <v/>
      </c>
      <c r="H113" s="181" t="str">
        <f t="shared" si="44"/>
        <v/>
      </c>
      <c r="I113" s="188">
        <f t="shared" si="45"/>
        <v>0</v>
      </c>
      <c r="J113" s="189" t="str">
        <f t="shared" si="46"/>
        <v/>
      </c>
      <c r="K113" s="189" t="str">
        <f t="shared" si="47"/>
        <v/>
      </c>
      <c r="L113" s="188">
        <f t="shared" si="48"/>
        <v>0</v>
      </c>
      <c r="M113" s="189" t="str">
        <f t="shared" si="49"/>
        <v/>
      </c>
      <c r="N113" s="189" t="str">
        <f t="shared" si="50"/>
        <v/>
      </c>
      <c r="O113" s="188">
        <f t="shared" si="51"/>
        <v>0</v>
      </c>
      <c r="P113" s="189" t="str">
        <f t="shared" si="52"/>
        <v/>
      </c>
      <c r="Q113" s="189" t="str">
        <f t="shared" si="53"/>
        <v/>
      </c>
      <c r="R113" s="188">
        <f t="shared" si="54"/>
        <v>0</v>
      </c>
      <c r="S113" s="189" t="str">
        <f t="shared" si="55"/>
        <v/>
      </c>
      <c r="T113" s="189" t="str">
        <f t="shared" si="56"/>
        <v/>
      </c>
      <c r="U113" s="180" t="str">
        <f t="shared" si="57"/>
        <v/>
      </c>
      <c r="V113" s="129" t="str">
        <f t="shared" si="58"/>
        <v/>
      </c>
    </row>
    <row r="114" spans="2:22" x14ac:dyDescent="0.25">
      <c r="B114" s="156">
        <f t="shared" si="30"/>
        <v>94</v>
      </c>
      <c r="C114" s="127" t="str">
        <f>סיכום!C114</f>
        <v>מאי זרחי</v>
      </c>
      <c r="D114" s="181">
        <f>'סיכום לועדה- הזנת נתונים'!N114</f>
        <v>295000</v>
      </c>
      <c r="E114" s="181">
        <f>סיכום!I114</f>
        <v>46611.395861812998</v>
      </c>
      <c r="F114" s="140">
        <f t="shared" si="42"/>
        <v>0</v>
      </c>
      <c r="G114" s="181">
        <f t="shared" si="43"/>
        <v>46611.395861812998</v>
      </c>
      <c r="H114" s="181">
        <f t="shared" si="44"/>
        <v>46611.39586181302</v>
      </c>
      <c r="I114" s="188">
        <f t="shared" si="45"/>
        <v>0</v>
      </c>
      <c r="J114" s="189">
        <f t="shared" si="46"/>
        <v>46611.39586181302</v>
      </c>
      <c r="K114" s="189">
        <f t="shared" si="47"/>
        <v>46611.395861813027</v>
      </c>
      <c r="L114" s="188">
        <f t="shared" si="48"/>
        <v>0</v>
      </c>
      <c r="M114" s="189">
        <f t="shared" si="49"/>
        <v>46611.395861813027</v>
      </c>
      <c r="N114" s="189">
        <f t="shared" si="50"/>
        <v>46611.39586181302</v>
      </c>
      <c r="O114" s="188">
        <f t="shared" si="51"/>
        <v>0</v>
      </c>
      <c r="P114" s="189">
        <f t="shared" si="52"/>
        <v>46611.39586181302</v>
      </c>
      <c r="Q114" s="189">
        <f t="shared" si="53"/>
        <v>46611.395861813027</v>
      </c>
      <c r="R114" s="188">
        <f t="shared" si="54"/>
        <v>0</v>
      </c>
      <c r="S114" s="189">
        <f t="shared" si="55"/>
        <v>46611.395861813027</v>
      </c>
      <c r="T114" s="189">
        <f t="shared" si="56"/>
        <v>46611.39586181302</v>
      </c>
      <c r="U114" s="180">
        <f t="shared" si="57"/>
        <v>46611.39586181302</v>
      </c>
      <c r="V114" s="129">
        <f t="shared" si="58"/>
        <v>5.7667644214049836E-3</v>
      </c>
    </row>
    <row r="115" spans="2:22" x14ac:dyDescent="0.25">
      <c r="B115" s="156">
        <f t="shared" si="30"/>
        <v>95</v>
      </c>
      <c r="C115" s="127" t="str">
        <f>סיכום!C115</f>
        <v>דנה מרכוס</v>
      </c>
      <c r="D115" s="181">
        <f>'סיכום לועדה- הזנת נתונים'!N115</f>
        <v>295000</v>
      </c>
      <c r="E115" s="181">
        <f>סיכום!I115</f>
        <v>56210.924039478617</v>
      </c>
      <c r="F115" s="140">
        <f t="shared" si="42"/>
        <v>0</v>
      </c>
      <c r="G115" s="181">
        <f t="shared" si="43"/>
        <v>56210.924039478617</v>
      </c>
      <c r="H115" s="181">
        <f t="shared" si="44"/>
        <v>56210.924039478639</v>
      </c>
      <c r="I115" s="188">
        <f t="shared" si="45"/>
        <v>0</v>
      </c>
      <c r="J115" s="189">
        <f t="shared" si="46"/>
        <v>56210.924039478639</v>
      </c>
      <c r="K115" s="189">
        <f t="shared" si="47"/>
        <v>56210.924039478654</v>
      </c>
      <c r="L115" s="188">
        <f t="shared" si="48"/>
        <v>0</v>
      </c>
      <c r="M115" s="189">
        <f t="shared" si="49"/>
        <v>56210.924039478654</v>
      </c>
      <c r="N115" s="189">
        <f t="shared" si="50"/>
        <v>56210.924039478639</v>
      </c>
      <c r="O115" s="188">
        <f t="shared" si="51"/>
        <v>0</v>
      </c>
      <c r="P115" s="189">
        <f t="shared" si="52"/>
        <v>56210.924039478639</v>
      </c>
      <c r="Q115" s="189">
        <f t="shared" si="53"/>
        <v>56210.924039478654</v>
      </c>
      <c r="R115" s="188">
        <f t="shared" si="54"/>
        <v>0</v>
      </c>
      <c r="S115" s="189">
        <f t="shared" si="55"/>
        <v>56210.924039478654</v>
      </c>
      <c r="T115" s="189">
        <f t="shared" si="56"/>
        <v>56210.924039478639</v>
      </c>
      <c r="U115" s="180">
        <f t="shared" si="57"/>
        <v>56210.924039478639</v>
      </c>
      <c r="V115" s="129">
        <f t="shared" si="58"/>
        <v>6.9544185676432783E-3</v>
      </c>
    </row>
    <row r="116" spans="2:22" x14ac:dyDescent="0.25">
      <c r="B116" s="156" t="str">
        <f t="shared" si="30"/>
        <v/>
      </c>
      <c r="C116" s="127" t="str">
        <f>סיכום!C116</f>
        <v/>
      </c>
      <c r="D116" s="181" t="str">
        <f>'סיכום לועדה- הזנת נתונים'!N116</f>
        <v/>
      </c>
      <c r="E116" s="181" t="str">
        <f>סיכום!I116</f>
        <v/>
      </c>
      <c r="F116" s="140" t="str">
        <f t="shared" si="42"/>
        <v/>
      </c>
      <c r="G116" s="181" t="str">
        <f t="shared" si="43"/>
        <v/>
      </c>
      <c r="H116" s="181" t="str">
        <f t="shared" si="44"/>
        <v/>
      </c>
      <c r="I116" s="188">
        <f t="shared" si="45"/>
        <v>0</v>
      </c>
      <c r="J116" s="189" t="str">
        <f t="shared" si="46"/>
        <v/>
      </c>
      <c r="K116" s="189" t="str">
        <f t="shared" si="47"/>
        <v/>
      </c>
      <c r="L116" s="188">
        <f t="shared" si="48"/>
        <v>0</v>
      </c>
      <c r="M116" s="189" t="str">
        <f t="shared" si="49"/>
        <v/>
      </c>
      <c r="N116" s="189" t="str">
        <f t="shared" si="50"/>
        <v/>
      </c>
      <c r="O116" s="188">
        <f t="shared" si="51"/>
        <v>0</v>
      </c>
      <c r="P116" s="189" t="str">
        <f t="shared" si="52"/>
        <v/>
      </c>
      <c r="Q116" s="189" t="str">
        <f t="shared" si="53"/>
        <v/>
      </c>
      <c r="R116" s="188">
        <f t="shared" si="54"/>
        <v>0</v>
      </c>
      <c r="S116" s="189" t="str">
        <f t="shared" si="55"/>
        <v/>
      </c>
      <c r="T116" s="189" t="str">
        <f t="shared" si="56"/>
        <v/>
      </c>
      <c r="U116" s="180" t="str">
        <f t="shared" si="57"/>
        <v/>
      </c>
      <c r="V116" s="129" t="str">
        <f t="shared" si="58"/>
        <v/>
      </c>
    </row>
    <row r="117" spans="2:22" x14ac:dyDescent="0.25">
      <c r="B117" s="156" t="str">
        <f t="shared" si="30"/>
        <v/>
      </c>
      <c r="C117" s="127" t="str">
        <f>סיכום!C117</f>
        <v/>
      </c>
      <c r="D117" s="181" t="str">
        <f>'סיכום לועדה- הזנת נתונים'!N117</f>
        <v/>
      </c>
      <c r="E117" s="181" t="str">
        <f>סיכום!I117</f>
        <v/>
      </c>
      <c r="F117" s="140" t="str">
        <f t="shared" si="42"/>
        <v/>
      </c>
      <c r="G117" s="181" t="str">
        <f t="shared" si="43"/>
        <v/>
      </c>
      <c r="H117" s="181" t="str">
        <f t="shared" si="44"/>
        <v/>
      </c>
      <c r="I117" s="188">
        <f t="shared" si="45"/>
        <v>0</v>
      </c>
      <c r="J117" s="189" t="str">
        <f t="shared" si="46"/>
        <v/>
      </c>
      <c r="K117" s="189" t="str">
        <f t="shared" si="47"/>
        <v/>
      </c>
      <c r="L117" s="188">
        <f t="shared" si="48"/>
        <v>0</v>
      </c>
      <c r="M117" s="189" t="str">
        <f t="shared" si="49"/>
        <v/>
      </c>
      <c r="N117" s="189" t="str">
        <f t="shared" si="50"/>
        <v/>
      </c>
      <c r="O117" s="188">
        <f t="shared" si="51"/>
        <v>0</v>
      </c>
      <c r="P117" s="189" t="str">
        <f t="shared" si="52"/>
        <v/>
      </c>
      <c r="Q117" s="189" t="str">
        <f t="shared" si="53"/>
        <v/>
      </c>
      <c r="R117" s="188">
        <f t="shared" si="54"/>
        <v>0</v>
      </c>
      <c r="S117" s="189" t="str">
        <f t="shared" si="55"/>
        <v/>
      </c>
      <c r="T117" s="189" t="str">
        <f t="shared" si="56"/>
        <v/>
      </c>
      <c r="U117" s="180" t="str">
        <f t="shared" si="57"/>
        <v/>
      </c>
      <c r="V117" s="129" t="str">
        <f t="shared" si="58"/>
        <v/>
      </c>
    </row>
    <row r="118" spans="2:22" x14ac:dyDescent="0.25">
      <c r="B118" s="156">
        <f t="shared" si="30"/>
        <v>98</v>
      </c>
      <c r="C118" s="127" t="str">
        <f>סיכום!C118</f>
        <v>שקד מוכיח</v>
      </c>
      <c r="D118" s="181">
        <f>'סיכום לועדה- הזנת נתונים'!N118</f>
        <v>295000</v>
      </c>
      <c r="E118" s="181">
        <f>סיכום!I118</f>
        <v>87082.385534881279</v>
      </c>
      <c r="F118" s="140">
        <f t="shared" si="42"/>
        <v>0</v>
      </c>
      <c r="G118" s="181">
        <f t="shared" si="43"/>
        <v>87082.385534881279</v>
      </c>
      <c r="H118" s="181">
        <f t="shared" si="44"/>
        <v>87082.385534881323</v>
      </c>
      <c r="I118" s="188">
        <f t="shared" si="45"/>
        <v>0</v>
      </c>
      <c r="J118" s="189">
        <f t="shared" si="46"/>
        <v>87082.385534881323</v>
      </c>
      <c r="K118" s="189">
        <f t="shared" si="47"/>
        <v>87082.385534881352</v>
      </c>
      <c r="L118" s="188">
        <f t="shared" si="48"/>
        <v>0</v>
      </c>
      <c r="M118" s="189">
        <f t="shared" si="49"/>
        <v>87082.385534881352</v>
      </c>
      <c r="N118" s="189">
        <f t="shared" si="50"/>
        <v>87082.385534881338</v>
      </c>
      <c r="O118" s="188">
        <f t="shared" si="51"/>
        <v>0</v>
      </c>
      <c r="P118" s="189">
        <f t="shared" si="52"/>
        <v>87082.385534881338</v>
      </c>
      <c r="Q118" s="189">
        <f t="shared" si="53"/>
        <v>87082.385534881367</v>
      </c>
      <c r="R118" s="188">
        <f t="shared" si="54"/>
        <v>0</v>
      </c>
      <c r="S118" s="189">
        <f t="shared" si="55"/>
        <v>87082.385534881367</v>
      </c>
      <c r="T118" s="189">
        <f t="shared" si="56"/>
        <v>87082.385534881352</v>
      </c>
      <c r="U118" s="180">
        <f t="shared" si="57"/>
        <v>87082.385534881352</v>
      </c>
      <c r="V118" s="129">
        <f t="shared" ref="V118:V120" si="59">IF(C118="","",IFERROR(U118/SUMIF($U$21:$U$132,"&lt;&gt;#DIV/0!"),0))</f>
        <v>1.0773837456454423E-2</v>
      </c>
    </row>
    <row r="119" spans="2:22" x14ac:dyDescent="0.25">
      <c r="B119" s="156">
        <f t="shared" ref="B119:B120" si="60">IF(C119="","",ROW()-20)</f>
        <v>99</v>
      </c>
      <c r="C119" s="127" t="str">
        <f>סיכום!C119</f>
        <v>שרון הללי אסא</v>
      </c>
      <c r="D119" s="181">
        <f>'סיכום לועדה- הזנת נתונים'!N119</f>
        <v>295000</v>
      </c>
      <c r="E119" s="181">
        <f>סיכום!I119</f>
        <v>82462.242590156486</v>
      </c>
      <c r="F119" s="140">
        <f t="shared" si="42"/>
        <v>0</v>
      </c>
      <c r="G119" s="181">
        <f t="shared" si="43"/>
        <v>82462.242590156486</v>
      </c>
      <c r="H119" s="181">
        <f t="shared" si="44"/>
        <v>82462.242590156515</v>
      </c>
      <c r="I119" s="188">
        <f t="shared" si="45"/>
        <v>0</v>
      </c>
      <c r="J119" s="189">
        <f t="shared" si="46"/>
        <v>82462.242590156515</v>
      </c>
      <c r="K119" s="189">
        <f t="shared" si="47"/>
        <v>82462.242590156529</v>
      </c>
      <c r="L119" s="188">
        <f t="shared" si="48"/>
        <v>0</v>
      </c>
      <c r="M119" s="189">
        <f t="shared" si="49"/>
        <v>82462.242590156529</v>
      </c>
      <c r="N119" s="189">
        <f t="shared" si="50"/>
        <v>82462.2425901565</v>
      </c>
      <c r="O119" s="188">
        <f t="shared" si="51"/>
        <v>0</v>
      </c>
      <c r="P119" s="189">
        <f t="shared" si="52"/>
        <v>82462.2425901565</v>
      </c>
      <c r="Q119" s="189">
        <f t="shared" si="53"/>
        <v>82462.242590156515</v>
      </c>
      <c r="R119" s="188">
        <f t="shared" si="54"/>
        <v>0</v>
      </c>
      <c r="S119" s="189">
        <f t="shared" si="55"/>
        <v>82462.242590156515</v>
      </c>
      <c r="T119" s="189">
        <f t="shared" si="56"/>
        <v>82462.242590156486</v>
      </c>
      <c r="U119" s="180">
        <f t="shared" si="57"/>
        <v>82462.242590156486</v>
      </c>
      <c r="V119" s="129">
        <f t="shared" si="59"/>
        <v>1.0202233121016091E-2</v>
      </c>
    </row>
    <row r="120" spans="2:22" x14ac:dyDescent="0.25">
      <c r="B120" s="156">
        <f t="shared" si="60"/>
        <v>100</v>
      </c>
      <c r="C120" s="127" t="str">
        <f>סיכום!C120</f>
        <v>להקת ג'אם</v>
      </c>
      <c r="D120" s="181">
        <f>'סיכום לועדה- הזנת נתונים'!N120</f>
        <v>150000</v>
      </c>
      <c r="E120" s="181">
        <f>סיכום!I120</f>
        <v>51108.864394382734</v>
      </c>
      <c r="F120" s="140">
        <f t="shared" si="42"/>
        <v>0</v>
      </c>
      <c r="G120" s="181">
        <f t="shared" si="43"/>
        <v>51108.864394382734</v>
      </c>
      <c r="H120" s="181">
        <f t="shared" si="44"/>
        <v>51108.864394382756</v>
      </c>
      <c r="I120" s="188">
        <f t="shared" si="45"/>
        <v>0</v>
      </c>
      <c r="J120" s="189">
        <f t="shared" si="46"/>
        <v>51108.864394382756</v>
      </c>
      <c r="K120" s="189">
        <f t="shared" si="47"/>
        <v>51108.86439438277</v>
      </c>
      <c r="L120" s="188">
        <f t="shared" si="48"/>
        <v>0</v>
      </c>
      <c r="M120" s="189">
        <f t="shared" si="49"/>
        <v>51108.86439438277</v>
      </c>
      <c r="N120" s="189">
        <f t="shared" si="50"/>
        <v>51108.864394382756</v>
      </c>
      <c r="O120" s="188">
        <f t="shared" si="51"/>
        <v>0</v>
      </c>
      <c r="P120" s="189">
        <f t="shared" si="52"/>
        <v>51108.864394382756</v>
      </c>
      <c r="Q120" s="189">
        <f t="shared" si="53"/>
        <v>51108.86439438277</v>
      </c>
      <c r="R120" s="188">
        <f t="shared" si="54"/>
        <v>0</v>
      </c>
      <c r="S120" s="189">
        <f t="shared" si="55"/>
        <v>51108.86439438277</v>
      </c>
      <c r="T120" s="189">
        <f t="shared" si="56"/>
        <v>51108.864394382756</v>
      </c>
      <c r="U120" s="180">
        <f t="shared" si="57"/>
        <v>51108.864394382756</v>
      </c>
      <c r="V120" s="129">
        <f t="shared" si="59"/>
        <v>6.3231914719250456E-3</v>
      </c>
    </row>
    <row r="121" spans="2:22" x14ac:dyDescent="0.25">
      <c r="B121" s="156" t="str">
        <f t="shared" ref="B121:B132" si="61">IF(C121="","",ROW()-20)</f>
        <v/>
      </c>
      <c r="C121" s="127" t="str">
        <f>סיכום!C121</f>
        <v/>
      </c>
      <c r="D121" s="181" t="str">
        <f>'סיכום לועדה- הזנת נתונים'!N121</f>
        <v/>
      </c>
      <c r="E121" s="181" t="str">
        <f>סיכום!I121</f>
        <v/>
      </c>
      <c r="F121" s="140" t="str">
        <f t="shared" si="42"/>
        <v/>
      </c>
      <c r="G121" s="181" t="str">
        <f t="shared" si="43"/>
        <v/>
      </c>
      <c r="H121" s="181" t="str">
        <f t="shared" si="44"/>
        <v/>
      </c>
      <c r="I121" s="188">
        <f t="shared" si="45"/>
        <v>0</v>
      </c>
      <c r="J121" s="189" t="str">
        <f t="shared" si="46"/>
        <v/>
      </c>
      <c r="K121" s="189" t="str">
        <f t="shared" si="47"/>
        <v/>
      </c>
      <c r="L121" s="188">
        <f t="shared" si="48"/>
        <v>0</v>
      </c>
      <c r="M121" s="189" t="str">
        <f t="shared" si="49"/>
        <v/>
      </c>
      <c r="N121" s="189" t="str">
        <f t="shared" si="50"/>
        <v/>
      </c>
      <c r="O121" s="188">
        <f t="shared" si="51"/>
        <v>0</v>
      </c>
      <c r="P121" s="189" t="str">
        <f t="shared" si="52"/>
        <v/>
      </c>
      <c r="Q121" s="189" t="str">
        <f t="shared" si="53"/>
        <v/>
      </c>
      <c r="R121" s="188">
        <f t="shared" si="54"/>
        <v>0</v>
      </c>
      <c r="S121" s="189" t="str">
        <f t="shared" si="55"/>
        <v/>
      </c>
      <c r="T121" s="189" t="str">
        <f t="shared" si="56"/>
        <v/>
      </c>
      <c r="U121" s="180" t="str">
        <f t="shared" ref="U121:U132" si="62">IF(ISNUMBER(E121),IFERROR(T121,0),E121)</f>
        <v/>
      </c>
      <c r="V121" s="129" t="str">
        <f t="shared" ref="V121:V132" si="63">IF(C121="","",IFERROR(U121/SUMIF($U$21:$U$132,"&lt;&gt;#DIV/0!"),0))</f>
        <v/>
      </c>
    </row>
    <row r="122" spans="2:22" x14ac:dyDescent="0.25">
      <c r="B122" s="156" t="str">
        <f t="shared" si="61"/>
        <v/>
      </c>
      <c r="C122" s="127" t="str">
        <f>סיכום!C122</f>
        <v/>
      </c>
      <c r="D122" s="181" t="str">
        <f>'סיכום לועדה- הזנת נתונים'!N122</f>
        <v/>
      </c>
      <c r="E122" s="181" t="str">
        <f>סיכום!I122</f>
        <v/>
      </c>
      <c r="F122" s="140" t="str">
        <f t="shared" si="42"/>
        <v/>
      </c>
      <c r="G122" s="181" t="str">
        <f t="shared" si="43"/>
        <v/>
      </c>
      <c r="H122" s="181" t="str">
        <f t="shared" si="44"/>
        <v/>
      </c>
      <c r="I122" s="188">
        <f t="shared" si="45"/>
        <v>0</v>
      </c>
      <c r="J122" s="189" t="str">
        <f t="shared" si="46"/>
        <v/>
      </c>
      <c r="K122" s="189" t="str">
        <f t="shared" si="47"/>
        <v/>
      </c>
      <c r="L122" s="188">
        <f t="shared" si="48"/>
        <v>0</v>
      </c>
      <c r="M122" s="189" t="str">
        <f t="shared" si="49"/>
        <v/>
      </c>
      <c r="N122" s="189" t="str">
        <f t="shared" si="50"/>
        <v/>
      </c>
      <c r="O122" s="188">
        <f t="shared" si="51"/>
        <v>0</v>
      </c>
      <c r="P122" s="189" t="str">
        <f t="shared" si="52"/>
        <v/>
      </c>
      <c r="Q122" s="189" t="str">
        <f t="shared" si="53"/>
        <v/>
      </c>
      <c r="R122" s="188">
        <f t="shared" si="54"/>
        <v>0</v>
      </c>
      <c r="S122" s="189" t="str">
        <f t="shared" si="55"/>
        <v/>
      </c>
      <c r="T122" s="189" t="str">
        <f t="shared" si="56"/>
        <v/>
      </c>
      <c r="U122" s="180" t="str">
        <f t="shared" si="62"/>
        <v/>
      </c>
      <c r="V122" s="129" t="str">
        <f t="shared" si="63"/>
        <v/>
      </c>
    </row>
    <row r="123" spans="2:22" x14ac:dyDescent="0.25">
      <c r="B123" s="156" t="str">
        <f t="shared" si="61"/>
        <v/>
      </c>
      <c r="C123" s="127" t="str">
        <f>סיכום!C123</f>
        <v/>
      </c>
      <c r="D123" s="181" t="str">
        <f>'סיכום לועדה- הזנת נתונים'!N123</f>
        <v/>
      </c>
      <c r="E123" s="181" t="str">
        <f>סיכום!I123</f>
        <v/>
      </c>
      <c r="F123" s="140" t="str">
        <f t="shared" si="42"/>
        <v/>
      </c>
      <c r="G123" s="181" t="str">
        <f t="shared" si="43"/>
        <v/>
      </c>
      <c r="H123" s="181" t="str">
        <f t="shared" si="44"/>
        <v/>
      </c>
      <c r="I123" s="188">
        <f t="shared" si="45"/>
        <v>0</v>
      </c>
      <c r="J123" s="189" t="str">
        <f t="shared" si="46"/>
        <v/>
      </c>
      <c r="K123" s="189" t="str">
        <f t="shared" si="47"/>
        <v/>
      </c>
      <c r="L123" s="188">
        <f t="shared" si="48"/>
        <v>0</v>
      </c>
      <c r="M123" s="189" t="str">
        <f t="shared" si="49"/>
        <v/>
      </c>
      <c r="N123" s="189" t="str">
        <f t="shared" si="50"/>
        <v/>
      </c>
      <c r="O123" s="188">
        <f t="shared" si="51"/>
        <v>0</v>
      </c>
      <c r="P123" s="189" t="str">
        <f t="shared" si="52"/>
        <v/>
      </c>
      <c r="Q123" s="189" t="str">
        <f t="shared" si="53"/>
        <v/>
      </c>
      <c r="R123" s="188">
        <f t="shared" si="54"/>
        <v>0</v>
      </c>
      <c r="S123" s="189" t="str">
        <f t="shared" si="55"/>
        <v/>
      </c>
      <c r="T123" s="189" t="str">
        <f t="shared" si="56"/>
        <v/>
      </c>
      <c r="U123" s="180" t="str">
        <f t="shared" si="62"/>
        <v/>
      </c>
      <c r="V123" s="129" t="str">
        <f t="shared" si="63"/>
        <v/>
      </c>
    </row>
    <row r="124" spans="2:22" x14ac:dyDescent="0.25">
      <c r="B124" s="156" t="str">
        <f t="shared" si="61"/>
        <v/>
      </c>
      <c r="C124" s="127" t="str">
        <f>סיכום!C124</f>
        <v/>
      </c>
      <c r="D124" s="181" t="str">
        <f>'סיכום לועדה- הזנת נתונים'!N124</f>
        <v/>
      </c>
      <c r="E124" s="181" t="str">
        <f>סיכום!I124</f>
        <v/>
      </c>
      <c r="F124" s="140" t="str">
        <f t="shared" si="42"/>
        <v/>
      </c>
      <c r="G124" s="181" t="str">
        <f t="shared" si="43"/>
        <v/>
      </c>
      <c r="H124" s="181" t="str">
        <f t="shared" si="44"/>
        <v/>
      </c>
      <c r="I124" s="188">
        <f t="shared" si="45"/>
        <v>0</v>
      </c>
      <c r="J124" s="189" t="str">
        <f t="shared" si="46"/>
        <v/>
      </c>
      <c r="K124" s="189" t="str">
        <f t="shared" si="47"/>
        <v/>
      </c>
      <c r="L124" s="188">
        <f t="shared" si="48"/>
        <v>0</v>
      </c>
      <c r="M124" s="189" t="str">
        <f t="shared" si="49"/>
        <v/>
      </c>
      <c r="N124" s="189" t="str">
        <f t="shared" si="50"/>
        <v/>
      </c>
      <c r="O124" s="188">
        <f t="shared" si="51"/>
        <v>0</v>
      </c>
      <c r="P124" s="189" t="str">
        <f t="shared" si="52"/>
        <v/>
      </c>
      <c r="Q124" s="189" t="str">
        <f t="shared" si="53"/>
        <v/>
      </c>
      <c r="R124" s="188">
        <f t="shared" si="54"/>
        <v>0</v>
      </c>
      <c r="S124" s="189" t="str">
        <f t="shared" si="55"/>
        <v/>
      </c>
      <c r="T124" s="189" t="str">
        <f t="shared" si="56"/>
        <v/>
      </c>
      <c r="U124" s="180" t="str">
        <f t="shared" si="62"/>
        <v/>
      </c>
      <c r="V124" s="129" t="str">
        <f t="shared" si="63"/>
        <v/>
      </c>
    </row>
    <row r="125" spans="2:22" x14ac:dyDescent="0.25">
      <c r="B125" s="156">
        <f t="shared" si="61"/>
        <v>105</v>
      </c>
      <c r="C125" s="127" t="str">
        <f>סיכום!C125</f>
        <v>מורן אברג'ל יצחקי</v>
      </c>
      <c r="D125" s="181">
        <f>'סיכום לועדה- הזנת נתונים'!N125</f>
        <v>295000</v>
      </c>
      <c r="E125" s="181">
        <f>סיכום!I125</f>
        <v>45808.852076210991</v>
      </c>
      <c r="F125" s="140">
        <f t="shared" si="42"/>
        <v>0</v>
      </c>
      <c r="G125" s="181">
        <f t="shared" si="43"/>
        <v>45808.852076210991</v>
      </c>
      <c r="H125" s="181">
        <f t="shared" si="44"/>
        <v>45808.852076211013</v>
      </c>
      <c r="I125" s="188">
        <f t="shared" si="45"/>
        <v>0</v>
      </c>
      <c r="J125" s="189">
        <f t="shared" si="46"/>
        <v>45808.852076211013</v>
      </c>
      <c r="K125" s="189">
        <f t="shared" si="47"/>
        <v>45808.852076211027</v>
      </c>
      <c r="L125" s="188">
        <f t="shared" si="48"/>
        <v>0</v>
      </c>
      <c r="M125" s="189">
        <f t="shared" si="49"/>
        <v>45808.852076211027</v>
      </c>
      <c r="N125" s="189">
        <f t="shared" si="50"/>
        <v>45808.85207621102</v>
      </c>
      <c r="O125" s="188">
        <f t="shared" si="51"/>
        <v>0</v>
      </c>
      <c r="P125" s="189">
        <f t="shared" si="52"/>
        <v>45808.85207621102</v>
      </c>
      <c r="Q125" s="189">
        <f t="shared" si="53"/>
        <v>45808.852076211035</v>
      </c>
      <c r="R125" s="188">
        <f t="shared" si="54"/>
        <v>0</v>
      </c>
      <c r="S125" s="189">
        <f t="shared" si="55"/>
        <v>45808.852076211035</v>
      </c>
      <c r="T125" s="189">
        <f t="shared" si="56"/>
        <v>45808.852076211027</v>
      </c>
      <c r="U125" s="180">
        <f t="shared" si="62"/>
        <v>45808.852076211027</v>
      </c>
      <c r="V125" s="129">
        <f t="shared" si="63"/>
        <v>5.6674736607688955E-3</v>
      </c>
    </row>
    <row r="126" spans="2:22" x14ac:dyDescent="0.25">
      <c r="B126" s="156">
        <f t="shared" si="61"/>
        <v>106</v>
      </c>
      <c r="C126" s="127" t="str">
        <f>סיכום!C126</f>
        <v>מיכל בן צבי</v>
      </c>
      <c r="D126" s="181">
        <f>'סיכום לועדה- הזנת נתונים'!N126</f>
        <v>295000</v>
      </c>
      <c r="E126" s="181">
        <f>סיכום!I126</f>
        <v>60622.093174946371</v>
      </c>
      <c r="F126" s="140">
        <f t="shared" si="42"/>
        <v>0</v>
      </c>
      <c r="G126" s="181">
        <f t="shared" si="43"/>
        <v>60622.093174946371</v>
      </c>
      <c r="H126" s="181">
        <f t="shared" si="44"/>
        <v>60622.0931749464</v>
      </c>
      <c r="I126" s="188">
        <f t="shared" si="45"/>
        <v>0</v>
      </c>
      <c r="J126" s="189">
        <f t="shared" si="46"/>
        <v>60622.0931749464</v>
      </c>
      <c r="K126" s="189">
        <f t="shared" si="47"/>
        <v>60622.093174946414</v>
      </c>
      <c r="L126" s="188">
        <f t="shared" si="48"/>
        <v>0</v>
      </c>
      <c r="M126" s="189">
        <f t="shared" si="49"/>
        <v>60622.093174946414</v>
      </c>
      <c r="N126" s="189">
        <f t="shared" si="50"/>
        <v>60622.0931749464</v>
      </c>
      <c r="O126" s="188">
        <f t="shared" si="51"/>
        <v>0</v>
      </c>
      <c r="P126" s="189">
        <f t="shared" si="52"/>
        <v>60622.0931749464</v>
      </c>
      <c r="Q126" s="189">
        <f t="shared" si="53"/>
        <v>60622.093174946414</v>
      </c>
      <c r="R126" s="188">
        <f t="shared" si="54"/>
        <v>0</v>
      </c>
      <c r="S126" s="189">
        <f t="shared" si="55"/>
        <v>60622.093174946414</v>
      </c>
      <c r="T126" s="189">
        <f t="shared" si="56"/>
        <v>60622.0931749464</v>
      </c>
      <c r="U126" s="180">
        <f t="shared" si="62"/>
        <v>60622.0931749464</v>
      </c>
      <c r="V126" s="129">
        <f t="shared" si="63"/>
        <v>7.5001686520782263E-3</v>
      </c>
    </row>
    <row r="127" spans="2:22" x14ac:dyDescent="0.25">
      <c r="B127" s="156">
        <f t="shared" si="61"/>
        <v>107</v>
      </c>
      <c r="C127" s="127" t="str">
        <f>סיכום!C127</f>
        <v>מיקה קופפר</v>
      </c>
      <c r="D127" s="181">
        <f>'סיכום לועדה- הזנת נתונים'!N127</f>
        <v>295000</v>
      </c>
      <c r="E127" s="181">
        <f>סיכום!I127</f>
        <v>58515.252495622146</v>
      </c>
      <c r="F127" s="140">
        <f t="shared" si="42"/>
        <v>0</v>
      </c>
      <c r="G127" s="181">
        <f t="shared" si="43"/>
        <v>58515.252495622146</v>
      </c>
      <c r="H127" s="181">
        <f t="shared" si="44"/>
        <v>58515.252495622175</v>
      </c>
      <c r="I127" s="188">
        <f t="shared" si="45"/>
        <v>0</v>
      </c>
      <c r="J127" s="189">
        <f t="shared" si="46"/>
        <v>58515.252495622175</v>
      </c>
      <c r="K127" s="189">
        <f t="shared" si="47"/>
        <v>58515.25249562219</v>
      </c>
      <c r="L127" s="188">
        <f t="shared" si="48"/>
        <v>0</v>
      </c>
      <c r="M127" s="189">
        <f t="shared" si="49"/>
        <v>58515.25249562219</v>
      </c>
      <c r="N127" s="189">
        <f t="shared" si="50"/>
        <v>58515.252495622175</v>
      </c>
      <c r="O127" s="188">
        <f t="shared" si="51"/>
        <v>0</v>
      </c>
      <c r="P127" s="189">
        <f t="shared" si="52"/>
        <v>58515.252495622175</v>
      </c>
      <c r="Q127" s="189">
        <f t="shared" si="53"/>
        <v>58515.25249562219</v>
      </c>
      <c r="R127" s="188">
        <f t="shared" si="54"/>
        <v>0</v>
      </c>
      <c r="S127" s="189">
        <f t="shared" si="55"/>
        <v>58515.25249562219</v>
      </c>
      <c r="T127" s="189">
        <f t="shared" si="56"/>
        <v>58515.252495622175</v>
      </c>
      <c r="U127" s="180">
        <f t="shared" si="62"/>
        <v>58515.252495622175</v>
      </c>
      <c r="V127" s="129">
        <f t="shared" si="63"/>
        <v>7.2395102090846881E-3</v>
      </c>
    </row>
    <row r="128" spans="2:22" x14ac:dyDescent="0.25">
      <c r="B128" s="156" t="str">
        <f t="shared" si="61"/>
        <v/>
      </c>
      <c r="C128" s="127" t="str">
        <f>סיכום!C128</f>
        <v/>
      </c>
      <c r="D128" s="181" t="str">
        <f>'סיכום לועדה- הזנת נתונים'!N128</f>
        <v/>
      </c>
      <c r="E128" s="181" t="str">
        <f>סיכום!I128</f>
        <v/>
      </c>
      <c r="F128" s="140" t="str">
        <f t="shared" si="42"/>
        <v/>
      </c>
      <c r="G128" s="181" t="str">
        <f t="shared" si="43"/>
        <v/>
      </c>
      <c r="H128" s="181" t="str">
        <f t="shared" si="44"/>
        <v/>
      </c>
      <c r="I128" s="188">
        <f t="shared" si="45"/>
        <v>0</v>
      </c>
      <c r="J128" s="189" t="str">
        <f t="shared" si="46"/>
        <v/>
      </c>
      <c r="K128" s="189" t="str">
        <f t="shared" si="47"/>
        <v/>
      </c>
      <c r="L128" s="188">
        <f t="shared" si="48"/>
        <v>0</v>
      </c>
      <c r="M128" s="189" t="str">
        <f t="shared" si="49"/>
        <v/>
      </c>
      <c r="N128" s="189" t="str">
        <f t="shared" si="50"/>
        <v/>
      </c>
      <c r="O128" s="188">
        <f t="shared" si="51"/>
        <v>0</v>
      </c>
      <c r="P128" s="189" t="str">
        <f t="shared" si="52"/>
        <v/>
      </c>
      <c r="Q128" s="189" t="str">
        <f t="shared" si="53"/>
        <v/>
      </c>
      <c r="R128" s="188">
        <f t="shared" si="54"/>
        <v>0</v>
      </c>
      <c r="S128" s="189" t="str">
        <f t="shared" si="55"/>
        <v/>
      </c>
      <c r="T128" s="189" t="str">
        <f t="shared" si="56"/>
        <v/>
      </c>
      <c r="U128" s="180" t="str">
        <f t="shared" si="62"/>
        <v/>
      </c>
      <c r="V128" s="129" t="str">
        <f t="shared" si="63"/>
        <v/>
      </c>
    </row>
    <row r="129" spans="2:22" x14ac:dyDescent="0.25">
      <c r="B129" s="156">
        <f t="shared" si="61"/>
        <v>109</v>
      </c>
      <c r="C129" s="127" t="str">
        <f>סיכום!C129</f>
        <v>נועה שילה</v>
      </c>
      <c r="D129" s="181">
        <f>'סיכום לועדה- הזנת נתונים'!N129</f>
        <v>295000</v>
      </c>
      <c r="E129" s="181">
        <f>סיכום!I129</f>
        <v>56320.524973865562</v>
      </c>
      <c r="F129" s="140">
        <f t="shared" si="42"/>
        <v>0</v>
      </c>
      <c r="G129" s="181">
        <f t="shared" si="43"/>
        <v>56320.524973865562</v>
      </c>
      <c r="H129" s="181">
        <f t="shared" si="44"/>
        <v>56320.524973865584</v>
      </c>
      <c r="I129" s="188">
        <f t="shared" si="45"/>
        <v>0</v>
      </c>
      <c r="J129" s="189">
        <f t="shared" si="46"/>
        <v>56320.524973865584</v>
      </c>
      <c r="K129" s="189">
        <f t="shared" si="47"/>
        <v>56320.524973865598</v>
      </c>
      <c r="L129" s="188">
        <f t="shared" si="48"/>
        <v>0</v>
      </c>
      <c r="M129" s="189">
        <f t="shared" si="49"/>
        <v>56320.524973865598</v>
      </c>
      <c r="N129" s="189">
        <f t="shared" si="50"/>
        <v>56320.524973865584</v>
      </c>
      <c r="O129" s="188">
        <f t="shared" si="51"/>
        <v>0</v>
      </c>
      <c r="P129" s="189">
        <f t="shared" si="52"/>
        <v>56320.524973865584</v>
      </c>
      <c r="Q129" s="189">
        <f t="shared" si="53"/>
        <v>56320.524973865598</v>
      </c>
      <c r="R129" s="188">
        <f t="shared" si="54"/>
        <v>0</v>
      </c>
      <c r="S129" s="189">
        <f t="shared" si="55"/>
        <v>56320.524973865598</v>
      </c>
      <c r="T129" s="189">
        <f t="shared" si="56"/>
        <v>56320.524973865584</v>
      </c>
      <c r="U129" s="180">
        <f t="shared" si="62"/>
        <v>56320.524973865584</v>
      </c>
      <c r="V129" s="129">
        <f t="shared" si="63"/>
        <v>6.9679784011837534E-3</v>
      </c>
    </row>
    <row r="130" spans="2:22" x14ac:dyDescent="0.25">
      <c r="B130" s="156" t="str">
        <f t="shared" si="61"/>
        <v/>
      </c>
      <c r="C130" s="127" t="str">
        <f>סיכום!C130</f>
        <v/>
      </c>
      <c r="D130" s="181" t="str">
        <f>'סיכום לועדה- הזנת נתונים'!N130</f>
        <v/>
      </c>
      <c r="E130" s="181" t="str">
        <f>סיכום!I130</f>
        <v/>
      </c>
      <c r="F130" s="140" t="str">
        <f t="shared" si="42"/>
        <v/>
      </c>
      <c r="G130" s="181" t="str">
        <f t="shared" si="43"/>
        <v/>
      </c>
      <c r="H130" s="181" t="str">
        <f t="shared" si="44"/>
        <v/>
      </c>
      <c r="I130" s="188">
        <f t="shared" si="45"/>
        <v>0</v>
      </c>
      <c r="J130" s="189" t="str">
        <f t="shared" si="46"/>
        <v/>
      </c>
      <c r="K130" s="189" t="str">
        <f t="shared" si="47"/>
        <v/>
      </c>
      <c r="L130" s="188">
        <f t="shared" si="48"/>
        <v>0</v>
      </c>
      <c r="M130" s="189" t="str">
        <f t="shared" si="49"/>
        <v/>
      </c>
      <c r="N130" s="189" t="str">
        <f t="shared" si="50"/>
        <v/>
      </c>
      <c r="O130" s="188">
        <f t="shared" si="51"/>
        <v>0</v>
      </c>
      <c r="P130" s="189" t="str">
        <f t="shared" si="52"/>
        <v/>
      </c>
      <c r="Q130" s="189" t="str">
        <f t="shared" si="53"/>
        <v/>
      </c>
      <c r="R130" s="188">
        <f t="shared" si="54"/>
        <v>0</v>
      </c>
      <c r="S130" s="189" t="str">
        <f t="shared" si="55"/>
        <v/>
      </c>
      <c r="T130" s="189" t="str">
        <f t="shared" si="56"/>
        <v/>
      </c>
      <c r="U130" s="180" t="str">
        <f t="shared" si="62"/>
        <v/>
      </c>
      <c r="V130" s="129" t="str">
        <f t="shared" si="63"/>
        <v/>
      </c>
    </row>
    <row r="131" spans="2:22" x14ac:dyDescent="0.25">
      <c r="B131" s="156">
        <f t="shared" si="61"/>
        <v>111</v>
      </c>
      <c r="C131" s="127" t="str">
        <f>סיכום!C131</f>
        <v>עדי בוטרוס אמנויות הבמה (ע"ר)</v>
      </c>
      <c r="D131" s="181">
        <f>'סיכום לועדה- הזנת נתונים'!N131</f>
        <v>400000</v>
      </c>
      <c r="E131" s="181">
        <f>סיכום!I131</f>
        <v>100645.73096221808</v>
      </c>
      <c r="F131" s="140">
        <f t="shared" si="42"/>
        <v>0</v>
      </c>
      <c r="G131" s="181">
        <f t="shared" si="43"/>
        <v>100645.73096221808</v>
      </c>
      <c r="H131" s="181">
        <f t="shared" si="44"/>
        <v>100645.73096221812</v>
      </c>
      <c r="I131" s="188">
        <f t="shared" si="45"/>
        <v>0</v>
      </c>
      <c r="J131" s="189">
        <f t="shared" si="46"/>
        <v>100645.73096221812</v>
      </c>
      <c r="K131" s="189">
        <f t="shared" si="47"/>
        <v>100645.73096221813</v>
      </c>
      <c r="L131" s="188">
        <f t="shared" si="48"/>
        <v>0</v>
      </c>
      <c r="M131" s="189">
        <f t="shared" si="49"/>
        <v>100645.73096221813</v>
      </c>
      <c r="N131" s="189">
        <f t="shared" si="50"/>
        <v>100645.73096221811</v>
      </c>
      <c r="O131" s="188">
        <f t="shared" si="51"/>
        <v>0</v>
      </c>
      <c r="P131" s="189">
        <f t="shared" si="52"/>
        <v>100645.73096221811</v>
      </c>
      <c r="Q131" s="189">
        <f t="shared" si="53"/>
        <v>100645.73096221812</v>
      </c>
      <c r="R131" s="188">
        <f t="shared" si="54"/>
        <v>0</v>
      </c>
      <c r="S131" s="189">
        <f t="shared" si="55"/>
        <v>100645.73096221812</v>
      </c>
      <c r="T131" s="189">
        <f t="shared" si="56"/>
        <v>100645.73096221809</v>
      </c>
      <c r="U131" s="180">
        <f t="shared" si="62"/>
        <v>100645.73096221809</v>
      </c>
      <c r="V131" s="129">
        <f t="shared" si="63"/>
        <v>1.2451895287579609E-2</v>
      </c>
    </row>
    <row r="132" spans="2:22" ht="16.5" thickBot="1" x14ac:dyDescent="0.3">
      <c r="B132" s="156" t="str">
        <f t="shared" si="61"/>
        <v/>
      </c>
      <c r="C132" s="127" t="str">
        <f>סיכום!C132</f>
        <v/>
      </c>
      <c r="D132" s="181" t="str">
        <f>'סיכום לועדה- הזנת נתונים'!N132</f>
        <v/>
      </c>
      <c r="E132" s="181" t="str">
        <f>סיכום!I132</f>
        <v/>
      </c>
      <c r="F132" s="140" t="str">
        <f t="shared" si="42"/>
        <v/>
      </c>
      <c r="G132" s="181" t="str">
        <f t="shared" si="43"/>
        <v/>
      </c>
      <c r="H132" s="181" t="str">
        <f t="shared" si="44"/>
        <v/>
      </c>
      <c r="I132" s="188">
        <f t="shared" si="45"/>
        <v>0</v>
      </c>
      <c r="J132" s="189" t="str">
        <f t="shared" si="46"/>
        <v/>
      </c>
      <c r="K132" s="189" t="str">
        <f t="shared" si="47"/>
        <v/>
      </c>
      <c r="L132" s="188">
        <f t="shared" si="48"/>
        <v>0</v>
      </c>
      <c r="M132" s="189" t="str">
        <f t="shared" si="49"/>
        <v/>
      </c>
      <c r="N132" s="189" t="str">
        <f t="shared" si="50"/>
        <v/>
      </c>
      <c r="O132" s="188">
        <f t="shared" si="51"/>
        <v>0</v>
      </c>
      <c r="P132" s="189" t="str">
        <f t="shared" si="52"/>
        <v/>
      </c>
      <c r="Q132" s="189" t="str">
        <f t="shared" si="53"/>
        <v/>
      </c>
      <c r="R132" s="188">
        <f t="shared" si="54"/>
        <v>0</v>
      </c>
      <c r="S132" s="189" t="str">
        <f t="shared" si="55"/>
        <v/>
      </c>
      <c r="T132" s="189" t="str">
        <f t="shared" si="56"/>
        <v/>
      </c>
      <c r="U132" s="180" t="str">
        <f t="shared" si="62"/>
        <v/>
      </c>
      <c r="V132" s="129" t="str">
        <f t="shared" si="63"/>
        <v/>
      </c>
    </row>
    <row r="133" spans="2:22" ht="16.5" thickBot="1" x14ac:dyDescent="0.3">
      <c r="B133" s="891" t="s">
        <v>41</v>
      </c>
      <c r="C133" s="892"/>
      <c r="D133" s="567">
        <f>SUM(D21:D132)</f>
        <v>26770000</v>
      </c>
      <c r="E133" s="567">
        <f t="shared" ref="E133:V133" si="64">SUM(E21:E132)</f>
        <v>8082763.9999999963</v>
      </c>
      <c r="F133" s="567"/>
      <c r="G133" s="567">
        <f t="shared" si="64"/>
        <v>8082763.9999999963</v>
      </c>
      <c r="H133" s="567">
        <f t="shared" si="64"/>
        <v>8082763.9999999981</v>
      </c>
      <c r="I133" s="636">
        <f t="shared" si="64"/>
        <v>0</v>
      </c>
      <c r="J133" s="636">
        <f t="shared" si="64"/>
        <v>8082763.9999999981</v>
      </c>
      <c r="K133" s="636">
        <f t="shared" si="64"/>
        <v>8082764.0000000019</v>
      </c>
      <c r="L133" s="636">
        <f t="shared" si="64"/>
        <v>0</v>
      </c>
      <c r="M133" s="636">
        <f t="shared" si="64"/>
        <v>8082764.0000000019</v>
      </c>
      <c r="N133" s="636">
        <f t="shared" si="64"/>
        <v>8082763.9999999981</v>
      </c>
      <c r="O133" s="636">
        <f t="shared" si="64"/>
        <v>0</v>
      </c>
      <c r="P133" s="636">
        <f t="shared" si="64"/>
        <v>8082763.9999999981</v>
      </c>
      <c r="Q133" s="636">
        <f t="shared" si="64"/>
        <v>8082764.0000000019</v>
      </c>
      <c r="R133" s="636">
        <f t="shared" si="64"/>
        <v>0</v>
      </c>
      <c r="S133" s="636">
        <f t="shared" si="64"/>
        <v>8082764.0000000019</v>
      </c>
      <c r="T133" s="636">
        <f t="shared" si="64"/>
        <v>8082763.9999999981</v>
      </c>
      <c r="U133" s="567">
        <f t="shared" si="64"/>
        <v>8082763.9999999981</v>
      </c>
      <c r="V133" s="566">
        <f t="shared" si="64"/>
        <v>1.0000000000000007</v>
      </c>
    </row>
  </sheetData>
  <sheetProtection algorithmName="SHA-512" hashValue="Pm2ftDl/LKRA9ZvZWSkyNzYRkiV9AmqULhk12H7BFG0AWoIBYdR3aPUjm0/MBVKkpYYyW1eU50nUCn0jLSuS7g==" saltValue="TVFMMzS9mmgmLR7cKJofaQ==" spinCount="100000" sheet="1" objects="1" scenarios="1" autoFilter="0"/>
  <mergeCells count="11">
    <mergeCell ref="B133:C133"/>
    <mergeCell ref="B18:V18"/>
    <mergeCell ref="B19:B20"/>
    <mergeCell ref="C19:C20"/>
    <mergeCell ref="D19:D20"/>
    <mergeCell ref="E19:E20"/>
    <mergeCell ref="F19:F20"/>
    <mergeCell ref="G19:G20"/>
    <mergeCell ref="H19:H20"/>
    <mergeCell ref="U19:U20"/>
    <mergeCell ref="V19:V20"/>
  </mergeCells>
  <conditionalFormatting sqref="B21:H132">
    <cfRule type="containsBlanks" dxfId="24" priority="1">
      <formula>LEN(TRIM(B21))=0</formula>
    </cfRule>
  </conditionalFormatting>
  <conditionalFormatting sqref="C1:C2">
    <cfRule type="containsBlanks" dxfId="23" priority="3">
      <formula>LEN(TRIM(C1))=0</formula>
    </cfRule>
  </conditionalFormatting>
  <conditionalFormatting sqref="I21:T132">
    <cfRule type="containsText" dxfId="22" priority="8" operator="containsText" text="הזנה שגויה">
      <formula>NOT(ISERROR(SEARCH("הזנה שגויה",I21)))</formula>
    </cfRule>
  </conditionalFormatting>
  <conditionalFormatting sqref="U21:V132">
    <cfRule type="containsBlanks" dxfId="21" priority="7">
      <formula>LEN(TRIM(U21))=0</formula>
    </cfRule>
  </conditionalFormatting>
  <printOptions horizontalCentered="1"/>
  <pageMargins left="0.27559055118110237" right="0.19685039370078741" top="0.62992125984251968" bottom="0.47244094488188981" header="0.31496062992125984" footer="0.23622047244094491"/>
  <pageSetup paperSize="9" scale="38" orientation="portrait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3">
    <tabColor theme="8" tint="-0.249977111117893"/>
  </sheetPr>
  <dimension ref="A1:GR143"/>
  <sheetViews>
    <sheetView rightToLeft="1" view="pageBreakPreview" topLeftCell="B1" zoomScale="85" zoomScaleNormal="80" zoomScaleSheetLayoutView="85" workbookViewId="0">
      <pane ySplit="30" topLeftCell="A31" activePane="bottomLeft" state="frozen"/>
      <selection activeCell="F51" sqref="F51"/>
      <selection pane="bottomLeft" activeCell="B31" sqref="B31"/>
    </sheetView>
  </sheetViews>
  <sheetFormatPr defaultColWidth="8" defaultRowHeight="15.75" x14ac:dyDescent="0.2"/>
  <cols>
    <col min="1" max="1" width="3.85546875" style="327" hidden="1" customWidth="1"/>
    <col min="2" max="2" width="11.42578125" style="327" customWidth="1"/>
    <col min="3" max="3" width="25" style="327" customWidth="1"/>
    <col min="4" max="4" width="16.85546875" style="327" bestFit="1" customWidth="1"/>
    <col min="5" max="5" width="12.28515625" style="327" customWidth="1"/>
    <col min="6" max="6" width="12.42578125" style="327" customWidth="1"/>
    <col min="7" max="8" width="16.85546875" style="327" bestFit="1" customWidth="1"/>
    <col min="9" max="10" width="8" style="327" hidden="1" customWidth="1"/>
    <col min="11" max="11" width="18.42578125" style="327" hidden="1" customWidth="1"/>
    <col min="12" max="12" width="16.140625" style="327" hidden="1" customWidth="1"/>
    <col min="13" max="15" width="8" style="327" hidden="1" customWidth="1"/>
    <col min="16" max="16" width="12.28515625" style="327" hidden="1" customWidth="1"/>
    <col min="17" max="200" width="8" style="327" hidden="1" customWidth="1"/>
    <col min="201" max="16384" width="8" style="327"/>
  </cols>
  <sheetData>
    <row r="1" spans="2:16" ht="18.75" x14ac:dyDescent="0.25">
      <c r="B1" s="325" t="str">
        <f>'פרמטרים לעקרונות חישוב התמיכה'!$B$1</f>
        <v>שנה</v>
      </c>
      <c r="C1" s="326">
        <f>'פרמטרים לעקרונות חישוב התמיכה'!$C$1</f>
        <v>2025</v>
      </c>
      <c r="P1" s="328" t="s">
        <v>76</v>
      </c>
    </row>
    <row r="2" spans="2:16" ht="33.75" customHeight="1" thickBot="1" x14ac:dyDescent="0.25">
      <c r="B2" s="329" t="str">
        <f>'פרמטרים לעקרונות חישוב התמיכה'!$B$2</f>
        <v>תקציב התמיכה</v>
      </c>
      <c r="C2" s="330">
        <f>'פרמטרים לעקרונות חישוב התמיכה'!$C$2</f>
        <v>8082764</v>
      </c>
      <c r="K2" s="450" t="s">
        <v>348</v>
      </c>
      <c r="L2" s="450" t="s">
        <v>349</v>
      </c>
    </row>
    <row r="3" spans="2:16" x14ac:dyDescent="0.2">
      <c r="K3" s="331"/>
      <c r="L3" s="331"/>
    </row>
    <row r="4" spans="2:16" hidden="1" x14ac:dyDescent="0.2">
      <c r="K4" s="331"/>
      <c r="L4" s="331"/>
    </row>
    <row r="5" spans="2:16" hidden="1" x14ac:dyDescent="0.2">
      <c r="K5" s="331"/>
      <c r="L5" s="331"/>
    </row>
    <row r="6" spans="2:16" hidden="1" x14ac:dyDescent="0.2">
      <c r="K6" s="331"/>
      <c r="L6" s="331"/>
    </row>
    <row r="7" spans="2:16" hidden="1" x14ac:dyDescent="0.2">
      <c r="K7" s="331"/>
      <c r="L7" s="331"/>
    </row>
    <row r="8" spans="2:16" hidden="1" x14ac:dyDescent="0.2">
      <c r="K8" s="331"/>
      <c r="L8" s="331"/>
    </row>
    <row r="9" spans="2:16" hidden="1" x14ac:dyDescent="0.2">
      <c r="K9" s="331"/>
      <c r="L9" s="331"/>
    </row>
    <row r="10" spans="2:16" hidden="1" x14ac:dyDescent="0.2">
      <c r="K10" s="331"/>
      <c r="L10" s="331"/>
    </row>
    <row r="11" spans="2:16" hidden="1" x14ac:dyDescent="0.2">
      <c r="K11" s="331"/>
      <c r="L11" s="331"/>
    </row>
    <row r="12" spans="2:16" hidden="1" x14ac:dyDescent="0.2">
      <c r="K12" s="331"/>
      <c r="L12" s="331"/>
    </row>
    <row r="13" spans="2:16" hidden="1" x14ac:dyDescent="0.2">
      <c r="K13" s="331"/>
      <c r="L13" s="331"/>
    </row>
    <row r="14" spans="2:16" hidden="1" x14ac:dyDescent="0.2">
      <c r="K14" s="331"/>
      <c r="L14" s="331"/>
    </row>
    <row r="15" spans="2:16" hidden="1" x14ac:dyDescent="0.2">
      <c r="K15" s="331"/>
      <c r="L15" s="331"/>
    </row>
    <row r="16" spans="2:16" hidden="1" x14ac:dyDescent="0.2">
      <c r="K16" s="331"/>
      <c r="L16" s="331"/>
    </row>
    <row r="17" spans="2:13" hidden="1" x14ac:dyDescent="0.2">
      <c r="K17" s="331"/>
      <c r="L17" s="331"/>
    </row>
    <row r="18" spans="2:13" hidden="1" x14ac:dyDescent="0.2">
      <c r="K18" s="331"/>
      <c r="L18" s="331"/>
    </row>
    <row r="19" spans="2:13" hidden="1" x14ac:dyDescent="0.2">
      <c r="K19" s="331"/>
      <c r="L19" s="331"/>
    </row>
    <row r="20" spans="2:13" hidden="1" x14ac:dyDescent="0.2">
      <c r="K20" s="331"/>
      <c r="L20" s="331"/>
    </row>
    <row r="21" spans="2:13" hidden="1" x14ac:dyDescent="0.2">
      <c r="K21" s="331"/>
      <c r="L21" s="331"/>
    </row>
    <row r="22" spans="2:13" hidden="1" x14ac:dyDescent="0.2">
      <c r="K22" s="331"/>
      <c r="L22" s="331"/>
    </row>
    <row r="23" spans="2:13" hidden="1" x14ac:dyDescent="0.2">
      <c r="K23" s="331"/>
      <c r="L23" s="331"/>
    </row>
    <row r="24" spans="2:13" hidden="1" x14ac:dyDescent="0.2">
      <c r="K24" s="331"/>
      <c r="L24" s="331"/>
    </row>
    <row r="25" spans="2:13" hidden="1" x14ac:dyDescent="0.2">
      <c r="K25" s="331"/>
      <c r="L25" s="331"/>
    </row>
    <row r="26" spans="2:13" hidden="1" x14ac:dyDescent="0.2">
      <c r="K26" s="331"/>
      <c r="L26" s="331"/>
    </row>
    <row r="27" spans="2:13" ht="21" thickBot="1" x14ac:dyDescent="0.35">
      <c r="K27" s="451">
        <f>SUMIF(L31:L142,0,D31:D142)</f>
        <v>8082763.9999999981</v>
      </c>
      <c r="L27" s="452">
        <f>SUM(F31:F142)</f>
        <v>0</v>
      </c>
    </row>
    <row r="28" spans="2:13" ht="21" customHeight="1" thickBot="1" x14ac:dyDescent="0.25">
      <c r="B28" s="906" t="str">
        <f ca="1">MID(CELL("filename",B30),FIND("]",CELL("filename",C30),1)+1,99)</f>
        <v>קיזוזים בגין איחורים</v>
      </c>
      <c r="C28" s="907"/>
      <c r="D28" s="907"/>
      <c r="E28" s="907"/>
      <c r="F28" s="907"/>
      <c r="G28" s="907"/>
      <c r="H28" s="908"/>
    </row>
    <row r="29" spans="2:13" ht="42.75" customHeight="1" x14ac:dyDescent="0.2">
      <c r="B29" s="909" t="s">
        <v>206</v>
      </c>
      <c r="C29" s="909" t="s">
        <v>98</v>
      </c>
      <c r="D29" s="909" t="s">
        <v>350</v>
      </c>
      <c r="E29" s="332" t="s">
        <v>351</v>
      </c>
      <c r="F29" s="909" t="s">
        <v>352</v>
      </c>
      <c r="G29" s="909" t="s">
        <v>353</v>
      </c>
      <c r="H29" s="909" t="s">
        <v>354</v>
      </c>
      <c r="J29" s="902" t="s">
        <v>355</v>
      </c>
      <c r="K29" s="902" t="s">
        <v>356</v>
      </c>
      <c r="L29" s="902" t="s">
        <v>357</v>
      </c>
      <c r="M29" s="902" t="s">
        <v>358</v>
      </c>
    </row>
    <row r="30" spans="2:13" ht="31.5" customHeight="1" thickBot="1" x14ac:dyDescent="0.25">
      <c r="B30" s="910"/>
      <c r="C30" s="910"/>
      <c r="D30" s="911"/>
      <c r="E30" s="333" t="s">
        <v>82</v>
      </c>
      <c r="F30" s="911"/>
      <c r="G30" s="911"/>
      <c r="H30" s="911"/>
      <c r="J30" s="903"/>
      <c r="K30" s="903"/>
      <c r="L30" s="903"/>
      <c r="M30" s="903"/>
    </row>
    <row r="31" spans="2:13" ht="20.25" x14ac:dyDescent="0.25">
      <c r="B31" s="577">
        <f>'הגבלה לסכום מבוקש (1)'!B21</f>
        <v>1</v>
      </c>
      <c r="C31" s="577" t="str">
        <f>'הגבלה לסכום מבוקש (1)'!C21</f>
        <v>סילביה דוראן</v>
      </c>
      <c r="D31" s="453">
        <f>'הגבלה לסכום מבוקש (1)'!U21</f>
        <v>20481.93644286284</v>
      </c>
      <c r="E31" s="334"/>
      <c r="F31" s="454">
        <f t="shared" ref="F31:F94" si="0">IF(C31="","",IFERROR(MIN(D31,E31/365*D31),$P$1))</f>
        <v>0</v>
      </c>
      <c r="G31" s="455">
        <f>IF($C31="","",D31-F31)</f>
        <v>20481.93644286284</v>
      </c>
      <c r="H31" s="455">
        <f>IF($C31="","",G31+M31)</f>
        <v>20481.93644286284</v>
      </c>
      <c r="J31" s="451">
        <f>IF($C31="","",IFERROR(IF('קיזוזים- החלטות ועדה'!E31=0,0,1),0))</f>
        <v>0</v>
      </c>
      <c r="K31" s="451">
        <f>IF($C31="","",IFERROR(IF(E31=0,0,1),0))</f>
        <v>0</v>
      </c>
      <c r="L31" s="451">
        <f>IF($C31="","",IF(OR(K31=1,J31=1),1,0))</f>
        <v>0</v>
      </c>
      <c r="M31" s="456">
        <f>IF($C31="","",IF(L31=1,0,$L$27*$D31/$K$27))</f>
        <v>0</v>
      </c>
    </row>
    <row r="32" spans="2:13" ht="20.25" x14ac:dyDescent="0.25">
      <c r="B32" s="577">
        <f>'הגבלה לסכום מבוקש (1)'!B22</f>
        <v>2</v>
      </c>
      <c r="C32" s="577" t="str">
        <f>'הגבלה לסכום מבוקש (1)'!C22</f>
        <v>רנה שינפלד</v>
      </c>
      <c r="D32" s="453">
        <f>'הגבלה לסכום מבוקש (1)'!U22</f>
        <v>109814.96724117092</v>
      </c>
      <c r="E32" s="334"/>
      <c r="F32" s="454">
        <f t="shared" si="0"/>
        <v>0</v>
      </c>
      <c r="G32" s="455">
        <f t="shared" ref="G32:G95" si="1">IF($C32="","",D32-F32)</f>
        <v>109814.96724117092</v>
      </c>
      <c r="H32" s="455">
        <f t="shared" ref="H32:H95" si="2">IF($C32="","",G32+M32)</f>
        <v>109814.96724117092</v>
      </c>
      <c r="J32" s="451">
        <f>IF($C32="","",IFERROR(IF('קיזוזים- החלטות ועדה'!E32=0,0,1),0))</f>
        <v>0</v>
      </c>
      <c r="K32" s="451">
        <f t="shared" ref="K32:K95" si="3">IF($C32="","",IFERROR(IF(E32=0,0,1),0))</f>
        <v>0</v>
      </c>
      <c r="L32" s="451">
        <f t="shared" ref="L32:L95" si="4">IF($C32="","",IF(OR(K32=1,J32=1),1,0))</f>
        <v>0</v>
      </c>
      <c r="M32" s="456">
        <f t="shared" ref="M32:M95" si="5">IF($C32="","",IF(L32=1,0,$L$27*$D32/$K$27))</f>
        <v>0</v>
      </c>
    </row>
    <row r="33" spans="2:13" ht="20.25" x14ac:dyDescent="0.25">
      <c r="B33" s="577">
        <f>'הגבלה לסכום מבוקש (1)'!B23</f>
        <v>3</v>
      </c>
      <c r="C33" s="577" t="str">
        <f>'הגבלה לסכום מבוקש (1)'!C23</f>
        <v>אבי קייזר וסרג'יו אנטוניניו</v>
      </c>
      <c r="D33" s="453">
        <f>'הגבלה לסכום מבוקש (1)'!U23</f>
        <v>66612.832545115365</v>
      </c>
      <c r="E33" s="334"/>
      <c r="F33" s="454">
        <f t="shared" si="0"/>
        <v>0</v>
      </c>
      <c r="G33" s="455">
        <f t="shared" si="1"/>
        <v>66612.832545115365</v>
      </c>
      <c r="H33" s="455">
        <f t="shared" si="2"/>
        <v>66612.832545115365</v>
      </c>
      <c r="J33" s="451">
        <f>IF($C33="","",IFERROR(IF('קיזוזים- החלטות ועדה'!E33=0,0,1),0))</f>
        <v>0</v>
      </c>
      <c r="K33" s="451">
        <f t="shared" si="3"/>
        <v>0</v>
      </c>
      <c r="L33" s="451">
        <f t="shared" si="4"/>
        <v>0</v>
      </c>
      <c r="M33" s="456">
        <f t="shared" si="5"/>
        <v>0</v>
      </c>
    </row>
    <row r="34" spans="2:13" ht="20.25" x14ac:dyDescent="0.25">
      <c r="B34" s="577" t="str">
        <f>'הגבלה לסכום מבוקש (1)'!B24</f>
        <v/>
      </c>
      <c r="C34" s="577" t="str">
        <f>'הגבלה לסכום מבוקש (1)'!C24</f>
        <v/>
      </c>
      <c r="D34" s="453" t="str">
        <f>'הגבלה לסכום מבוקש (1)'!U24</f>
        <v/>
      </c>
      <c r="E34" s="334"/>
      <c r="F34" s="454" t="str">
        <f t="shared" si="0"/>
        <v/>
      </c>
      <c r="G34" s="455" t="str">
        <f t="shared" si="1"/>
        <v/>
      </c>
      <c r="H34" s="455" t="str">
        <f t="shared" si="2"/>
        <v/>
      </c>
      <c r="J34" s="451" t="str">
        <f>IF($C34="","",IFERROR(IF('קיזוזים- החלטות ועדה'!E34=0,0,1),0))</f>
        <v/>
      </c>
      <c r="K34" s="451" t="str">
        <f t="shared" si="3"/>
        <v/>
      </c>
      <c r="L34" s="451" t="str">
        <f t="shared" si="4"/>
        <v/>
      </c>
      <c r="M34" s="456" t="str">
        <f t="shared" si="5"/>
        <v/>
      </c>
    </row>
    <row r="35" spans="2:13" ht="20.25" x14ac:dyDescent="0.25">
      <c r="B35" s="577">
        <f>'הגבלה לסכום מבוקש (1)'!B25</f>
        <v>5</v>
      </c>
      <c r="C35" s="577" t="str">
        <f>'הגבלה לסכום מבוקש (1)'!C25</f>
        <v>אדוה ירמיהו</v>
      </c>
      <c r="D35" s="453">
        <f>'הגבלה לסכום מבוקש (1)'!U25</f>
        <v>97426.027791732966</v>
      </c>
      <c r="E35" s="334"/>
      <c r="F35" s="454">
        <f t="shared" si="0"/>
        <v>0</v>
      </c>
      <c r="G35" s="455">
        <f t="shared" si="1"/>
        <v>97426.027791732966</v>
      </c>
      <c r="H35" s="455">
        <f t="shared" si="2"/>
        <v>97426.027791732966</v>
      </c>
      <c r="J35" s="451">
        <f>IF($C35="","",IFERROR(IF('קיזוזים- החלטות ועדה'!E35=0,0,1),0))</f>
        <v>0</v>
      </c>
      <c r="K35" s="451">
        <f t="shared" si="3"/>
        <v>0</v>
      </c>
      <c r="L35" s="451">
        <f t="shared" si="4"/>
        <v>0</v>
      </c>
      <c r="M35" s="456">
        <f t="shared" si="5"/>
        <v>0</v>
      </c>
    </row>
    <row r="36" spans="2:13" ht="20.25" x14ac:dyDescent="0.25">
      <c r="B36" s="577">
        <f>'הגבלה לסכום מבוקש (1)'!B26</f>
        <v>6</v>
      </c>
      <c r="C36" s="577" t="str">
        <f>'הגבלה לסכום מבוקש (1)'!C26</f>
        <v>אהרונה ישראל</v>
      </c>
      <c r="D36" s="453">
        <f>'הגבלה לסכום מבוקש (1)'!U26</f>
        <v>52345.8939888596</v>
      </c>
      <c r="E36" s="334"/>
      <c r="F36" s="454">
        <f t="shared" si="0"/>
        <v>0</v>
      </c>
      <c r="G36" s="455">
        <f t="shared" si="1"/>
        <v>52345.8939888596</v>
      </c>
      <c r="H36" s="455">
        <f t="shared" si="2"/>
        <v>52345.8939888596</v>
      </c>
      <c r="J36" s="451">
        <f>IF($C36="","",IFERROR(IF('קיזוזים- החלטות ועדה'!E36=0,0,1),0))</f>
        <v>0</v>
      </c>
      <c r="K36" s="451">
        <f t="shared" si="3"/>
        <v>0</v>
      </c>
      <c r="L36" s="451">
        <f t="shared" si="4"/>
        <v>0</v>
      </c>
      <c r="M36" s="456">
        <f t="shared" si="5"/>
        <v>0</v>
      </c>
    </row>
    <row r="37" spans="2:13" ht="20.25" x14ac:dyDescent="0.25">
      <c r="B37" s="577">
        <f>'הגבלה לסכום מבוקש (1)'!B27</f>
        <v>7</v>
      </c>
      <c r="C37" s="577" t="str">
        <f>'הגבלה לסכום מבוקש (1)'!C27</f>
        <v>אופיר יודילביץ</v>
      </c>
      <c r="D37" s="453">
        <f>'הגבלה לסכום מבוקש (1)'!U27</f>
        <v>114862.59201054431</v>
      </c>
      <c r="E37" s="334"/>
      <c r="F37" s="454">
        <f t="shared" si="0"/>
        <v>0</v>
      </c>
      <c r="G37" s="455">
        <f t="shared" si="1"/>
        <v>114862.59201054431</v>
      </c>
      <c r="H37" s="455">
        <f t="shared" si="2"/>
        <v>114862.59201054431</v>
      </c>
      <c r="J37" s="451">
        <f>IF($C37="","",IFERROR(IF('קיזוזים- החלטות ועדה'!E37=0,0,1),0))</f>
        <v>0</v>
      </c>
      <c r="K37" s="451">
        <f t="shared" si="3"/>
        <v>0</v>
      </c>
      <c r="L37" s="451">
        <f t="shared" si="4"/>
        <v>0</v>
      </c>
      <c r="M37" s="456">
        <f t="shared" si="5"/>
        <v>0</v>
      </c>
    </row>
    <row r="38" spans="2:13" ht="20.25" x14ac:dyDescent="0.25">
      <c r="B38" s="577">
        <f>'הגבלה לסכום מבוקש (1)'!B28</f>
        <v>8</v>
      </c>
      <c r="C38" s="577" t="str">
        <f>'הגבלה לסכום מבוקש (1)'!C28</f>
        <v>אור מרין ואורן נחום</v>
      </c>
      <c r="D38" s="453">
        <f>'הגבלה לסכום מבוקש (1)'!U28</f>
        <v>93831.416403847645</v>
      </c>
      <c r="E38" s="334"/>
      <c r="F38" s="454">
        <f t="shared" si="0"/>
        <v>0</v>
      </c>
      <c r="G38" s="455">
        <f t="shared" si="1"/>
        <v>93831.416403847645</v>
      </c>
      <c r="H38" s="455">
        <f t="shared" si="2"/>
        <v>93831.416403847645</v>
      </c>
      <c r="J38" s="451">
        <f>IF($C38="","",IFERROR(IF('קיזוזים- החלטות ועדה'!E38=0,0,1),0))</f>
        <v>0</v>
      </c>
      <c r="K38" s="451">
        <f t="shared" si="3"/>
        <v>0</v>
      </c>
      <c r="L38" s="451">
        <f t="shared" si="4"/>
        <v>0</v>
      </c>
      <c r="M38" s="456">
        <f t="shared" si="5"/>
        <v>0</v>
      </c>
    </row>
    <row r="39" spans="2:13" ht="20.25" x14ac:dyDescent="0.25">
      <c r="B39" s="577">
        <f>'הגבלה לסכום מבוקש (1)'!B29</f>
        <v>9</v>
      </c>
      <c r="C39" s="577" t="str">
        <f>'הגבלה לסכום מבוקש (1)'!C29</f>
        <v>אורי שפיר</v>
      </c>
      <c r="D39" s="453">
        <f>'הגבלה לסכום מבוקש (1)'!U29</f>
        <v>97444.123020957297</v>
      </c>
      <c r="E39" s="334"/>
      <c r="F39" s="454">
        <f t="shared" si="0"/>
        <v>0</v>
      </c>
      <c r="G39" s="455">
        <f t="shared" si="1"/>
        <v>97444.123020957297</v>
      </c>
      <c r="H39" s="455">
        <f t="shared" si="2"/>
        <v>97444.123020957297</v>
      </c>
      <c r="J39" s="451">
        <f>IF($C39="","",IFERROR(IF('קיזוזים- החלטות ועדה'!E39=0,0,1),0))</f>
        <v>0</v>
      </c>
      <c r="K39" s="451">
        <f t="shared" si="3"/>
        <v>0</v>
      </c>
      <c r="L39" s="451">
        <f t="shared" si="4"/>
        <v>0</v>
      </c>
      <c r="M39" s="456">
        <f t="shared" si="5"/>
        <v>0</v>
      </c>
    </row>
    <row r="40" spans="2:13" ht="20.25" x14ac:dyDescent="0.25">
      <c r="B40" s="577">
        <f>'הגבלה לסכום מבוקש (1)'!B30</f>
        <v>10</v>
      </c>
      <c r="C40" s="577" t="str">
        <f>'הגבלה לסכום מבוקש (1)'!C30</f>
        <v>אורלי פורטל</v>
      </c>
      <c r="D40" s="453">
        <f>'הגבלה לסכום מבוקש (1)'!U30</f>
        <v>161399.68566352935</v>
      </c>
      <c r="E40" s="334"/>
      <c r="F40" s="454">
        <f t="shared" si="0"/>
        <v>0</v>
      </c>
      <c r="G40" s="455">
        <f t="shared" si="1"/>
        <v>161399.68566352935</v>
      </c>
      <c r="H40" s="455">
        <f t="shared" si="2"/>
        <v>161399.68566352935</v>
      </c>
      <c r="J40" s="451">
        <f>IF($C40="","",IFERROR(IF('קיזוזים- החלטות ועדה'!E40=0,0,1),0))</f>
        <v>0</v>
      </c>
      <c r="K40" s="451">
        <f t="shared" si="3"/>
        <v>0</v>
      </c>
      <c r="L40" s="451">
        <f t="shared" si="4"/>
        <v>0</v>
      </c>
      <c r="M40" s="456">
        <f t="shared" si="5"/>
        <v>0</v>
      </c>
    </row>
    <row r="41" spans="2:13" ht="20.25" x14ac:dyDescent="0.25">
      <c r="B41" s="577" t="str">
        <f>'הגבלה לסכום מבוקש (1)'!B31</f>
        <v/>
      </c>
      <c r="C41" s="577" t="str">
        <f>'הגבלה לסכום מבוקש (1)'!C31</f>
        <v/>
      </c>
      <c r="D41" s="453" t="str">
        <f>'הגבלה לסכום מבוקש (1)'!U31</f>
        <v/>
      </c>
      <c r="E41" s="334"/>
      <c r="F41" s="454" t="str">
        <f t="shared" si="0"/>
        <v/>
      </c>
      <c r="G41" s="455" t="str">
        <f t="shared" si="1"/>
        <v/>
      </c>
      <c r="H41" s="455" t="str">
        <f t="shared" si="2"/>
        <v/>
      </c>
      <c r="J41" s="451" t="str">
        <f>IF($C41="","",IFERROR(IF('קיזוזים- החלטות ועדה'!E41=0,0,1),0))</f>
        <v/>
      </c>
      <c r="K41" s="451" t="str">
        <f t="shared" si="3"/>
        <v/>
      </c>
      <c r="L41" s="451" t="str">
        <f t="shared" si="4"/>
        <v/>
      </c>
      <c r="M41" s="456" t="str">
        <f t="shared" si="5"/>
        <v/>
      </c>
    </row>
    <row r="42" spans="2:13" ht="20.25" x14ac:dyDescent="0.25">
      <c r="B42" s="577">
        <f>'הגבלה לסכום מבוקש (1)'!B32</f>
        <v>12</v>
      </c>
      <c r="C42" s="577" t="str">
        <f>'הגבלה לסכום מבוקש (1)'!C32</f>
        <v>אורין יוחנן</v>
      </c>
      <c r="D42" s="453">
        <f>'הגבלה לסכום מבוקש (1)'!U32</f>
        <v>60307.824388644935</v>
      </c>
      <c r="E42" s="334"/>
      <c r="F42" s="454">
        <f t="shared" si="0"/>
        <v>0</v>
      </c>
      <c r="G42" s="455">
        <f t="shared" si="1"/>
        <v>60307.824388644935</v>
      </c>
      <c r="H42" s="455">
        <f t="shared" si="2"/>
        <v>60307.824388644935</v>
      </c>
      <c r="J42" s="451">
        <f>IF($C42="","",IFERROR(IF('קיזוזים- החלטות ועדה'!E42=0,0,1),0))</f>
        <v>0</v>
      </c>
      <c r="K42" s="451">
        <f t="shared" si="3"/>
        <v>0</v>
      </c>
      <c r="L42" s="451">
        <f t="shared" si="4"/>
        <v>0</v>
      </c>
      <c r="M42" s="456">
        <f t="shared" si="5"/>
        <v>0</v>
      </c>
    </row>
    <row r="43" spans="2:13" ht="20.25" x14ac:dyDescent="0.25">
      <c r="B43" s="577">
        <f>'הגבלה לסכום מבוקש (1)'!B33</f>
        <v>13</v>
      </c>
      <c r="C43" s="577" t="str">
        <f>'הגבלה לסכום מבוקש (1)'!C33</f>
        <v>איריס ארז</v>
      </c>
      <c r="D43" s="453">
        <f>'הגבלה לסכום מבוקש (1)'!U33</f>
        <v>178616.29437415113</v>
      </c>
      <c r="E43" s="334"/>
      <c r="F43" s="454">
        <f t="shared" si="0"/>
        <v>0</v>
      </c>
      <c r="G43" s="455">
        <f t="shared" si="1"/>
        <v>178616.29437415113</v>
      </c>
      <c r="H43" s="455">
        <f t="shared" si="2"/>
        <v>178616.29437415113</v>
      </c>
      <c r="J43" s="451">
        <f>IF($C43="","",IFERROR(IF('קיזוזים- החלטות ועדה'!E43=0,0,1),0))</f>
        <v>0</v>
      </c>
      <c r="K43" s="451">
        <f t="shared" si="3"/>
        <v>0</v>
      </c>
      <c r="L43" s="451">
        <f t="shared" si="4"/>
        <v>0</v>
      </c>
      <c r="M43" s="456">
        <f t="shared" si="5"/>
        <v>0</v>
      </c>
    </row>
    <row r="44" spans="2:13" ht="20.25" x14ac:dyDescent="0.25">
      <c r="B44" s="577" t="str">
        <f>'הגבלה לסכום מבוקש (1)'!B34</f>
        <v/>
      </c>
      <c r="C44" s="577" t="str">
        <f>'הגבלה לסכום מבוקש (1)'!C34</f>
        <v/>
      </c>
      <c r="D44" s="453" t="str">
        <f>'הגבלה לסכום מבוקש (1)'!U34</f>
        <v/>
      </c>
      <c r="E44" s="334"/>
      <c r="F44" s="454" t="str">
        <f t="shared" si="0"/>
        <v/>
      </c>
      <c r="G44" s="455" t="str">
        <f t="shared" si="1"/>
        <v/>
      </c>
      <c r="H44" s="455" t="str">
        <f t="shared" si="2"/>
        <v/>
      </c>
      <c r="J44" s="451" t="str">
        <f>IF($C44="","",IFERROR(IF('קיזוזים- החלטות ועדה'!E44=0,0,1),0))</f>
        <v/>
      </c>
      <c r="K44" s="451" t="str">
        <f t="shared" si="3"/>
        <v/>
      </c>
      <c r="L44" s="451" t="str">
        <f t="shared" si="4"/>
        <v/>
      </c>
      <c r="M44" s="456" t="str">
        <f t="shared" si="5"/>
        <v/>
      </c>
    </row>
    <row r="45" spans="2:13" ht="20.25" x14ac:dyDescent="0.25">
      <c r="B45" s="577">
        <f>'הגבלה לסכום מבוקש (1)'!B35</f>
        <v>15</v>
      </c>
      <c r="C45" s="577" t="str">
        <f>'הגבלה לסכום מבוקש (1)'!C35</f>
        <v>ענבל אושמן</v>
      </c>
      <c r="D45" s="453">
        <f>'הגבלה לסכום מבוקש (1)'!U35</f>
        <v>72687.542690752671</v>
      </c>
      <c r="E45" s="334"/>
      <c r="F45" s="454">
        <f t="shared" si="0"/>
        <v>0</v>
      </c>
      <c r="G45" s="455">
        <f t="shared" si="1"/>
        <v>72687.542690752671</v>
      </c>
      <c r="H45" s="455">
        <f t="shared" si="2"/>
        <v>72687.542690752671</v>
      </c>
      <c r="J45" s="451">
        <f>IF($C45="","",IFERROR(IF('קיזוזים- החלטות ועדה'!E45=0,0,1),0))</f>
        <v>0</v>
      </c>
      <c r="K45" s="451">
        <f t="shared" si="3"/>
        <v>0</v>
      </c>
      <c r="L45" s="451">
        <f t="shared" si="4"/>
        <v>0</v>
      </c>
      <c r="M45" s="456">
        <f t="shared" si="5"/>
        <v>0</v>
      </c>
    </row>
    <row r="46" spans="2:13" ht="20.25" x14ac:dyDescent="0.25">
      <c r="B46" s="577">
        <f>'הגבלה לסכום מבוקש (1)'!B36</f>
        <v>16</v>
      </c>
      <c r="C46" s="577" t="str">
        <f>'הגבלה לסכום מבוקש (1)'!C36</f>
        <v>אנדריאה מרטיני</v>
      </c>
      <c r="D46" s="453">
        <f>'הגבלה לסכום מבוקש (1)'!U36</f>
        <v>88493.252872254627</v>
      </c>
      <c r="E46" s="334"/>
      <c r="F46" s="454">
        <f t="shared" si="0"/>
        <v>0</v>
      </c>
      <c r="G46" s="455">
        <f t="shared" si="1"/>
        <v>88493.252872254627</v>
      </c>
      <c r="H46" s="455">
        <f t="shared" si="2"/>
        <v>88493.252872254627</v>
      </c>
      <c r="J46" s="451">
        <f>IF($C46="","",IFERROR(IF('קיזוזים- החלטות ועדה'!E46=0,0,1),0))</f>
        <v>0</v>
      </c>
      <c r="K46" s="451">
        <f t="shared" si="3"/>
        <v>0</v>
      </c>
      <c r="L46" s="451">
        <f t="shared" si="4"/>
        <v>0</v>
      </c>
      <c r="M46" s="456">
        <f t="shared" si="5"/>
        <v>0</v>
      </c>
    </row>
    <row r="47" spans="2:13" ht="20.25" x14ac:dyDescent="0.25">
      <c r="B47" s="577">
        <f>'הגבלה לסכום מבוקש (1)'!B37</f>
        <v>17</v>
      </c>
      <c r="C47" s="577" t="str">
        <f>'הגבלה לסכום מבוקש (1)'!C37</f>
        <v>אפרת רובין</v>
      </c>
      <c r="D47" s="453">
        <f>'הגבלה לסכום מבוקש (1)'!U37</f>
        <v>53850.497509441266</v>
      </c>
      <c r="E47" s="334"/>
      <c r="F47" s="454">
        <f t="shared" si="0"/>
        <v>0</v>
      </c>
      <c r="G47" s="455">
        <f t="shared" si="1"/>
        <v>53850.497509441266</v>
      </c>
      <c r="H47" s="455">
        <f t="shared" si="2"/>
        <v>53850.497509441266</v>
      </c>
      <c r="J47" s="451">
        <f>IF($C47="","",IFERROR(IF('קיזוזים- החלטות ועדה'!E47=0,0,1),0))</f>
        <v>0</v>
      </c>
      <c r="K47" s="451">
        <f t="shared" si="3"/>
        <v>0</v>
      </c>
      <c r="L47" s="451">
        <f t="shared" si="4"/>
        <v>0</v>
      </c>
      <c r="M47" s="456">
        <f t="shared" si="5"/>
        <v>0</v>
      </c>
    </row>
    <row r="48" spans="2:13" ht="20.25" x14ac:dyDescent="0.25">
      <c r="B48" s="577">
        <f>'הגבלה לסכום מבוקש (1)'!B38</f>
        <v>18</v>
      </c>
      <c r="C48" s="577" t="str">
        <f>'הגבלה לסכום מבוקש (1)'!C38</f>
        <v>שרון צוקרמן</v>
      </c>
      <c r="D48" s="453">
        <f>'הגבלה לסכום מבוקש (1)'!U38</f>
        <v>57029.991314677951</v>
      </c>
      <c r="E48" s="334"/>
      <c r="F48" s="454">
        <f t="shared" si="0"/>
        <v>0</v>
      </c>
      <c r="G48" s="455">
        <f t="shared" si="1"/>
        <v>57029.991314677951</v>
      </c>
      <c r="H48" s="455">
        <f t="shared" si="2"/>
        <v>57029.991314677951</v>
      </c>
      <c r="J48" s="451">
        <f>IF($C48="","",IFERROR(IF('קיזוזים- החלטות ועדה'!E48=0,0,1),0))</f>
        <v>0</v>
      </c>
      <c r="K48" s="451">
        <f t="shared" si="3"/>
        <v>0</v>
      </c>
      <c r="L48" s="451">
        <f t="shared" si="4"/>
        <v>0</v>
      </c>
      <c r="M48" s="456">
        <f t="shared" si="5"/>
        <v>0</v>
      </c>
    </row>
    <row r="49" spans="2:13" ht="20.25" x14ac:dyDescent="0.25">
      <c r="B49" s="577">
        <f>'הגבלה לסכום מבוקש (1)'!B39</f>
        <v>19</v>
      </c>
      <c r="C49" s="577" t="str">
        <f>'הגבלה לסכום מבוקש (1)'!C39</f>
        <v>בשמת נוסן</v>
      </c>
      <c r="D49" s="453">
        <f>'הגבלה לסכום מבוקש (1)'!U39</f>
        <v>86004.112791956315</v>
      </c>
      <c r="E49" s="334"/>
      <c r="F49" s="454">
        <f t="shared" si="0"/>
        <v>0</v>
      </c>
      <c r="G49" s="455">
        <f t="shared" si="1"/>
        <v>86004.112791956315</v>
      </c>
      <c r="H49" s="455">
        <f t="shared" si="2"/>
        <v>86004.112791956315</v>
      </c>
      <c r="J49" s="451">
        <f>IF($C49="","",IFERROR(IF('קיזוזים- החלטות ועדה'!E49=0,0,1),0))</f>
        <v>0</v>
      </c>
      <c r="K49" s="451">
        <f t="shared" si="3"/>
        <v>0</v>
      </c>
      <c r="L49" s="451">
        <f t="shared" si="4"/>
        <v>0</v>
      </c>
      <c r="M49" s="456">
        <f t="shared" si="5"/>
        <v>0</v>
      </c>
    </row>
    <row r="50" spans="2:13" ht="20.25" x14ac:dyDescent="0.25">
      <c r="B50" s="577">
        <f>'הגבלה לסכום מבוקש (1)'!B40</f>
        <v>20</v>
      </c>
      <c r="C50" s="577" t="str">
        <f>'הגבלה לסכום מבוקש (1)'!C40</f>
        <v>גיל קרר</v>
      </c>
      <c r="D50" s="453">
        <f>'הגבלה לסכום מבוקש (1)'!U40</f>
        <v>113536.81610402498</v>
      </c>
      <c r="E50" s="334"/>
      <c r="F50" s="454">
        <f t="shared" si="0"/>
        <v>0</v>
      </c>
      <c r="G50" s="455">
        <f t="shared" si="1"/>
        <v>113536.81610402498</v>
      </c>
      <c r="H50" s="455">
        <f t="shared" si="2"/>
        <v>113536.81610402498</v>
      </c>
      <c r="J50" s="451">
        <f>IF($C50="","",IFERROR(IF('קיזוזים- החלטות ועדה'!E50=0,0,1),0))</f>
        <v>0</v>
      </c>
      <c r="K50" s="451">
        <f t="shared" si="3"/>
        <v>0</v>
      </c>
      <c r="L50" s="451">
        <f t="shared" si="4"/>
        <v>0</v>
      </c>
      <c r="M50" s="456">
        <f t="shared" si="5"/>
        <v>0</v>
      </c>
    </row>
    <row r="51" spans="2:13" ht="20.25" x14ac:dyDescent="0.25">
      <c r="B51" s="577">
        <f>'הגבלה לסכום מבוקש (1)'!B41</f>
        <v>21</v>
      </c>
      <c r="C51" s="577" t="str">
        <f>'הגבלה לסכום מבוקש (1)'!C41</f>
        <v>דינה תלם</v>
      </c>
      <c r="D51" s="453">
        <f>'הגבלה לסכום מבוקש (1)'!U41</f>
        <v>100979.40156809468</v>
      </c>
      <c r="E51" s="334"/>
      <c r="F51" s="454">
        <f t="shared" si="0"/>
        <v>0</v>
      </c>
      <c r="G51" s="455">
        <f t="shared" si="1"/>
        <v>100979.40156809468</v>
      </c>
      <c r="H51" s="455">
        <f t="shared" si="2"/>
        <v>100979.40156809468</v>
      </c>
      <c r="J51" s="451">
        <f>IF($C51="","",IFERROR(IF('קיזוזים- החלטות ועדה'!E51=0,0,1),0))</f>
        <v>0</v>
      </c>
      <c r="K51" s="451">
        <f t="shared" si="3"/>
        <v>0</v>
      </c>
      <c r="L51" s="451">
        <f t="shared" si="4"/>
        <v>0</v>
      </c>
      <c r="M51" s="456">
        <f t="shared" si="5"/>
        <v>0</v>
      </c>
    </row>
    <row r="52" spans="2:13" ht="20.25" x14ac:dyDescent="0.25">
      <c r="B52" s="577">
        <f>'הגבלה לסכום מבוקש (1)'!B42</f>
        <v>22</v>
      </c>
      <c r="C52" s="577" t="str">
        <f>'הגבלה לסכום מבוקש (1)'!C42</f>
        <v>דנה יהלומי</v>
      </c>
      <c r="D52" s="453">
        <f>'הגבלה לסכום מבוקש (1)'!U42</f>
        <v>110933.21754130145</v>
      </c>
      <c r="E52" s="334"/>
      <c r="F52" s="454">
        <f t="shared" si="0"/>
        <v>0</v>
      </c>
      <c r="G52" s="455">
        <f t="shared" si="1"/>
        <v>110933.21754130145</v>
      </c>
      <c r="H52" s="455">
        <f t="shared" si="2"/>
        <v>110933.21754130145</v>
      </c>
      <c r="J52" s="451">
        <f>IF($C52="","",IFERROR(IF('קיזוזים- החלטות ועדה'!E52=0,0,1),0))</f>
        <v>0</v>
      </c>
      <c r="K52" s="451">
        <f t="shared" si="3"/>
        <v>0</v>
      </c>
      <c r="L52" s="451">
        <f t="shared" si="4"/>
        <v>0</v>
      </c>
      <c r="M52" s="456">
        <f t="shared" si="5"/>
        <v>0</v>
      </c>
    </row>
    <row r="53" spans="2:13" ht="20.25" x14ac:dyDescent="0.25">
      <c r="B53" s="577">
        <f>'הגבלה לסכום מבוקש (1)'!B43</f>
        <v>23</v>
      </c>
      <c r="C53" s="577" t="str">
        <f>'הגבלה לסכום מבוקש (1)'!C43</f>
        <v>דנה רוטנברג</v>
      </c>
      <c r="D53" s="453">
        <f>'הגבלה לסכום מבוקש (1)'!U43</f>
        <v>109729.57884510509</v>
      </c>
      <c r="E53" s="334"/>
      <c r="F53" s="454">
        <f t="shared" si="0"/>
        <v>0</v>
      </c>
      <c r="G53" s="455">
        <f t="shared" si="1"/>
        <v>109729.57884510509</v>
      </c>
      <c r="H53" s="455">
        <f t="shared" si="2"/>
        <v>109729.57884510509</v>
      </c>
      <c r="J53" s="451">
        <f>IF($C53="","",IFERROR(IF('קיזוזים- החלטות ועדה'!E53=0,0,1),0))</f>
        <v>0</v>
      </c>
      <c r="K53" s="451">
        <f t="shared" si="3"/>
        <v>0</v>
      </c>
      <c r="L53" s="451">
        <f t="shared" si="4"/>
        <v>0</v>
      </c>
      <c r="M53" s="456">
        <f t="shared" si="5"/>
        <v>0</v>
      </c>
    </row>
    <row r="54" spans="2:13" ht="20.25" x14ac:dyDescent="0.25">
      <c r="B54" s="577">
        <f>'הגבלה לסכום מבוקש (1)'!B44</f>
        <v>24</v>
      </c>
      <c r="C54" s="577" t="str">
        <f>'הגבלה לסכום מבוקש (1)'!C44</f>
        <v>דפי אלטבב</v>
      </c>
      <c r="D54" s="453">
        <f>'הגבלה לסכום מבוקש (1)'!U44</f>
        <v>109025.45395516041</v>
      </c>
      <c r="E54" s="334"/>
      <c r="F54" s="454">
        <f t="shared" si="0"/>
        <v>0</v>
      </c>
      <c r="G54" s="455">
        <f t="shared" si="1"/>
        <v>109025.45395516041</v>
      </c>
      <c r="H54" s="455">
        <f t="shared" si="2"/>
        <v>109025.45395516041</v>
      </c>
      <c r="J54" s="451">
        <f>IF($C54="","",IFERROR(IF('קיזוזים- החלטות ועדה'!E54=0,0,1),0))</f>
        <v>0</v>
      </c>
      <c r="K54" s="451">
        <f t="shared" si="3"/>
        <v>0</v>
      </c>
      <c r="L54" s="451">
        <f t="shared" si="4"/>
        <v>0</v>
      </c>
      <c r="M54" s="456">
        <f t="shared" si="5"/>
        <v>0</v>
      </c>
    </row>
    <row r="55" spans="2:13" ht="20.25" x14ac:dyDescent="0.25">
      <c r="B55" s="577">
        <f>'הגבלה לסכום מבוקש (1)'!B45</f>
        <v>25</v>
      </c>
      <c r="C55" s="577" t="str">
        <f>'הגבלה לסכום מבוקש (1)'!C45</f>
        <v>הלל קוגן</v>
      </c>
      <c r="D55" s="453">
        <f>'הגבלה לסכום מבוקש (1)'!U45</f>
        <v>112702.3520601965</v>
      </c>
      <c r="E55" s="334"/>
      <c r="F55" s="454">
        <f t="shared" si="0"/>
        <v>0</v>
      </c>
      <c r="G55" s="455">
        <f t="shared" si="1"/>
        <v>112702.3520601965</v>
      </c>
      <c r="H55" s="455">
        <f t="shared" si="2"/>
        <v>112702.3520601965</v>
      </c>
      <c r="J55" s="451">
        <f>IF($C55="","",IFERROR(IF('קיזוזים- החלטות ועדה'!E55=0,0,1),0))</f>
        <v>0</v>
      </c>
      <c r="K55" s="451">
        <f t="shared" si="3"/>
        <v>0</v>
      </c>
      <c r="L55" s="451">
        <f t="shared" si="4"/>
        <v>0</v>
      </c>
      <c r="M55" s="456">
        <f t="shared" si="5"/>
        <v>0</v>
      </c>
    </row>
    <row r="56" spans="2:13" ht="20.25" x14ac:dyDescent="0.25">
      <c r="B56" s="577">
        <f>'הגבלה לסכום מבוקש (1)'!B46</f>
        <v>26</v>
      </c>
      <c r="C56" s="577" t="str">
        <f>'הגבלה לסכום מבוקש (1)'!C46</f>
        <v>אנאבל דביר</v>
      </c>
      <c r="D56" s="453">
        <f>'הגבלה לסכום מבוקש (1)'!U46</f>
        <v>116980.91648142903</v>
      </c>
      <c r="E56" s="334"/>
      <c r="F56" s="454">
        <f t="shared" si="0"/>
        <v>0</v>
      </c>
      <c r="G56" s="455">
        <f t="shared" si="1"/>
        <v>116980.91648142903</v>
      </c>
      <c r="H56" s="455">
        <f t="shared" si="2"/>
        <v>116980.91648142903</v>
      </c>
      <c r="J56" s="451">
        <f>IF($C56="","",IFERROR(IF('קיזוזים- החלטות ועדה'!E56=0,0,1),0))</f>
        <v>0</v>
      </c>
      <c r="K56" s="451">
        <f t="shared" si="3"/>
        <v>0</v>
      </c>
      <c r="L56" s="451">
        <f t="shared" si="4"/>
        <v>0</v>
      </c>
      <c r="M56" s="456">
        <f t="shared" si="5"/>
        <v>0</v>
      </c>
    </row>
    <row r="57" spans="2:13" ht="20.25" x14ac:dyDescent="0.25">
      <c r="B57" s="577">
        <f>'הגבלה לסכום מבוקש (1)'!B47</f>
        <v>27</v>
      </c>
      <c r="C57" s="577" t="str">
        <f>'הגבלה לסכום מבוקש (1)'!C47</f>
        <v>יוסי ברג ועודד גרף</v>
      </c>
      <c r="D57" s="453">
        <f>'הגבלה לסכום מבוקש (1)'!U47</f>
        <v>173067.58694812746</v>
      </c>
      <c r="E57" s="334"/>
      <c r="F57" s="454">
        <f t="shared" si="0"/>
        <v>0</v>
      </c>
      <c r="G57" s="455">
        <f t="shared" si="1"/>
        <v>173067.58694812746</v>
      </c>
      <c r="H57" s="455">
        <f t="shared" si="2"/>
        <v>173067.58694812746</v>
      </c>
      <c r="J57" s="451">
        <f>IF($C57="","",IFERROR(IF('קיזוזים- החלטות ועדה'!E57=0,0,1),0))</f>
        <v>0</v>
      </c>
      <c r="K57" s="451">
        <f t="shared" si="3"/>
        <v>0</v>
      </c>
      <c r="L57" s="451">
        <f t="shared" si="4"/>
        <v>0</v>
      </c>
      <c r="M57" s="456">
        <f t="shared" si="5"/>
        <v>0</v>
      </c>
    </row>
    <row r="58" spans="2:13" ht="20.25" x14ac:dyDescent="0.25">
      <c r="B58" s="577">
        <f>'הגבלה לסכום מבוקש (1)'!B48</f>
        <v>28</v>
      </c>
      <c r="C58" s="577" t="str">
        <f>'הגבלה לסכום מבוקש (1)'!C48</f>
        <v>נדין בומר</v>
      </c>
      <c r="D58" s="453">
        <f>'הגבלה לסכום מבוקש (1)'!U48</f>
        <v>103990.76163574668</v>
      </c>
      <c r="E58" s="334"/>
      <c r="F58" s="454">
        <f t="shared" si="0"/>
        <v>0</v>
      </c>
      <c r="G58" s="455">
        <f t="shared" si="1"/>
        <v>103990.76163574668</v>
      </c>
      <c r="H58" s="455">
        <f t="shared" si="2"/>
        <v>103990.76163574668</v>
      </c>
      <c r="J58" s="451">
        <f>IF($C58="","",IFERROR(IF('קיזוזים- החלטות ועדה'!E58=0,0,1),0))</f>
        <v>0</v>
      </c>
      <c r="K58" s="451">
        <f t="shared" si="3"/>
        <v>0</v>
      </c>
      <c r="L58" s="451">
        <f t="shared" si="4"/>
        <v>0</v>
      </c>
      <c r="M58" s="456">
        <f t="shared" si="5"/>
        <v>0</v>
      </c>
    </row>
    <row r="59" spans="2:13" ht="20.25" x14ac:dyDescent="0.25">
      <c r="B59" s="577">
        <f>'הגבלה לסכום מבוקש (1)'!B49</f>
        <v>29</v>
      </c>
      <c r="C59" s="577" t="str">
        <f>'הגבלה לסכום מבוקש (1)'!C49</f>
        <v xml:space="preserve">להקת בלט פאנוב </v>
      </c>
      <c r="D59" s="453">
        <f>'הגבלה לסכום מבוקש (1)'!U49</f>
        <v>298202.27934444277</v>
      </c>
      <c r="E59" s="334"/>
      <c r="F59" s="454">
        <f t="shared" si="0"/>
        <v>0</v>
      </c>
      <c r="G59" s="455">
        <f t="shared" si="1"/>
        <v>298202.27934444277</v>
      </c>
      <c r="H59" s="455">
        <f t="shared" si="2"/>
        <v>298202.27934444277</v>
      </c>
      <c r="J59" s="451">
        <f>IF($C59="","",IFERROR(IF('קיזוזים- החלטות ועדה'!E59=0,0,1),0))</f>
        <v>0</v>
      </c>
      <c r="K59" s="451">
        <f t="shared" si="3"/>
        <v>0</v>
      </c>
      <c r="L59" s="451">
        <f t="shared" si="4"/>
        <v>0</v>
      </c>
      <c r="M59" s="456">
        <f t="shared" si="5"/>
        <v>0</v>
      </c>
    </row>
    <row r="60" spans="2:13" ht="20.25" x14ac:dyDescent="0.25">
      <c r="B60" s="577" t="str">
        <f>'הגבלה לסכום מבוקש (1)'!B50</f>
        <v/>
      </c>
      <c r="C60" s="577" t="str">
        <f>'הגבלה לסכום מבוקש (1)'!C50</f>
        <v/>
      </c>
      <c r="D60" s="453" t="str">
        <f>'הגבלה לסכום מבוקש (1)'!U50</f>
        <v/>
      </c>
      <c r="E60" s="334"/>
      <c r="F60" s="454" t="str">
        <f t="shared" si="0"/>
        <v/>
      </c>
      <c r="G60" s="455" t="str">
        <f t="shared" si="1"/>
        <v/>
      </c>
      <c r="H60" s="455" t="str">
        <f t="shared" si="2"/>
        <v/>
      </c>
      <c r="J60" s="451" t="str">
        <f>IF($C60="","",IFERROR(IF('קיזוזים- החלטות ועדה'!E60=0,0,1),0))</f>
        <v/>
      </c>
      <c r="K60" s="451" t="str">
        <f t="shared" si="3"/>
        <v/>
      </c>
      <c r="L60" s="451" t="str">
        <f t="shared" si="4"/>
        <v/>
      </c>
      <c r="M60" s="456" t="str">
        <f t="shared" si="5"/>
        <v/>
      </c>
    </row>
    <row r="61" spans="2:13" ht="20.25" x14ac:dyDescent="0.25">
      <c r="B61" s="577" t="str">
        <f>'הגבלה לסכום מבוקש (1)'!B51</f>
        <v/>
      </c>
      <c r="C61" s="577" t="str">
        <f>'הגבלה לסכום מבוקש (1)'!C51</f>
        <v/>
      </c>
      <c r="D61" s="453" t="str">
        <f>'הגבלה לסכום מבוקש (1)'!U51</f>
        <v/>
      </c>
      <c r="E61" s="334"/>
      <c r="F61" s="454" t="str">
        <f t="shared" si="0"/>
        <v/>
      </c>
      <c r="G61" s="455" t="str">
        <f t="shared" si="1"/>
        <v/>
      </c>
      <c r="H61" s="455" t="str">
        <f t="shared" si="2"/>
        <v/>
      </c>
      <c r="J61" s="451" t="str">
        <f>IF($C61="","",IFERROR(IF('קיזוזים- החלטות ועדה'!E61=0,0,1),0))</f>
        <v/>
      </c>
      <c r="K61" s="451" t="str">
        <f t="shared" si="3"/>
        <v/>
      </c>
      <c r="L61" s="451" t="str">
        <f t="shared" si="4"/>
        <v/>
      </c>
      <c r="M61" s="456" t="str">
        <f t="shared" si="5"/>
        <v/>
      </c>
    </row>
    <row r="62" spans="2:13" ht="20.25" x14ac:dyDescent="0.25">
      <c r="B62" s="577">
        <f>'הגבלה לסכום מבוקש (1)'!B52</f>
        <v>32</v>
      </c>
      <c r="C62" s="577" t="str">
        <f>'הגבלה לסכום מבוקש (1)'!C52</f>
        <v>מיכל סממה</v>
      </c>
      <c r="D62" s="453">
        <f>'הגבלה לסכום מבוקש (1)'!U52</f>
        <v>57262.444126778522</v>
      </c>
      <c r="E62" s="334"/>
      <c r="F62" s="454">
        <f t="shared" si="0"/>
        <v>0</v>
      </c>
      <c r="G62" s="455">
        <f t="shared" si="1"/>
        <v>57262.444126778522</v>
      </c>
      <c r="H62" s="455">
        <f t="shared" si="2"/>
        <v>57262.444126778522</v>
      </c>
      <c r="J62" s="451">
        <f>IF($C62="","",IFERROR(IF('קיזוזים- החלטות ועדה'!E62=0,0,1),0))</f>
        <v>0</v>
      </c>
      <c r="K62" s="451">
        <f t="shared" si="3"/>
        <v>0</v>
      </c>
      <c r="L62" s="451">
        <f t="shared" si="4"/>
        <v>0</v>
      </c>
      <c r="M62" s="456">
        <f t="shared" si="5"/>
        <v>0</v>
      </c>
    </row>
    <row r="63" spans="2:13" ht="20.25" x14ac:dyDescent="0.25">
      <c r="B63" s="577">
        <f>'הגבלה לסכום מבוקש (1)'!B53</f>
        <v>33</v>
      </c>
      <c r="C63" s="577" t="str">
        <f>'הגבלה לסכום מבוקש (1)'!C53</f>
        <v>מאיה ברינר</v>
      </c>
      <c r="D63" s="453">
        <f>'הגבלה לסכום מבוקש (1)'!U53</f>
        <v>244337.08564938902</v>
      </c>
      <c r="E63" s="334"/>
      <c r="F63" s="454">
        <f t="shared" si="0"/>
        <v>0</v>
      </c>
      <c r="G63" s="455">
        <f t="shared" si="1"/>
        <v>244337.08564938902</v>
      </c>
      <c r="H63" s="455">
        <f t="shared" si="2"/>
        <v>244337.08564938902</v>
      </c>
      <c r="J63" s="451">
        <f>IF($C63="","",IFERROR(IF('קיזוזים- החלטות ועדה'!E63=0,0,1),0))</f>
        <v>0</v>
      </c>
      <c r="K63" s="451">
        <f t="shared" si="3"/>
        <v>0</v>
      </c>
      <c r="L63" s="451">
        <f t="shared" si="4"/>
        <v>0</v>
      </c>
      <c r="M63" s="456">
        <f t="shared" si="5"/>
        <v>0</v>
      </c>
    </row>
    <row r="64" spans="2:13" ht="20.25" x14ac:dyDescent="0.25">
      <c r="B64" s="577">
        <f>'הגבלה לסכום מבוקש (1)'!B54</f>
        <v>34</v>
      </c>
      <c r="C64" s="577" t="str">
        <f>'הגבלה לסכום מבוקש (1)'!C54</f>
        <v>מאיה מכלל גלפנד</v>
      </c>
      <c r="D64" s="453">
        <f>'הגבלה לסכום מבוקש (1)'!U54</f>
        <v>47793.416642515156</v>
      </c>
      <c r="E64" s="334"/>
      <c r="F64" s="454">
        <f t="shared" si="0"/>
        <v>0</v>
      </c>
      <c r="G64" s="455">
        <f t="shared" si="1"/>
        <v>47793.416642515156</v>
      </c>
      <c r="H64" s="455">
        <f t="shared" si="2"/>
        <v>47793.416642515156</v>
      </c>
      <c r="J64" s="451">
        <f>IF($C64="","",IFERROR(IF('קיזוזים- החלטות ועדה'!E64=0,0,1),0))</f>
        <v>0</v>
      </c>
      <c r="K64" s="451">
        <f t="shared" si="3"/>
        <v>0</v>
      </c>
      <c r="L64" s="451">
        <f t="shared" si="4"/>
        <v>0</v>
      </c>
      <c r="M64" s="456">
        <f t="shared" si="5"/>
        <v>0</v>
      </c>
    </row>
    <row r="65" spans="2:13" ht="20.25" x14ac:dyDescent="0.25">
      <c r="B65" s="577">
        <f>'הגבלה לסכום מבוקש (1)'!B55</f>
        <v>35</v>
      </c>
      <c r="C65" s="577" t="str">
        <f>'הגבלה לסכום מבוקש (1)'!C55</f>
        <v>מיה שטרן ותומר שרעבי</v>
      </c>
      <c r="D65" s="453">
        <f>'הגבלה לסכום מבוקש (1)'!U55</f>
        <v>57779.608282467852</v>
      </c>
      <c r="E65" s="334"/>
      <c r="F65" s="454">
        <f t="shared" si="0"/>
        <v>0</v>
      </c>
      <c r="G65" s="455">
        <f t="shared" si="1"/>
        <v>57779.608282467852</v>
      </c>
      <c r="H65" s="455">
        <f t="shared" si="2"/>
        <v>57779.608282467852</v>
      </c>
      <c r="J65" s="451">
        <f>IF($C65="","",IFERROR(IF('קיזוזים- החלטות ועדה'!E65=0,0,1),0))</f>
        <v>0</v>
      </c>
      <c r="K65" s="451">
        <f t="shared" si="3"/>
        <v>0</v>
      </c>
      <c r="L65" s="451">
        <f t="shared" si="4"/>
        <v>0</v>
      </c>
      <c r="M65" s="456">
        <f t="shared" si="5"/>
        <v>0</v>
      </c>
    </row>
    <row r="66" spans="2:13" ht="20.25" x14ac:dyDescent="0.25">
      <c r="B66" s="577">
        <f>'הגבלה לסכום מבוקש (1)'!B56</f>
        <v>36</v>
      </c>
      <c r="C66" s="577" t="str">
        <f>'הגבלה לסכום מבוקש (1)'!C56</f>
        <v>מיכאל גטמן</v>
      </c>
      <c r="D66" s="453">
        <f>'הגבלה לסכום מבוקש (1)'!U56</f>
        <v>121187.52481657029</v>
      </c>
      <c r="E66" s="334"/>
      <c r="F66" s="454">
        <f t="shared" si="0"/>
        <v>0</v>
      </c>
      <c r="G66" s="455">
        <f t="shared" si="1"/>
        <v>121187.52481657029</v>
      </c>
      <c r="H66" s="455">
        <f t="shared" si="2"/>
        <v>121187.52481657029</v>
      </c>
      <c r="J66" s="451">
        <f>IF($C66="","",IFERROR(IF('קיזוזים- החלטות ועדה'!E66=0,0,1),0))</f>
        <v>0</v>
      </c>
      <c r="K66" s="451">
        <f t="shared" si="3"/>
        <v>0</v>
      </c>
      <c r="L66" s="451">
        <f t="shared" si="4"/>
        <v>0</v>
      </c>
      <c r="M66" s="456">
        <f t="shared" si="5"/>
        <v>0</v>
      </c>
    </row>
    <row r="67" spans="2:13" ht="20.25" x14ac:dyDescent="0.25">
      <c r="B67" s="577">
        <f>'הגבלה לסכום מבוקש (1)'!B57</f>
        <v>37</v>
      </c>
      <c r="C67" s="577" t="str">
        <f>'הגבלה לסכום מבוקש (1)'!C57</f>
        <v>מיכל הרמן</v>
      </c>
      <c r="D67" s="453">
        <f>'הגבלה לסכום מבוקש (1)'!U57</f>
        <v>47100.992027626431</v>
      </c>
      <c r="E67" s="334"/>
      <c r="F67" s="454">
        <f t="shared" si="0"/>
        <v>0</v>
      </c>
      <c r="G67" s="455">
        <f t="shared" si="1"/>
        <v>47100.992027626431</v>
      </c>
      <c r="H67" s="455">
        <f t="shared" si="2"/>
        <v>47100.992027626431</v>
      </c>
      <c r="J67" s="451">
        <f>IF($C67="","",IFERROR(IF('קיזוזים- החלטות ועדה'!E67=0,0,1),0))</f>
        <v>0</v>
      </c>
      <c r="K67" s="451">
        <f t="shared" si="3"/>
        <v>0</v>
      </c>
      <c r="L67" s="451">
        <f t="shared" si="4"/>
        <v>0</v>
      </c>
      <c r="M67" s="456">
        <f t="shared" si="5"/>
        <v>0</v>
      </c>
    </row>
    <row r="68" spans="2:13" ht="20.25" x14ac:dyDescent="0.25">
      <c r="B68" s="577">
        <f>'הגבלה לסכום מבוקש (1)'!B58</f>
        <v>38</v>
      </c>
      <c r="C68" s="577" t="str">
        <f>'הגבלה לסכום מבוקש (1)'!C58</f>
        <v>מירב דגן</v>
      </c>
      <c r="D68" s="453">
        <f>'הגבלה לסכום מבוקש (1)'!U58</f>
        <v>76204.97842413919</v>
      </c>
      <c r="E68" s="334"/>
      <c r="F68" s="454">
        <f t="shared" si="0"/>
        <v>0</v>
      </c>
      <c r="G68" s="455">
        <f t="shared" si="1"/>
        <v>76204.97842413919</v>
      </c>
      <c r="H68" s="455">
        <f t="shared" si="2"/>
        <v>76204.97842413919</v>
      </c>
      <c r="J68" s="451">
        <f>IF($C68="","",IFERROR(IF('קיזוזים- החלטות ועדה'!E68=0,0,1),0))</f>
        <v>0</v>
      </c>
      <c r="K68" s="451">
        <f t="shared" si="3"/>
        <v>0</v>
      </c>
      <c r="L68" s="451">
        <f t="shared" si="4"/>
        <v>0</v>
      </c>
      <c r="M68" s="456">
        <f t="shared" si="5"/>
        <v>0</v>
      </c>
    </row>
    <row r="69" spans="2:13" ht="20.25" x14ac:dyDescent="0.25">
      <c r="B69" s="577">
        <f>'הגבלה לסכום מבוקש (1)'!B59</f>
        <v>39</v>
      </c>
      <c r="C69" s="577" t="str">
        <f>'הגבלה לסכום מבוקש (1)'!C59</f>
        <v>תמר לם ודיוויד קרן</v>
      </c>
      <c r="D69" s="453">
        <f>'הגבלה לסכום מבוקש (1)'!U59</f>
        <v>50172.318265900591</v>
      </c>
      <c r="E69" s="334"/>
      <c r="F69" s="454">
        <f t="shared" si="0"/>
        <v>0</v>
      </c>
      <c r="G69" s="455">
        <f t="shared" si="1"/>
        <v>50172.318265900591</v>
      </c>
      <c r="H69" s="455">
        <f t="shared" si="2"/>
        <v>50172.318265900591</v>
      </c>
      <c r="J69" s="451">
        <f>IF($C69="","",IFERROR(IF('קיזוזים- החלטות ועדה'!E69=0,0,1),0))</f>
        <v>0</v>
      </c>
      <c r="K69" s="451">
        <f t="shared" si="3"/>
        <v>0</v>
      </c>
      <c r="L69" s="451">
        <f t="shared" si="4"/>
        <v>0</v>
      </c>
      <c r="M69" s="456">
        <f t="shared" si="5"/>
        <v>0</v>
      </c>
    </row>
    <row r="70" spans="2:13" ht="20.25" x14ac:dyDescent="0.25">
      <c r="B70" s="577">
        <f>'הגבלה לסכום מבוקש (1)'!B60</f>
        <v>40</v>
      </c>
      <c r="C70" s="577" t="str">
        <f>'הגבלה לסכום מבוקש (1)'!C60</f>
        <v>סיגל ברגמן</v>
      </c>
      <c r="D70" s="453">
        <f>'הגבלה לסכום מבוקש (1)'!U60</f>
        <v>71654.836597695656</v>
      </c>
      <c r="E70" s="334"/>
      <c r="F70" s="454">
        <f t="shared" si="0"/>
        <v>0</v>
      </c>
      <c r="G70" s="455">
        <f t="shared" si="1"/>
        <v>71654.836597695656</v>
      </c>
      <c r="H70" s="455">
        <f t="shared" si="2"/>
        <v>71654.836597695656</v>
      </c>
      <c r="J70" s="451">
        <f>IF($C70="","",IFERROR(IF('קיזוזים- החלטות ועדה'!E70=0,0,1),0))</f>
        <v>0</v>
      </c>
      <c r="K70" s="451">
        <f t="shared" si="3"/>
        <v>0</v>
      </c>
      <c r="L70" s="451">
        <f t="shared" si="4"/>
        <v>0</v>
      </c>
      <c r="M70" s="456">
        <f t="shared" si="5"/>
        <v>0</v>
      </c>
    </row>
    <row r="71" spans="2:13" ht="20.25" x14ac:dyDescent="0.25">
      <c r="B71" s="577">
        <f>'הגבלה לסכום מבוקש (1)'!B61</f>
        <v>41</v>
      </c>
      <c r="C71" s="577" t="str">
        <f>'הגבלה לסכום מבוקש (1)'!C61</f>
        <v>מעין ליבמן שרון</v>
      </c>
      <c r="D71" s="453">
        <f>'הגבלה לסכום מבוקש (1)'!U61</f>
        <v>85780.74494806923</v>
      </c>
      <c r="E71" s="334"/>
      <c r="F71" s="454">
        <f t="shared" si="0"/>
        <v>0</v>
      </c>
      <c r="G71" s="455">
        <f t="shared" si="1"/>
        <v>85780.74494806923</v>
      </c>
      <c r="H71" s="455">
        <f t="shared" si="2"/>
        <v>85780.74494806923</v>
      </c>
      <c r="J71" s="451">
        <f>IF($C71="","",IFERROR(IF('קיזוזים- החלטות ועדה'!E71=0,0,1),0))</f>
        <v>0</v>
      </c>
      <c r="K71" s="451">
        <f t="shared" si="3"/>
        <v>0</v>
      </c>
      <c r="L71" s="451">
        <f t="shared" si="4"/>
        <v>0</v>
      </c>
      <c r="M71" s="456">
        <f t="shared" si="5"/>
        <v>0</v>
      </c>
    </row>
    <row r="72" spans="2:13" ht="20.25" x14ac:dyDescent="0.25">
      <c r="B72" s="577">
        <f>'הגבלה לסכום מבוקש (1)'!B62</f>
        <v>42</v>
      </c>
      <c r="C72" s="577" t="str">
        <f>'הגבלה לסכום מבוקש (1)'!C62</f>
        <v>אודליה קופרברג</v>
      </c>
      <c r="D72" s="453">
        <f>'הגבלה לסכום מבוקש (1)'!U62</f>
        <v>54901.509227587921</v>
      </c>
      <c r="E72" s="334"/>
      <c r="F72" s="454">
        <f t="shared" si="0"/>
        <v>0</v>
      </c>
      <c r="G72" s="455">
        <f t="shared" si="1"/>
        <v>54901.509227587921</v>
      </c>
      <c r="H72" s="455">
        <f t="shared" si="2"/>
        <v>54901.509227587921</v>
      </c>
      <c r="J72" s="451">
        <f>IF($C72="","",IFERROR(IF('קיזוזים- החלטות ועדה'!E72=0,0,1),0))</f>
        <v>0</v>
      </c>
      <c r="K72" s="451">
        <f t="shared" si="3"/>
        <v>0</v>
      </c>
      <c r="L72" s="451">
        <f t="shared" si="4"/>
        <v>0</v>
      </c>
      <c r="M72" s="456">
        <f t="shared" si="5"/>
        <v>0</v>
      </c>
    </row>
    <row r="73" spans="2:13" ht="20.25" x14ac:dyDescent="0.25">
      <c r="B73" s="577">
        <f>'הגבלה לסכום מבוקש (1)'!B63</f>
        <v>43</v>
      </c>
      <c r="C73" s="577" t="str">
        <f>'הגבלה לסכום מבוקש (1)'!C63</f>
        <v>נועה צוק</v>
      </c>
      <c r="D73" s="453">
        <f>'הגבלה לסכום מבוקש (1)'!U63</f>
        <v>87659.146440685217</v>
      </c>
      <c r="E73" s="334"/>
      <c r="F73" s="454">
        <f t="shared" si="0"/>
        <v>0</v>
      </c>
      <c r="G73" s="455">
        <f t="shared" si="1"/>
        <v>87659.146440685217</v>
      </c>
      <c r="H73" s="455">
        <f t="shared" si="2"/>
        <v>87659.146440685217</v>
      </c>
      <c r="J73" s="451">
        <f>IF($C73="","",IFERROR(IF('קיזוזים- החלטות ועדה'!E73=0,0,1),0))</f>
        <v>0</v>
      </c>
      <c r="K73" s="451">
        <f t="shared" si="3"/>
        <v>0</v>
      </c>
      <c r="L73" s="451">
        <f t="shared" si="4"/>
        <v>0</v>
      </c>
      <c r="M73" s="456">
        <f t="shared" si="5"/>
        <v>0</v>
      </c>
    </row>
    <row r="74" spans="2:13" ht="20.25" x14ac:dyDescent="0.25">
      <c r="B74" s="577">
        <f>'הגבלה לסכום מבוקש (1)'!B64</f>
        <v>44</v>
      </c>
      <c r="C74" s="577" t="str">
        <f>'הגבלה לסכום מבוקש (1)'!C64</f>
        <v>נטע פולברמכר</v>
      </c>
      <c r="D74" s="453">
        <f>'הגבלה לסכום מבוקש (1)'!U64</f>
        <v>87692.594136023778</v>
      </c>
      <c r="E74" s="334"/>
      <c r="F74" s="454">
        <f t="shared" si="0"/>
        <v>0</v>
      </c>
      <c r="G74" s="455">
        <f t="shared" si="1"/>
        <v>87692.594136023778</v>
      </c>
      <c r="H74" s="455">
        <f t="shared" si="2"/>
        <v>87692.594136023778</v>
      </c>
      <c r="J74" s="451">
        <f>IF($C74="","",IFERROR(IF('קיזוזים- החלטות ועדה'!E74=0,0,1),0))</f>
        <v>0</v>
      </c>
      <c r="K74" s="451">
        <f t="shared" si="3"/>
        <v>0</v>
      </c>
      <c r="L74" s="451">
        <f t="shared" si="4"/>
        <v>0</v>
      </c>
      <c r="M74" s="456">
        <f t="shared" si="5"/>
        <v>0</v>
      </c>
    </row>
    <row r="75" spans="2:13" ht="20.25" x14ac:dyDescent="0.25">
      <c r="B75" s="577">
        <f>'הגבלה לסכום מבוקש (1)'!B65</f>
        <v>45</v>
      </c>
      <c r="C75" s="577" t="str">
        <f>'הגבלה לסכום מבוקש (1)'!C65</f>
        <v>ניב שינפלד ואורן לאור</v>
      </c>
      <c r="D75" s="453">
        <f>'הגבלה לסכום מבוקש (1)'!U65</f>
        <v>230514.79311682348</v>
      </c>
      <c r="E75" s="334"/>
      <c r="F75" s="454">
        <f t="shared" si="0"/>
        <v>0</v>
      </c>
      <c r="G75" s="455">
        <f t="shared" si="1"/>
        <v>230514.79311682348</v>
      </c>
      <c r="H75" s="455">
        <f t="shared" si="2"/>
        <v>230514.79311682348</v>
      </c>
      <c r="J75" s="451">
        <f>IF($C75="","",IFERROR(IF('קיזוזים- החלטות ועדה'!E75=0,0,1),0))</f>
        <v>0</v>
      </c>
      <c r="K75" s="451">
        <f t="shared" si="3"/>
        <v>0</v>
      </c>
      <c r="L75" s="451">
        <f t="shared" si="4"/>
        <v>0</v>
      </c>
      <c r="M75" s="456">
        <f t="shared" si="5"/>
        <v>0</v>
      </c>
    </row>
    <row r="76" spans="2:13" ht="20.25" x14ac:dyDescent="0.25">
      <c r="B76" s="577">
        <f>'הגבלה לסכום מבוקש (1)'!B66</f>
        <v>46</v>
      </c>
      <c r="C76" s="577" t="str">
        <f>'הגבלה לסכום מבוקש (1)'!C66</f>
        <v>נימה יעקובי</v>
      </c>
      <c r="D76" s="453">
        <f>'הגבלה לסכום מבוקש (1)'!U66</f>
        <v>177627.24083110233</v>
      </c>
      <c r="E76" s="334"/>
      <c r="F76" s="454">
        <f t="shared" si="0"/>
        <v>0</v>
      </c>
      <c r="G76" s="455">
        <f t="shared" si="1"/>
        <v>177627.24083110233</v>
      </c>
      <c r="H76" s="455">
        <f t="shared" si="2"/>
        <v>177627.24083110233</v>
      </c>
      <c r="J76" s="451">
        <f>IF($C76="","",IFERROR(IF('קיזוזים- החלטות ועדה'!E76=0,0,1),0))</f>
        <v>0</v>
      </c>
      <c r="K76" s="451">
        <f t="shared" si="3"/>
        <v>0</v>
      </c>
      <c r="L76" s="451">
        <f t="shared" si="4"/>
        <v>0</v>
      </c>
      <c r="M76" s="456">
        <f t="shared" si="5"/>
        <v>0</v>
      </c>
    </row>
    <row r="77" spans="2:13" ht="20.25" x14ac:dyDescent="0.25">
      <c r="B77" s="577">
        <f>'הגבלה לסכום מבוקש (1)'!B67</f>
        <v>47</v>
      </c>
      <c r="C77" s="577" t="str">
        <f>'הגבלה לסכום מבוקש (1)'!C67</f>
        <v>נמרוד פריד</v>
      </c>
      <c r="D77" s="453">
        <f>'הגבלה לסכום מבוקש (1)'!U67</f>
        <v>57317.825615401824</v>
      </c>
      <c r="E77" s="334"/>
      <c r="F77" s="454">
        <f t="shared" si="0"/>
        <v>0</v>
      </c>
      <c r="G77" s="455">
        <f t="shared" si="1"/>
        <v>57317.825615401824</v>
      </c>
      <c r="H77" s="455">
        <f t="shared" si="2"/>
        <v>57317.825615401824</v>
      </c>
      <c r="J77" s="451">
        <f>IF($C77="","",IFERROR(IF('קיזוזים- החלטות ועדה'!E77=0,0,1),0))</f>
        <v>0</v>
      </c>
      <c r="K77" s="451">
        <f t="shared" si="3"/>
        <v>0</v>
      </c>
      <c r="L77" s="451">
        <f t="shared" si="4"/>
        <v>0</v>
      </c>
      <c r="M77" s="456">
        <f t="shared" si="5"/>
        <v>0</v>
      </c>
    </row>
    <row r="78" spans="2:13" ht="20.25" x14ac:dyDescent="0.25">
      <c r="B78" s="577">
        <f>'הגבלה לסכום מבוקש (1)'!B68</f>
        <v>48</v>
      </c>
      <c r="C78" s="577" t="str">
        <f>'הגבלה לסכום מבוקש (1)'!C68</f>
        <v>נעה דר</v>
      </c>
      <c r="D78" s="453">
        <f>'הגבלה לסכום מבוקש (1)'!U68</f>
        <v>108324.59493064167</v>
      </c>
      <c r="E78" s="334"/>
      <c r="F78" s="454">
        <f t="shared" si="0"/>
        <v>0</v>
      </c>
      <c r="G78" s="455">
        <f t="shared" si="1"/>
        <v>108324.59493064167</v>
      </c>
      <c r="H78" s="455">
        <f t="shared" si="2"/>
        <v>108324.59493064167</v>
      </c>
      <c r="J78" s="451">
        <f>IF($C78="","",IFERROR(IF('קיזוזים- החלטות ועדה'!E78=0,0,1),0))</f>
        <v>0</v>
      </c>
      <c r="K78" s="451">
        <f t="shared" si="3"/>
        <v>0</v>
      </c>
      <c r="L78" s="451">
        <f t="shared" si="4"/>
        <v>0</v>
      </c>
      <c r="M78" s="456">
        <f t="shared" si="5"/>
        <v>0</v>
      </c>
    </row>
    <row r="79" spans="2:13" ht="20.25" x14ac:dyDescent="0.25">
      <c r="B79" s="577">
        <f>'הגבלה לסכום מבוקש (1)'!B69</f>
        <v>49</v>
      </c>
      <c r="C79" s="577" t="str">
        <f>'הגבלה לסכום מבוקש (1)'!C69</f>
        <v>נעה שדור</v>
      </c>
      <c r="D79" s="453">
        <f>'הגבלה לסכום מבוקש (1)'!U69</f>
        <v>45664.255160527457</v>
      </c>
      <c r="E79" s="334"/>
      <c r="F79" s="454">
        <f t="shared" si="0"/>
        <v>0</v>
      </c>
      <c r="G79" s="455">
        <f t="shared" si="1"/>
        <v>45664.255160527457</v>
      </c>
      <c r="H79" s="455">
        <f t="shared" si="2"/>
        <v>45664.255160527457</v>
      </c>
      <c r="J79" s="451">
        <f>IF($C79="","",IFERROR(IF('קיזוזים- החלטות ועדה'!E79=0,0,1),0))</f>
        <v>0</v>
      </c>
      <c r="K79" s="451">
        <f t="shared" si="3"/>
        <v>0</v>
      </c>
      <c r="L79" s="451">
        <f t="shared" si="4"/>
        <v>0</v>
      </c>
      <c r="M79" s="456">
        <f t="shared" si="5"/>
        <v>0</v>
      </c>
    </row>
    <row r="80" spans="2:13" ht="20.25" x14ac:dyDescent="0.25">
      <c r="B80" s="577">
        <f>'הגבלה לסכום מבוקש (1)'!B70</f>
        <v>50</v>
      </c>
      <c r="C80" s="577" t="str">
        <f>'הגבלה לסכום מבוקש (1)'!C70</f>
        <v>סאלי אן פרילנד</v>
      </c>
      <c r="D80" s="453">
        <f>'הגבלה לסכום מבוקש (1)'!U70</f>
        <v>57408.280918846685</v>
      </c>
      <c r="E80" s="334"/>
      <c r="F80" s="454">
        <f t="shared" si="0"/>
        <v>0</v>
      </c>
      <c r="G80" s="455">
        <f t="shared" si="1"/>
        <v>57408.280918846685</v>
      </c>
      <c r="H80" s="455">
        <f t="shared" si="2"/>
        <v>57408.280918846685</v>
      </c>
      <c r="J80" s="451">
        <f>IF($C80="","",IFERROR(IF('קיזוזים- החלטות ועדה'!E80=0,0,1),0))</f>
        <v>0</v>
      </c>
      <c r="K80" s="451">
        <f t="shared" si="3"/>
        <v>0</v>
      </c>
      <c r="L80" s="451">
        <f t="shared" si="4"/>
        <v>0</v>
      </c>
      <c r="M80" s="456">
        <f t="shared" si="5"/>
        <v>0</v>
      </c>
    </row>
    <row r="81" spans="2:13" ht="20.25" x14ac:dyDescent="0.25">
      <c r="B81" s="577">
        <f>'הגבלה לסכום מבוקש (1)'!B71</f>
        <v>51</v>
      </c>
      <c r="C81" s="577" t="str">
        <f>'הגבלה לסכום מבוקש (1)'!C71</f>
        <v>סהר עזימי</v>
      </c>
      <c r="D81" s="453">
        <f>'הגבלה לסכום מבוקש (1)'!U71</f>
        <v>72648.154513605958</v>
      </c>
      <c r="E81" s="334"/>
      <c r="F81" s="454">
        <f t="shared" si="0"/>
        <v>0</v>
      </c>
      <c r="G81" s="455">
        <f t="shared" si="1"/>
        <v>72648.154513605958</v>
      </c>
      <c r="H81" s="455">
        <f t="shared" si="2"/>
        <v>72648.154513605958</v>
      </c>
      <c r="J81" s="451">
        <f>IF($C81="","",IFERROR(IF('קיזוזים- החלטות ועדה'!E81=0,0,1),0))</f>
        <v>0</v>
      </c>
      <c r="K81" s="451">
        <f t="shared" si="3"/>
        <v>0</v>
      </c>
      <c r="L81" s="451">
        <f t="shared" si="4"/>
        <v>0</v>
      </c>
      <c r="M81" s="456">
        <f t="shared" si="5"/>
        <v>0</v>
      </c>
    </row>
    <row r="82" spans="2:13" ht="20.25" x14ac:dyDescent="0.25">
      <c r="B82" s="577">
        <f>'הגבלה לסכום מבוקש (1)'!B72</f>
        <v>52</v>
      </c>
      <c r="C82" s="577" t="str">
        <f>'הגבלה לסכום מבוקש (1)'!C72</f>
        <v>עדו פדר</v>
      </c>
      <c r="D82" s="453">
        <f>'הגבלה לסכום מבוקש (1)'!U72</f>
        <v>58935.978887936559</v>
      </c>
      <c r="E82" s="334"/>
      <c r="F82" s="454">
        <f t="shared" si="0"/>
        <v>0</v>
      </c>
      <c r="G82" s="455">
        <f t="shared" si="1"/>
        <v>58935.978887936559</v>
      </c>
      <c r="H82" s="455">
        <f t="shared" si="2"/>
        <v>58935.978887936559</v>
      </c>
      <c r="J82" s="451">
        <f>IF($C82="","",IFERROR(IF('קיזוזים- החלטות ועדה'!E82=0,0,1),0))</f>
        <v>0</v>
      </c>
      <c r="K82" s="451">
        <f t="shared" si="3"/>
        <v>0</v>
      </c>
      <c r="L82" s="451">
        <f t="shared" si="4"/>
        <v>0</v>
      </c>
      <c r="M82" s="456">
        <f t="shared" si="5"/>
        <v>0</v>
      </c>
    </row>
    <row r="83" spans="2:13" ht="20.25" x14ac:dyDescent="0.25">
      <c r="B83" s="577">
        <f>'הגבלה לסכום מבוקש (1)'!B73</f>
        <v>53</v>
      </c>
      <c r="C83" s="577" t="str">
        <f>'הגבלה לסכום מבוקש (1)'!C73</f>
        <v>עודד רונן</v>
      </c>
      <c r="D83" s="453">
        <f>'הגבלה לסכום מבוקש (1)'!U73</f>
        <v>56094.934202090641</v>
      </c>
      <c r="E83" s="334"/>
      <c r="F83" s="454">
        <f t="shared" si="0"/>
        <v>0</v>
      </c>
      <c r="G83" s="455">
        <f t="shared" si="1"/>
        <v>56094.934202090641</v>
      </c>
      <c r="H83" s="455">
        <f t="shared" si="2"/>
        <v>56094.934202090641</v>
      </c>
      <c r="J83" s="451">
        <f>IF($C83="","",IFERROR(IF('קיזוזים- החלטות ועדה'!E83=0,0,1),0))</f>
        <v>0</v>
      </c>
      <c r="K83" s="451">
        <f t="shared" si="3"/>
        <v>0</v>
      </c>
      <c r="L83" s="451">
        <f t="shared" si="4"/>
        <v>0</v>
      </c>
      <c r="M83" s="456">
        <f t="shared" si="5"/>
        <v>0</v>
      </c>
    </row>
    <row r="84" spans="2:13" ht="20.25" x14ac:dyDescent="0.25">
      <c r="B84" s="577">
        <f>'הגבלה לסכום מבוקש (1)'!B74</f>
        <v>54</v>
      </c>
      <c r="C84" s="577" t="str">
        <f>'הגבלה לסכום מבוקש (1)'!C74</f>
        <v>עידן כהן</v>
      </c>
      <c r="D84" s="453">
        <f>'הגבלה לסכום מבוקש (1)'!U74</f>
        <v>43588.702306967265</v>
      </c>
      <c r="E84" s="334"/>
      <c r="F84" s="454">
        <f t="shared" si="0"/>
        <v>0</v>
      </c>
      <c r="G84" s="455">
        <f t="shared" si="1"/>
        <v>43588.702306967265</v>
      </c>
      <c r="H84" s="455">
        <f t="shared" si="2"/>
        <v>43588.702306967265</v>
      </c>
      <c r="J84" s="451">
        <f>IF($C84="","",IFERROR(IF('קיזוזים- החלטות ועדה'!E84=0,0,1),0))</f>
        <v>0</v>
      </c>
      <c r="K84" s="451">
        <f t="shared" si="3"/>
        <v>0</v>
      </c>
      <c r="L84" s="451">
        <f t="shared" si="4"/>
        <v>0</v>
      </c>
      <c r="M84" s="456">
        <f t="shared" si="5"/>
        <v>0</v>
      </c>
    </row>
    <row r="85" spans="2:13" ht="20.25" x14ac:dyDescent="0.25">
      <c r="B85" s="577">
        <f>'הגבלה לסכום מבוקש (1)'!B75</f>
        <v>55</v>
      </c>
      <c r="C85" s="577" t="str">
        <f>'הגבלה לסכום מבוקש (1)'!C75</f>
        <v>עידן שרעבי</v>
      </c>
      <c r="D85" s="453">
        <f>'הגבלה לסכום מבוקש (1)'!U75</f>
        <v>60524.126155340644</v>
      </c>
      <c r="E85" s="334"/>
      <c r="F85" s="454">
        <f t="shared" si="0"/>
        <v>0</v>
      </c>
      <c r="G85" s="455">
        <f t="shared" si="1"/>
        <v>60524.126155340644</v>
      </c>
      <c r="H85" s="455">
        <f t="shared" si="2"/>
        <v>60524.126155340644</v>
      </c>
      <c r="J85" s="451">
        <f>IF($C85="","",IFERROR(IF('קיזוזים- החלטות ועדה'!E85=0,0,1),0))</f>
        <v>0</v>
      </c>
      <c r="K85" s="451">
        <f t="shared" si="3"/>
        <v>0</v>
      </c>
      <c r="L85" s="451">
        <f t="shared" si="4"/>
        <v>0</v>
      </c>
      <c r="M85" s="456">
        <f t="shared" si="5"/>
        <v>0</v>
      </c>
    </row>
    <row r="86" spans="2:13" ht="20.25" x14ac:dyDescent="0.25">
      <c r="B86" s="577">
        <f>'הגבלה לסכום מבוקש (1)'!B76</f>
        <v>56</v>
      </c>
      <c r="C86" s="577" t="str">
        <f>'הגבלה לסכום מבוקש (1)'!C76</f>
        <v>ענת גריגוריו</v>
      </c>
      <c r="D86" s="453">
        <f>'הגבלה לסכום מבוקש (1)'!U76</f>
        <v>64058.295208008603</v>
      </c>
      <c r="E86" s="334"/>
      <c r="F86" s="454">
        <f t="shared" si="0"/>
        <v>0</v>
      </c>
      <c r="G86" s="455">
        <f t="shared" si="1"/>
        <v>64058.295208008603</v>
      </c>
      <c r="H86" s="455">
        <f t="shared" si="2"/>
        <v>64058.295208008603</v>
      </c>
      <c r="J86" s="451">
        <f>IF($C86="","",IFERROR(IF('קיזוזים- החלטות ועדה'!E86=0,0,1),0))</f>
        <v>0</v>
      </c>
      <c r="K86" s="451">
        <f t="shared" si="3"/>
        <v>0</v>
      </c>
      <c r="L86" s="451">
        <f t="shared" si="4"/>
        <v>0</v>
      </c>
      <c r="M86" s="456">
        <f t="shared" si="5"/>
        <v>0</v>
      </c>
    </row>
    <row r="87" spans="2:13" ht="20.25" x14ac:dyDescent="0.25">
      <c r="B87" s="577">
        <f>'הגבלה לסכום מבוקש (1)'!B77</f>
        <v>57</v>
      </c>
      <c r="C87" s="577" t="str">
        <f>'הגבלה לסכום מבוקש (1)'!C77</f>
        <v>ענת דניאלי</v>
      </c>
      <c r="D87" s="453">
        <f>'הגבלה לסכום מבוקש (1)'!U77</f>
        <v>86750.937940007483</v>
      </c>
      <c r="E87" s="334"/>
      <c r="F87" s="454">
        <f t="shared" si="0"/>
        <v>0</v>
      </c>
      <c r="G87" s="455">
        <f t="shared" si="1"/>
        <v>86750.937940007483</v>
      </c>
      <c r="H87" s="455">
        <f t="shared" si="2"/>
        <v>86750.937940007483</v>
      </c>
      <c r="J87" s="451">
        <f>IF($C87="","",IFERROR(IF('קיזוזים- החלטות ועדה'!E87=0,0,1),0))</f>
        <v>0</v>
      </c>
      <c r="K87" s="451">
        <f t="shared" si="3"/>
        <v>0</v>
      </c>
      <c r="L87" s="451">
        <f t="shared" si="4"/>
        <v>0</v>
      </c>
      <c r="M87" s="456">
        <f t="shared" si="5"/>
        <v>0</v>
      </c>
    </row>
    <row r="88" spans="2:13" ht="20.25" x14ac:dyDescent="0.25">
      <c r="B88" s="577">
        <f>'הגבלה לסכום מבוקש (1)'!B78</f>
        <v>58</v>
      </c>
      <c r="C88" s="577" t="str">
        <f>'הגבלה לסכום מבוקש (1)'!C78</f>
        <v>ענת כץ וארז מעיין</v>
      </c>
      <c r="D88" s="453">
        <f>'הגבלה לסכום מבוקש (1)'!U78</f>
        <v>56878.75395064542</v>
      </c>
      <c r="E88" s="334"/>
      <c r="F88" s="454">
        <f t="shared" si="0"/>
        <v>0</v>
      </c>
      <c r="G88" s="455">
        <f t="shared" si="1"/>
        <v>56878.75395064542</v>
      </c>
      <c r="H88" s="455">
        <f t="shared" si="2"/>
        <v>56878.75395064542</v>
      </c>
      <c r="J88" s="451">
        <f>IF($C88="","",IFERROR(IF('קיזוזים- החלטות ועדה'!E88=0,0,1),0))</f>
        <v>0</v>
      </c>
      <c r="K88" s="451">
        <f t="shared" si="3"/>
        <v>0</v>
      </c>
      <c r="L88" s="451">
        <f t="shared" si="4"/>
        <v>0</v>
      </c>
      <c r="M88" s="456">
        <f t="shared" si="5"/>
        <v>0</v>
      </c>
    </row>
    <row r="89" spans="2:13" ht="20.25" x14ac:dyDescent="0.25">
      <c r="B89" s="577">
        <f>'הגבלה לסכום מבוקש (1)'!B79</f>
        <v>59</v>
      </c>
      <c r="C89" s="577" t="str">
        <f>'הגבלה לסכום מבוקש (1)'!C79</f>
        <v>ענת שמגר</v>
      </c>
      <c r="D89" s="453">
        <f>'הגבלה לסכום מבוקש (1)'!U79</f>
        <v>72709.721233874865</v>
      </c>
      <c r="E89" s="334"/>
      <c r="F89" s="454">
        <f t="shared" si="0"/>
        <v>0</v>
      </c>
      <c r="G89" s="455">
        <f t="shared" si="1"/>
        <v>72709.721233874865</v>
      </c>
      <c r="H89" s="455">
        <f t="shared" si="2"/>
        <v>72709.721233874865</v>
      </c>
      <c r="J89" s="451">
        <f>IF($C89="","",IFERROR(IF('קיזוזים- החלטות ועדה'!E89=0,0,1),0))</f>
        <v>0</v>
      </c>
      <c r="K89" s="451">
        <f t="shared" si="3"/>
        <v>0</v>
      </c>
      <c r="L89" s="451">
        <f t="shared" si="4"/>
        <v>0</v>
      </c>
      <c r="M89" s="456">
        <f t="shared" si="5"/>
        <v>0</v>
      </c>
    </row>
    <row r="90" spans="2:13" ht="20.25" x14ac:dyDescent="0.25">
      <c r="B90" s="577">
        <f>'הגבלה לסכום מבוקש (1)'!B80</f>
        <v>60</v>
      </c>
      <c r="C90" s="577" t="str">
        <f>'הגבלה לסכום מבוקש (1)'!C80</f>
        <v>ק.ט.מ.ו.ן קבוצת מחול בירושלים</v>
      </c>
      <c r="D90" s="453">
        <f>'הגבלה לסכום מבוקש (1)'!U80</f>
        <v>114631.70594346907</v>
      </c>
      <c r="E90" s="334"/>
      <c r="F90" s="454">
        <f t="shared" si="0"/>
        <v>0</v>
      </c>
      <c r="G90" s="455">
        <f t="shared" si="1"/>
        <v>114631.70594346907</v>
      </c>
      <c r="H90" s="455">
        <f t="shared" si="2"/>
        <v>114631.70594346907</v>
      </c>
      <c r="J90" s="451">
        <f>IF($C90="","",IFERROR(IF('קיזוזים- החלטות ועדה'!E90=0,0,1),0))</f>
        <v>0</v>
      </c>
      <c r="K90" s="451">
        <f t="shared" si="3"/>
        <v>0</v>
      </c>
      <c r="L90" s="451">
        <f t="shared" si="4"/>
        <v>0</v>
      </c>
      <c r="M90" s="456">
        <f t="shared" si="5"/>
        <v>0</v>
      </c>
    </row>
    <row r="91" spans="2:13" ht="20.25" x14ac:dyDescent="0.25">
      <c r="B91" s="577">
        <f>'הגבלה לסכום מבוקש (1)'!B81</f>
        <v>61</v>
      </c>
      <c r="C91" s="577" t="str">
        <f>'הגבלה לסכום מבוקש (1)'!C81</f>
        <v>רונית זיו</v>
      </c>
      <c r="D91" s="453">
        <f>'הגבלה לסכום מבוקש (1)'!U81</f>
        <v>85500.279110332296</v>
      </c>
      <c r="E91" s="334"/>
      <c r="F91" s="454">
        <f t="shared" si="0"/>
        <v>0</v>
      </c>
      <c r="G91" s="455">
        <f t="shared" si="1"/>
        <v>85500.279110332296</v>
      </c>
      <c r="H91" s="455">
        <f t="shared" si="2"/>
        <v>85500.279110332296</v>
      </c>
      <c r="J91" s="451">
        <f>IF($C91="","",IFERROR(IF('קיזוזים- החלטות ועדה'!E91=0,0,1),0))</f>
        <v>0</v>
      </c>
      <c r="K91" s="451">
        <f t="shared" si="3"/>
        <v>0</v>
      </c>
      <c r="L91" s="451">
        <f t="shared" si="4"/>
        <v>0</v>
      </c>
      <c r="M91" s="456">
        <f t="shared" si="5"/>
        <v>0</v>
      </c>
    </row>
    <row r="92" spans="2:13" ht="20.25" x14ac:dyDescent="0.25">
      <c r="B92" s="577">
        <f>'הגבלה לסכום מבוקש (1)'!B82</f>
        <v>62</v>
      </c>
      <c r="C92" s="577" t="str">
        <f>'הגבלה לסכום מבוקש (1)'!C82</f>
        <v>טלי זבילביץ</v>
      </c>
      <c r="D92" s="453">
        <f>'הגבלה לסכום מבוקש (1)'!U82</f>
        <v>46241.165975372598</v>
      </c>
      <c r="E92" s="334"/>
      <c r="F92" s="454">
        <f t="shared" si="0"/>
        <v>0</v>
      </c>
      <c r="G92" s="455">
        <f t="shared" si="1"/>
        <v>46241.165975372598</v>
      </c>
      <c r="H92" s="455">
        <f t="shared" si="2"/>
        <v>46241.165975372598</v>
      </c>
      <c r="J92" s="451">
        <f>IF($C92="","",IFERROR(IF('קיזוזים- החלטות ועדה'!E92=0,0,1),0))</f>
        <v>0</v>
      </c>
      <c r="K92" s="451">
        <f t="shared" si="3"/>
        <v>0</v>
      </c>
      <c r="L92" s="451">
        <f t="shared" si="4"/>
        <v>0</v>
      </c>
      <c r="M92" s="456">
        <f t="shared" si="5"/>
        <v>0</v>
      </c>
    </row>
    <row r="93" spans="2:13" ht="20.25" x14ac:dyDescent="0.25">
      <c r="B93" s="577">
        <f>'הגבלה לסכום מבוקש (1)'!B83</f>
        <v>63</v>
      </c>
      <c r="C93" s="577" t="str">
        <f>'הגבלה לסכום מבוקש (1)'!C83</f>
        <v>רייצ'ל ארדוס</v>
      </c>
      <c r="D93" s="453">
        <f>'הגבלה לסכום מבוקש (1)'!U83</f>
        <v>110559.00114140417</v>
      </c>
      <c r="E93" s="334"/>
      <c r="F93" s="454">
        <f t="shared" si="0"/>
        <v>0</v>
      </c>
      <c r="G93" s="455">
        <f t="shared" si="1"/>
        <v>110559.00114140417</v>
      </c>
      <c r="H93" s="455">
        <f t="shared" si="2"/>
        <v>110559.00114140417</v>
      </c>
      <c r="J93" s="451">
        <f>IF($C93="","",IFERROR(IF('קיזוזים- החלטות ועדה'!E93=0,0,1),0))</f>
        <v>0</v>
      </c>
      <c r="K93" s="451">
        <f t="shared" si="3"/>
        <v>0</v>
      </c>
      <c r="L93" s="451">
        <f t="shared" si="4"/>
        <v>0</v>
      </c>
      <c r="M93" s="456">
        <f t="shared" si="5"/>
        <v>0</v>
      </c>
    </row>
    <row r="94" spans="2:13" ht="20.25" x14ac:dyDescent="0.25">
      <c r="B94" s="577">
        <f>'הגבלה לסכום מבוקש (1)'!B84</f>
        <v>64</v>
      </c>
      <c r="C94" s="577" t="str">
        <f>'הגבלה לסכום מבוקש (1)'!C84</f>
        <v>שירה אביתר</v>
      </c>
      <c r="D94" s="453">
        <f>'הגבלה לסכום מבוקש (1)'!U84</f>
        <v>49687.048553462104</v>
      </c>
      <c r="E94" s="334"/>
      <c r="F94" s="454">
        <f t="shared" si="0"/>
        <v>0</v>
      </c>
      <c r="G94" s="455">
        <f t="shared" si="1"/>
        <v>49687.048553462104</v>
      </c>
      <c r="H94" s="455">
        <f t="shared" si="2"/>
        <v>49687.048553462104</v>
      </c>
      <c r="J94" s="451">
        <f>IF($C94="","",IFERROR(IF('קיזוזים- החלטות ועדה'!E94=0,0,1),0))</f>
        <v>0</v>
      </c>
      <c r="K94" s="451">
        <f t="shared" si="3"/>
        <v>0</v>
      </c>
      <c r="L94" s="451">
        <f t="shared" si="4"/>
        <v>0</v>
      </c>
      <c r="M94" s="456">
        <f t="shared" si="5"/>
        <v>0</v>
      </c>
    </row>
    <row r="95" spans="2:13" ht="20.25" x14ac:dyDescent="0.25">
      <c r="B95" s="577">
        <f>'הגבלה לסכום מבוקש (1)'!B85</f>
        <v>65</v>
      </c>
      <c r="C95" s="577" t="str">
        <f>'הגבלה לסכום מבוקש (1)'!C85</f>
        <v>שלומית פונדמינסקי</v>
      </c>
      <c r="D95" s="453">
        <f>'הגבלה לסכום מבוקש (1)'!U85</f>
        <v>137754.67302300173</v>
      </c>
      <c r="E95" s="334"/>
      <c r="F95" s="454">
        <f t="shared" ref="F95:F125" si="6">IF(C95="","",IFERROR(MIN(D95,E95/365*D95),$P$1))</f>
        <v>0</v>
      </c>
      <c r="G95" s="455">
        <f t="shared" si="1"/>
        <v>137754.67302300173</v>
      </c>
      <c r="H95" s="455">
        <f t="shared" si="2"/>
        <v>137754.67302300173</v>
      </c>
      <c r="J95" s="451">
        <f>IF($C95="","",IFERROR(IF('קיזוזים- החלטות ועדה'!E95=0,0,1),0))</f>
        <v>0</v>
      </c>
      <c r="K95" s="451">
        <f t="shared" si="3"/>
        <v>0</v>
      </c>
      <c r="L95" s="451">
        <f t="shared" si="4"/>
        <v>0</v>
      </c>
      <c r="M95" s="456">
        <f t="shared" si="5"/>
        <v>0</v>
      </c>
    </row>
    <row r="96" spans="2:13" ht="20.25" x14ac:dyDescent="0.25">
      <c r="B96" s="577" t="str">
        <f>'הגבלה לסכום מבוקש (1)'!B86</f>
        <v/>
      </c>
      <c r="C96" s="577" t="str">
        <f>'הגבלה לסכום מבוקש (1)'!C86</f>
        <v/>
      </c>
      <c r="D96" s="453" t="str">
        <f>'הגבלה לסכום מבוקש (1)'!U86</f>
        <v/>
      </c>
      <c r="E96" s="334"/>
      <c r="F96" s="454" t="str">
        <f t="shared" si="6"/>
        <v/>
      </c>
      <c r="G96" s="455" t="str">
        <f t="shared" ref="G96:G125" si="7">IF($C96="","",D96-F96)</f>
        <v/>
      </c>
      <c r="H96" s="455" t="str">
        <f t="shared" ref="H96:H125" si="8">IF($C96="","",G96+M96)</f>
        <v/>
      </c>
      <c r="J96" s="451" t="str">
        <f>IF($C96="","",IFERROR(IF('קיזוזים- החלטות ועדה'!E96=0,0,1),0))</f>
        <v/>
      </c>
      <c r="K96" s="451" t="str">
        <f t="shared" ref="K96:K125" si="9">IF($C96="","",IFERROR(IF(E96=0,0,1),0))</f>
        <v/>
      </c>
      <c r="L96" s="451" t="str">
        <f t="shared" ref="L96:L125" si="10">IF($C96="","",IF(OR(K96=1,J96=1),1,0))</f>
        <v/>
      </c>
      <c r="M96" s="456" t="str">
        <f t="shared" ref="M96:M125" si="11">IF($C96="","",IF(L96=1,0,$L$27*$D96/$K$27))</f>
        <v/>
      </c>
    </row>
    <row r="97" spans="2:13" ht="20.25" x14ac:dyDescent="0.25">
      <c r="B97" s="577">
        <f>'הגבלה לסכום מבוקש (1)'!B87</f>
        <v>67</v>
      </c>
      <c r="C97" s="577" t="str">
        <f>'הגבלה לסכום מבוקש (1)'!C87</f>
        <v>שרון וזנה</v>
      </c>
      <c r="D97" s="453">
        <f>'הגבלה לסכום מבוקש (1)'!U87</f>
        <v>77347.798210162582</v>
      </c>
      <c r="E97" s="334"/>
      <c r="F97" s="454">
        <f t="shared" si="6"/>
        <v>0</v>
      </c>
      <c r="G97" s="455">
        <f t="shared" si="7"/>
        <v>77347.798210162582</v>
      </c>
      <c r="H97" s="455">
        <f t="shared" si="8"/>
        <v>77347.798210162582</v>
      </c>
      <c r="J97" s="451">
        <f>IF($C97="","",IFERROR(IF('קיזוזים- החלטות ועדה'!E97=0,0,1),0))</f>
        <v>0</v>
      </c>
      <c r="K97" s="451">
        <f t="shared" si="9"/>
        <v>0</v>
      </c>
      <c r="L97" s="451">
        <f t="shared" si="10"/>
        <v>0</v>
      </c>
      <c r="M97" s="456">
        <f t="shared" si="11"/>
        <v>0</v>
      </c>
    </row>
    <row r="98" spans="2:13" ht="20.25" x14ac:dyDescent="0.25">
      <c r="B98" s="577">
        <f>'הגבלה לסכום מבוקש (1)'!B88</f>
        <v>68</v>
      </c>
      <c r="C98" s="577" t="str">
        <f>'הגבלה לסכום מבוקש (1)'!C88</f>
        <v>שרונה פלורסהיים</v>
      </c>
      <c r="D98" s="453">
        <f>'הגבלה לסכום מבוקש (1)'!U88</f>
        <v>142184.18015680066</v>
      </c>
      <c r="E98" s="334"/>
      <c r="F98" s="454">
        <f t="shared" si="6"/>
        <v>0</v>
      </c>
      <c r="G98" s="455">
        <f t="shared" si="7"/>
        <v>142184.18015680066</v>
      </c>
      <c r="H98" s="455">
        <f t="shared" si="8"/>
        <v>142184.18015680066</v>
      </c>
      <c r="J98" s="451">
        <f>IF($C98="","",IFERROR(IF('קיזוזים- החלטות ועדה'!E98=0,0,1),0))</f>
        <v>0</v>
      </c>
      <c r="K98" s="451">
        <f t="shared" si="9"/>
        <v>0</v>
      </c>
      <c r="L98" s="451">
        <f t="shared" si="10"/>
        <v>0</v>
      </c>
      <c r="M98" s="456">
        <f t="shared" si="11"/>
        <v>0</v>
      </c>
    </row>
    <row r="99" spans="2:13" ht="20.25" x14ac:dyDescent="0.25">
      <c r="B99" s="577">
        <f>'הגבלה לסכום מבוקש (1)'!B89</f>
        <v>69</v>
      </c>
      <c r="C99" s="577" t="str">
        <f>'הגבלה לסכום מבוקש (1)'!C89</f>
        <v>תמי ליבוביץ</v>
      </c>
      <c r="D99" s="453">
        <f>'הגבלה לסכום מבוקש (1)'!U89</f>
        <v>60804.098046678839</v>
      </c>
      <c r="E99" s="334"/>
      <c r="F99" s="454">
        <f t="shared" si="6"/>
        <v>0</v>
      </c>
      <c r="G99" s="455">
        <f t="shared" si="7"/>
        <v>60804.098046678839</v>
      </c>
      <c r="H99" s="455">
        <f t="shared" si="8"/>
        <v>60804.098046678839</v>
      </c>
      <c r="J99" s="451">
        <f>IF($C99="","",IFERROR(IF('קיזוזים- החלטות ועדה'!E99=0,0,1),0))</f>
        <v>0</v>
      </c>
      <c r="K99" s="451">
        <f t="shared" si="9"/>
        <v>0</v>
      </c>
      <c r="L99" s="451">
        <f t="shared" si="10"/>
        <v>0</v>
      </c>
      <c r="M99" s="456">
        <f t="shared" si="11"/>
        <v>0</v>
      </c>
    </row>
    <row r="100" spans="2:13" ht="20.25" x14ac:dyDescent="0.25">
      <c r="B100" s="577">
        <f>'הגבלה לסכום מבוקש (1)'!B90</f>
        <v>70</v>
      </c>
      <c r="C100" s="577" t="str">
        <f>'הגבלה לסכום מבוקש (1)'!C90</f>
        <v>תמר בורר</v>
      </c>
      <c r="D100" s="453">
        <f>'הגבלה לסכום מבוקש (1)'!U90</f>
        <v>70403.206666451661</v>
      </c>
      <c r="E100" s="334"/>
      <c r="F100" s="454">
        <f t="shared" si="6"/>
        <v>0</v>
      </c>
      <c r="G100" s="455">
        <f t="shared" si="7"/>
        <v>70403.206666451661</v>
      </c>
      <c r="H100" s="455">
        <f t="shared" si="8"/>
        <v>70403.206666451661</v>
      </c>
      <c r="J100" s="451">
        <f>IF($C100="","",IFERROR(IF('קיזוזים- החלטות ועדה'!E100=0,0,1),0))</f>
        <v>0</v>
      </c>
      <c r="K100" s="451">
        <f t="shared" si="9"/>
        <v>0</v>
      </c>
      <c r="L100" s="451">
        <f t="shared" si="10"/>
        <v>0</v>
      </c>
      <c r="M100" s="456">
        <f t="shared" si="11"/>
        <v>0</v>
      </c>
    </row>
    <row r="101" spans="2:13" ht="20.25" x14ac:dyDescent="0.25">
      <c r="B101" s="577">
        <f>'הגבלה לסכום מבוקש (1)'!B91</f>
        <v>71</v>
      </c>
      <c r="C101" s="577" t="str">
        <f>'הגבלה לסכום מבוקש (1)'!C91</f>
        <v>תמי ורונן יצחקי</v>
      </c>
      <c r="D101" s="453">
        <f>'הגבלה לסכום מבוקש (1)'!U91</f>
        <v>93115.524924557219</v>
      </c>
      <c r="E101" s="334"/>
      <c r="F101" s="454">
        <f t="shared" si="6"/>
        <v>0</v>
      </c>
      <c r="G101" s="455">
        <f t="shared" si="7"/>
        <v>93115.524924557219</v>
      </c>
      <c r="H101" s="455">
        <f t="shared" si="8"/>
        <v>93115.524924557219</v>
      </c>
      <c r="J101" s="451">
        <f>IF($C101="","",IFERROR(IF('קיזוזים- החלטות ועדה'!E101=0,0,1),0))</f>
        <v>0</v>
      </c>
      <c r="K101" s="451">
        <f t="shared" si="9"/>
        <v>0</v>
      </c>
      <c r="L101" s="451">
        <f t="shared" si="10"/>
        <v>0</v>
      </c>
      <c r="M101" s="456">
        <f t="shared" si="11"/>
        <v>0</v>
      </c>
    </row>
    <row r="102" spans="2:13" ht="20.25" x14ac:dyDescent="0.25">
      <c r="B102" s="577">
        <f>'הגבלה לסכום מבוקש (1)'!B92</f>
        <v>72</v>
      </c>
      <c r="C102" s="577" t="str">
        <f>'הגבלה לסכום מבוקש (1)'!C92</f>
        <v>רננה רז</v>
      </c>
      <c r="D102" s="453">
        <f>'הגבלה לסכום מבוקש (1)'!U92</f>
        <v>184349.44001703322</v>
      </c>
      <c r="E102" s="334"/>
      <c r="F102" s="454">
        <f t="shared" si="6"/>
        <v>0</v>
      </c>
      <c r="G102" s="455">
        <f t="shared" si="7"/>
        <v>184349.44001703322</v>
      </c>
      <c r="H102" s="455">
        <f t="shared" si="8"/>
        <v>184349.44001703322</v>
      </c>
      <c r="J102" s="451">
        <f>IF($C102="","",IFERROR(IF('קיזוזים- החלטות ועדה'!E102=0,0,1),0))</f>
        <v>0</v>
      </c>
      <c r="K102" s="451">
        <f t="shared" si="9"/>
        <v>0</v>
      </c>
      <c r="L102" s="451">
        <f t="shared" si="10"/>
        <v>0</v>
      </c>
      <c r="M102" s="456">
        <f t="shared" si="11"/>
        <v>0</v>
      </c>
    </row>
    <row r="103" spans="2:13" ht="20.25" x14ac:dyDescent="0.25">
      <c r="B103" s="577">
        <f>'הגבלה לסכום מבוקש (1)'!B93</f>
        <v>73</v>
      </c>
      <c r="C103" s="577" t="str">
        <f>'הגבלה לסכום מבוקש (1)'!C93</f>
        <v>רתם תשח</v>
      </c>
      <c r="D103" s="453">
        <f>'הגבלה לסכום מבוקש (1)'!U93</f>
        <v>38037.776124086166</v>
      </c>
      <c r="E103" s="334"/>
      <c r="F103" s="454">
        <f t="shared" si="6"/>
        <v>0</v>
      </c>
      <c r="G103" s="455">
        <f t="shared" si="7"/>
        <v>38037.776124086166</v>
      </c>
      <c r="H103" s="455">
        <f t="shared" si="8"/>
        <v>38037.776124086166</v>
      </c>
      <c r="J103" s="451">
        <f>IF($C103="","",IFERROR(IF('קיזוזים- החלטות ועדה'!E103=0,0,1),0))</f>
        <v>0</v>
      </c>
      <c r="K103" s="451">
        <f t="shared" si="9"/>
        <v>0</v>
      </c>
      <c r="L103" s="451">
        <f t="shared" si="10"/>
        <v>0</v>
      </c>
      <c r="M103" s="456">
        <f t="shared" si="11"/>
        <v>0</v>
      </c>
    </row>
    <row r="104" spans="2:13" ht="20.25" x14ac:dyDescent="0.25">
      <c r="B104" s="577" t="str">
        <f>'הגבלה לסכום מבוקש (1)'!B94</f>
        <v/>
      </c>
      <c r="C104" s="577" t="str">
        <f>'הגבלה לסכום מבוקש (1)'!C94</f>
        <v/>
      </c>
      <c r="D104" s="453" t="str">
        <f>'הגבלה לסכום מבוקש (1)'!U94</f>
        <v/>
      </c>
      <c r="E104" s="334"/>
      <c r="F104" s="454" t="str">
        <f t="shared" si="6"/>
        <v/>
      </c>
      <c r="G104" s="455" t="str">
        <f t="shared" si="7"/>
        <v/>
      </c>
      <c r="H104" s="455" t="str">
        <f t="shared" si="8"/>
        <v/>
      </c>
      <c r="J104" s="451" t="str">
        <f>IF($C104="","",IFERROR(IF('קיזוזים- החלטות ועדה'!E104=0,0,1),0))</f>
        <v/>
      </c>
      <c r="K104" s="451" t="str">
        <f t="shared" si="9"/>
        <v/>
      </c>
      <c r="L104" s="451" t="str">
        <f t="shared" si="10"/>
        <v/>
      </c>
      <c r="M104" s="456" t="str">
        <f t="shared" si="11"/>
        <v/>
      </c>
    </row>
    <row r="105" spans="2:13" ht="20.25" x14ac:dyDescent="0.25">
      <c r="B105" s="577" t="str">
        <f>'הגבלה לסכום מבוקש (1)'!B95</f>
        <v/>
      </c>
      <c r="C105" s="577" t="str">
        <f>'הגבלה לסכום מבוקש (1)'!C95</f>
        <v/>
      </c>
      <c r="D105" s="453" t="str">
        <f>'הגבלה לסכום מבוקש (1)'!U95</f>
        <v/>
      </c>
      <c r="E105" s="334"/>
      <c r="F105" s="454" t="str">
        <f t="shared" si="6"/>
        <v/>
      </c>
      <c r="G105" s="455" t="str">
        <f t="shared" si="7"/>
        <v/>
      </c>
      <c r="H105" s="455" t="str">
        <f t="shared" si="8"/>
        <v/>
      </c>
      <c r="J105" s="451" t="str">
        <f>IF($C105="","",IFERROR(IF('קיזוזים- החלטות ועדה'!E105=0,0,1),0))</f>
        <v/>
      </c>
      <c r="K105" s="451" t="str">
        <f t="shared" si="9"/>
        <v/>
      </c>
      <c r="L105" s="451" t="str">
        <f t="shared" si="10"/>
        <v/>
      </c>
      <c r="M105" s="456" t="str">
        <f t="shared" si="11"/>
        <v/>
      </c>
    </row>
    <row r="106" spans="2:13" ht="20.25" x14ac:dyDescent="0.25">
      <c r="B106" s="577">
        <f>'הגבלה לסכום מבוקש (1)'!B96</f>
        <v>76</v>
      </c>
      <c r="C106" s="577" t="str">
        <f>'הגבלה לסכום מבוקש (1)'!C96</f>
        <v>שרון שגיא - פלמנקו</v>
      </c>
      <c r="D106" s="453">
        <f>'הגבלה לסכום מבוקש (1)'!U96</f>
        <v>246451.76040490525</v>
      </c>
      <c r="E106" s="334"/>
      <c r="F106" s="454">
        <f t="shared" si="6"/>
        <v>0</v>
      </c>
      <c r="G106" s="455">
        <f t="shared" si="7"/>
        <v>246451.76040490525</v>
      </c>
      <c r="H106" s="455">
        <f t="shared" si="8"/>
        <v>246451.76040490525</v>
      </c>
      <c r="J106" s="451">
        <f>IF($C106="","",IFERROR(IF('קיזוזים- החלטות ועדה'!E106=0,0,1),0))</f>
        <v>0</v>
      </c>
      <c r="K106" s="451">
        <f t="shared" si="9"/>
        <v>0</v>
      </c>
      <c r="L106" s="451">
        <f t="shared" si="10"/>
        <v>0</v>
      </c>
      <c r="M106" s="456">
        <f t="shared" si="11"/>
        <v>0</v>
      </c>
    </row>
    <row r="107" spans="2:13" ht="20.25" x14ac:dyDescent="0.25">
      <c r="B107" s="577" t="str">
        <f>'הגבלה לסכום מבוקש (1)'!B97</f>
        <v/>
      </c>
      <c r="C107" s="577" t="str">
        <f>'הגבלה לסכום מבוקש (1)'!C97</f>
        <v/>
      </c>
      <c r="D107" s="453" t="str">
        <f>'הגבלה לסכום מבוקש (1)'!U97</f>
        <v/>
      </c>
      <c r="E107" s="334"/>
      <c r="F107" s="454" t="str">
        <f t="shared" si="6"/>
        <v/>
      </c>
      <c r="G107" s="455" t="str">
        <f t="shared" si="7"/>
        <v/>
      </c>
      <c r="H107" s="455" t="str">
        <f t="shared" si="8"/>
        <v/>
      </c>
      <c r="J107" s="451" t="str">
        <f>IF($C107="","",IFERROR(IF('קיזוזים- החלטות ועדה'!E107=0,0,1),0))</f>
        <v/>
      </c>
      <c r="K107" s="451" t="str">
        <f t="shared" si="9"/>
        <v/>
      </c>
      <c r="L107" s="451" t="str">
        <f t="shared" si="10"/>
        <v/>
      </c>
      <c r="M107" s="456" t="str">
        <f t="shared" si="11"/>
        <v/>
      </c>
    </row>
    <row r="108" spans="2:13" ht="20.25" x14ac:dyDescent="0.25">
      <c r="B108" s="577">
        <f>'הגבלה לסכום מבוקש (1)'!B98</f>
        <v>78</v>
      </c>
      <c r="C108" s="577" t="str">
        <f>'הגבלה לסכום מבוקש (1)'!C98</f>
        <v>אוליביה קורט מסה</v>
      </c>
      <c r="D108" s="453">
        <f>'הגבלה לסכום מבוקש (1)'!U98</f>
        <v>98573.416263819207</v>
      </c>
      <c r="E108" s="334"/>
      <c r="F108" s="454">
        <f t="shared" si="6"/>
        <v>0</v>
      </c>
      <c r="G108" s="455">
        <f t="shared" si="7"/>
        <v>98573.416263819207</v>
      </c>
      <c r="H108" s="455">
        <f t="shared" si="8"/>
        <v>98573.416263819207</v>
      </c>
      <c r="J108" s="451">
        <f>IF($C108="","",IFERROR(IF('קיזוזים- החלטות ועדה'!E108=0,0,1),0))</f>
        <v>0</v>
      </c>
      <c r="K108" s="451">
        <f t="shared" si="9"/>
        <v>0</v>
      </c>
      <c r="L108" s="451">
        <f t="shared" si="10"/>
        <v>0</v>
      </c>
      <c r="M108" s="456">
        <f t="shared" si="11"/>
        <v>0</v>
      </c>
    </row>
    <row r="109" spans="2:13" ht="20.25" x14ac:dyDescent="0.25">
      <c r="B109" s="577" t="str">
        <f>'הגבלה לסכום מבוקש (1)'!B99</f>
        <v/>
      </c>
      <c r="C109" s="577" t="str">
        <f>'הגבלה לסכום מבוקש (1)'!C99</f>
        <v/>
      </c>
      <c r="D109" s="453" t="str">
        <f>'הגבלה לסכום מבוקש (1)'!U99</f>
        <v/>
      </c>
      <c r="E109" s="334"/>
      <c r="F109" s="454" t="str">
        <f t="shared" si="6"/>
        <v/>
      </c>
      <c r="G109" s="455" t="str">
        <f t="shared" si="7"/>
        <v/>
      </c>
      <c r="H109" s="455" t="str">
        <f t="shared" si="8"/>
        <v/>
      </c>
      <c r="J109" s="451" t="str">
        <f>IF($C109="","",IFERROR(IF('קיזוזים- החלטות ועדה'!E109=0,0,1),0))</f>
        <v/>
      </c>
      <c r="K109" s="451" t="str">
        <f t="shared" si="9"/>
        <v/>
      </c>
      <c r="L109" s="451" t="str">
        <f t="shared" si="10"/>
        <v/>
      </c>
      <c r="M109" s="456" t="str">
        <f t="shared" si="11"/>
        <v/>
      </c>
    </row>
    <row r="110" spans="2:13" ht="20.25" x14ac:dyDescent="0.25">
      <c r="B110" s="577" t="str">
        <f>'הגבלה לסכום מבוקש (1)'!B100</f>
        <v/>
      </c>
      <c r="C110" s="577" t="str">
        <f>'הגבלה לסכום מבוקש (1)'!C100</f>
        <v/>
      </c>
      <c r="D110" s="453" t="str">
        <f>'הגבלה לסכום מבוקש (1)'!U100</f>
        <v/>
      </c>
      <c r="E110" s="334"/>
      <c r="F110" s="454" t="str">
        <f t="shared" si="6"/>
        <v/>
      </c>
      <c r="G110" s="455" t="str">
        <f t="shared" si="7"/>
        <v/>
      </c>
      <c r="H110" s="455" t="str">
        <f t="shared" si="8"/>
        <v/>
      </c>
      <c r="J110" s="451" t="str">
        <f>IF($C110="","",IFERROR(IF('קיזוזים- החלטות ועדה'!E110=0,0,1),0))</f>
        <v/>
      </c>
      <c r="K110" s="451" t="str">
        <f t="shared" si="9"/>
        <v/>
      </c>
      <c r="L110" s="451" t="str">
        <f t="shared" si="10"/>
        <v/>
      </c>
      <c r="M110" s="456" t="str">
        <f t="shared" si="11"/>
        <v/>
      </c>
    </row>
    <row r="111" spans="2:13" ht="20.25" x14ac:dyDescent="0.25">
      <c r="B111" s="577">
        <f>'הגבלה לסכום מבוקש (1)'!B101</f>
        <v>81</v>
      </c>
      <c r="C111" s="577" t="str">
        <f>'הגבלה לסכום מבוקש (1)'!C101</f>
        <v>דגה פדר</v>
      </c>
      <c r="D111" s="453">
        <f>'הגבלה לסכום מבוקש (1)'!U101</f>
        <v>35122.323146623952</v>
      </c>
      <c r="E111" s="334"/>
      <c r="F111" s="454">
        <f t="shared" si="6"/>
        <v>0</v>
      </c>
      <c r="G111" s="455">
        <f t="shared" si="7"/>
        <v>35122.323146623952</v>
      </c>
      <c r="H111" s="455">
        <f t="shared" si="8"/>
        <v>35122.323146623952</v>
      </c>
      <c r="J111" s="451">
        <f>IF($C111="","",IFERROR(IF('קיזוזים- החלטות ועדה'!E111=0,0,1),0))</f>
        <v>0</v>
      </c>
      <c r="K111" s="451">
        <f t="shared" si="9"/>
        <v>0</v>
      </c>
      <c r="L111" s="451">
        <f t="shared" si="10"/>
        <v>0</v>
      </c>
      <c r="M111" s="456">
        <f t="shared" si="11"/>
        <v>0</v>
      </c>
    </row>
    <row r="112" spans="2:13" ht="20.25" x14ac:dyDescent="0.25">
      <c r="B112" s="577">
        <f>'הגבלה לסכום מבוקש (1)'!B102</f>
        <v>82</v>
      </c>
      <c r="C112" s="577" t="str">
        <f>'הגבלה לסכום מבוקש (1)'!C102</f>
        <v>דנה חפוטה</v>
      </c>
      <c r="D112" s="453">
        <f>'הגבלה לסכום מבוקש (1)'!U102</f>
        <v>50641.641837943374</v>
      </c>
      <c r="E112" s="334"/>
      <c r="F112" s="454">
        <f t="shared" si="6"/>
        <v>0</v>
      </c>
      <c r="G112" s="455">
        <f t="shared" si="7"/>
        <v>50641.641837943374</v>
      </c>
      <c r="H112" s="455">
        <f t="shared" si="8"/>
        <v>50641.641837943374</v>
      </c>
      <c r="J112" s="451">
        <f>IF($C112="","",IFERROR(IF('קיזוזים- החלטות ועדה'!E112=0,0,1),0))</f>
        <v>0</v>
      </c>
      <c r="K112" s="451">
        <f t="shared" si="9"/>
        <v>0</v>
      </c>
      <c r="L112" s="451">
        <f t="shared" si="10"/>
        <v>0</v>
      </c>
      <c r="M112" s="456">
        <f t="shared" si="11"/>
        <v>0</v>
      </c>
    </row>
    <row r="113" spans="2:13" ht="20.25" x14ac:dyDescent="0.25">
      <c r="B113" s="577" t="str">
        <f>'הגבלה לסכום מבוקש (1)'!B103</f>
        <v/>
      </c>
      <c r="C113" s="577" t="str">
        <f>'הגבלה לסכום מבוקש (1)'!C103</f>
        <v/>
      </c>
      <c r="D113" s="453" t="str">
        <f>'הגבלה לסכום מבוקש (1)'!U103</f>
        <v/>
      </c>
      <c r="E113" s="334"/>
      <c r="F113" s="454" t="str">
        <f t="shared" si="6"/>
        <v/>
      </c>
      <c r="G113" s="455" t="str">
        <f t="shared" si="7"/>
        <v/>
      </c>
      <c r="H113" s="455" t="str">
        <f t="shared" si="8"/>
        <v/>
      </c>
      <c r="J113" s="451" t="str">
        <f>IF($C113="","",IFERROR(IF('קיזוזים- החלטות ועדה'!E113=0,0,1),0))</f>
        <v/>
      </c>
      <c r="K113" s="451" t="str">
        <f t="shared" si="9"/>
        <v/>
      </c>
      <c r="L113" s="451" t="str">
        <f t="shared" si="10"/>
        <v/>
      </c>
      <c r="M113" s="456" t="str">
        <f t="shared" si="11"/>
        <v/>
      </c>
    </row>
    <row r="114" spans="2:13" ht="20.25" x14ac:dyDescent="0.25">
      <c r="B114" s="577" t="str">
        <f>'הגבלה לסכום מבוקש (1)'!B104</f>
        <v/>
      </c>
      <c r="C114" s="577" t="str">
        <f>'הגבלה לסכום מבוקש (1)'!C104</f>
        <v/>
      </c>
      <c r="D114" s="453" t="str">
        <f>'הגבלה לסכום מבוקש (1)'!U104</f>
        <v/>
      </c>
      <c r="E114" s="334"/>
      <c r="F114" s="454" t="str">
        <f t="shared" si="6"/>
        <v/>
      </c>
      <c r="G114" s="455" t="str">
        <f t="shared" si="7"/>
        <v/>
      </c>
      <c r="H114" s="455" t="str">
        <f t="shared" si="8"/>
        <v/>
      </c>
      <c r="J114" s="451" t="str">
        <f>IF($C114="","",IFERROR(IF('קיזוזים- החלטות ועדה'!E114=0,0,1),0))</f>
        <v/>
      </c>
      <c r="K114" s="451" t="str">
        <f t="shared" si="9"/>
        <v/>
      </c>
      <c r="L114" s="451" t="str">
        <f t="shared" si="10"/>
        <v/>
      </c>
      <c r="M114" s="456" t="str">
        <f t="shared" si="11"/>
        <v/>
      </c>
    </row>
    <row r="115" spans="2:13" ht="20.25" x14ac:dyDescent="0.25">
      <c r="B115" s="577">
        <f>'הגבלה לסכום מבוקש (1)'!B105</f>
        <v>85</v>
      </c>
      <c r="C115" s="577" t="str">
        <f>'הגבלה לסכום מבוקש (1)'!C105</f>
        <v>יענק'לה פילצר</v>
      </c>
      <c r="D115" s="453">
        <f>'הגבלה לסכום מבוקש (1)'!U105</f>
        <v>147543.09020021965</v>
      </c>
      <c r="E115" s="334"/>
      <c r="F115" s="454">
        <f t="shared" si="6"/>
        <v>0</v>
      </c>
      <c r="G115" s="455">
        <f t="shared" si="7"/>
        <v>147543.09020021965</v>
      </c>
      <c r="H115" s="455">
        <f t="shared" si="8"/>
        <v>147543.09020021965</v>
      </c>
      <c r="J115" s="451">
        <f>IF($C115="","",IFERROR(IF('קיזוזים- החלטות ועדה'!E115=0,0,1),0))</f>
        <v>0</v>
      </c>
      <c r="K115" s="451">
        <f t="shared" si="9"/>
        <v>0</v>
      </c>
      <c r="L115" s="451">
        <f t="shared" si="10"/>
        <v>0</v>
      </c>
      <c r="M115" s="456">
        <f t="shared" si="11"/>
        <v>0</v>
      </c>
    </row>
    <row r="116" spans="2:13" ht="20.25" x14ac:dyDescent="0.25">
      <c r="B116" s="577">
        <f>'הגבלה לסכום מבוקש (1)'!B106</f>
        <v>86</v>
      </c>
      <c r="C116" s="577" t="str">
        <f>'הגבלה לסכום מבוקש (1)'!C106</f>
        <v>ענבל פינטו</v>
      </c>
      <c r="D116" s="453">
        <f>'הגבלה לסכום מבוקש (1)'!U106</f>
        <v>104815.54946529685</v>
      </c>
      <c r="E116" s="334"/>
      <c r="F116" s="454">
        <f t="shared" si="6"/>
        <v>0</v>
      </c>
      <c r="G116" s="455">
        <f t="shared" si="7"/>
        <v>104815.54946529685</v>
      </c>
      <c r="H116" s="455">
        <f t="shared" si="8"/>
        <v>104815.54946529685</v>
      </c>
      <c r="J116" s="451">
        <f>IF($C116="","",IFERROR(IF('קיזוזים- החלטות ועדה'!E116=0,0,1),0))</f>
        <v>0</v>
      </c>
      <c r="K116" s="451">
        <f t="shared" si="9"/>
        <v>0</v>
      </c>
      <c r="L116" s="451">
        <f t="shared" si="10"/>
        <v>0</v>
      </c>
      <c r="M116" s="456">
        <f t="shared" si="11"/>
        <v>0</v>
      </c>
    </row>
    <row r="117" spans="2:13" ht="20.25" x14ac:dyDescent="0.25">
      <c r="B117" s="577">
        <f>'הגבלה לסכום מבוקש (1)'!B107</f>
        <v>87</v>
      </c>
      <c r="C117" s="577" t="str">
        <f>'הגבלה לסכום מבוקש (1)'!C107</f>
        <v>רוני חדש</v>
      </c>
      <c r="D117" s="453">
        <f>'הגבלה לסכום מבוקש (1)'!U107</f>
        <v>99915.23508525957</v>
      </c>
      <c r="E117" s="334"/>
      <c r="F117" s="454">
        <f t="shared" si="6"/>
        <v>0</v>
      </c>
      <c r="G117" s="455">
        <f t="shared" si="7"/>
        <v>99915.23508525957</v>
      </c>
      <c r="H117" s="455">
        <f t="shared" si="8"/>
        <v>99915.23508525957</v>
      </c>
      <c r="J117" s="451">
        <f>IF($C117="","",IFERROR(IF('קיזוזים- החלטות ועדה'!E117=0,0,1),0))</f>
        <v>0</v>
      </c>
      <c r="K117" s="451">
        <f t="shared" si="9"/>
        <v>0</v>
      </c>
      <c r="L117" s="451">
        <f t="shared" si="10"/>
        <v>0</v>
      </c>
      <c r="M117" s="456">
        <f t="shared" si="11"/>
        <v>0</v>
      </c>
    </row>
    <row r="118" spans="2:13" ht="20.25" x14ac:dyDescent="0.25">
      <c r="B118" s="577">
        <f>'הגבלה לסכום מבוקש (1)'!B108</f>
        <v>88</v>
      </c>
      <c r="C118" s="577" t="str">
        <f>'הגבלה לסכום מבוקש (1)'!C108</f>
        <v>שחר בנימיני</v>
      </c>
      <c r="D118" s="453">
        <f>'הגבלה לסכום מבוקש (1)'!U108</f>
        <v>105211.97108072024</v>
      </c>
      <c r="E118" s="334"/>
      <c r="F118" s="454">
        <f t="shared" si="6"/>
        <v>0</v>
      </c>
      <c r="G118" s="455">
        <f t="shared" si="7"/>
        <v>105211.97108072024</v>
      </c>
      <c r="H118" s="455">
        <f t="shared" si="8"/>
        <v>105211.97108072024</v>
      </c>
      <c r="J118" s="451">
        <f>IF($C118="","",IFERROR(IF('קיזוזים- החלטות ועדה'!E118=0,0,1),0))</f>
        <v>0</v>
      </c>
      <c r="K118" s="451">
        <f t="shared" si="9"/>
        <v>0</v>
      </c>
      <c r="L118" s="451">
        <f t="shared" si="10"/>
        <v>0</v>
      </c>
      <c r="M118" s="456">
        <f t="shared" si="11"/>
        <v>0</v>
      </c>
    </row>
    <row r="119" spans="2:13" ht="20.25" x14ac:dyDescent="0.25">
      <c r="B119" s="577">
        <f>'הגבלה לסכום מבוקש (1)'!B109</f>
        <v>89</v>
      </c>
      <c r="C119" s="577" t="str">
        <f>'הגבלה לסכום מבוקש (1)'!C109</f>
        <v>רביד אברבאנל</v>
      </c>
      <c r="D119" s="453">
        <f>'הגבלה לסכום מבוקש (1)'!U109</f>
        <v>65375.814765201161</v>
      </c>
      <c r="E119" s="334"/>
      <c r="F119" s="454">
        <f t="shared" si="6"/>
        <v>0</v>
      </c>
      <c r="G119" s="455">
        <f t="shared" si="7"/>
        <v>65375.814765201161</v>
      </c>
      <c r="H119" s="455">
        <f t="shared" si="8"/>
        <v>65375.814765201161</v>
      </c>
      <c r="J119" s="451">
        <f>IF($C119="","",IFERROR(IF('קיזוזים- החלטות ועדה'!E119=0,0,1),0))</f>
        <v>0</v>
      </c>
      <c r="K119" s="451">
        <f t="shared" si="9"/>
        <v>0</v>
      </c>
      <c r="L119" s="451">
        <f t="shared" si="10"/>
        <v>0</v>
      </c>
      <c r="M119" s="456">
        <f t="shared" si="11"/>
        <v>0</v>
      </c>
    </row>
    <row r="120" spans="2:13" ht="20.25" x14ac:dyDescent="0.25">
      <c r="B120" s="577">
        <f>'הגבלה לסכום מבוקש (1)'!B110</f>
        <v>90</v>
      </c>
      <c r="C120" s="577" t="str">
        <f>'הגבלה לסכום מבוקש (1)'!C110</f>
        <v>שרון פרידמן</v>
      </c>
      <c r="D120" s="453">
        <f>'הגבלה לסכום מבוקש (1)'!U110</f>
        <v>85426.5729747117</v>
      </c>
      <c r="E120" s="334"/>
      <c r="F120" s="454">
        <f t="shared" si="6"/>
        <v>0</v>
      </c>
      <c r="G120" s="455">
        <f t="shared" si="7"/>
        <v>85426.5729747117</v>
      </c>
      <c r="H120" s="455">
        <f t="shared" si="8"/>
        <v>85426.5729747117</v>
      </c>
      <c r="J120" s="451">
        <f>IF($C120="","",IFERROR(IF('קיזוזים- החלטות ועדה'!E120=0,0,1),0))</f>
        <v>0</v>
      </c>
      <c r="K120" s="451">
        <f t="shared" si="9"/>
        <v>0</v>
      </c>
      <c r="L120" s="451">
        <f t="shared" si="10"/>
        <v>0</v>
      </c>
      <c r="M120" s="456">
        <f t="shared" si="11"/>
        <v>0</v>
      </c>
    </row>
    <row r="121" spans="2:13" ht="20.25" x14ac:dyDescent="0.25">
      <c r="B121" s="577">
        <f>'הגבלה לסכום מבוקש (1)'!B111</f>
        <v>91</v>
      </c>
      <c r="C121" s="577" t="str">
        <f>'הגבלה לסכום מבוקש (1)'!C111</f>
        <v>מירב כהן</v>
      </c>
      <c r="D121" s="453">
        <f>'הגבלה לסכום מבוקש (1)'!U111</f>
        <v>41436.981331546842</v>
      </c>
      <c r="E121" s="334"/>
      <c r="F121" s="454">
        <f t="shared" si="6"/>
        <v>0</v>
      </c>
      <c r="G121" s="455">
        <f t="shared" si="7"/>
        <v>41436.981331546842</v>
      </c>
      <c r="H121" s="455">
        <f t="shared" si="8"/>
        <v>41436.981331546842</v>
      </c>
      <c r="J121" s="451">
        <f>IF($C121="","",IFERROR(IF('קיזוזים- החלטות ועדה'!E121=0,0,1),0))</f>
        <v>0</v>
      </c>
      <c r="K121" s="451">
        <f t="shared" si="9"/>
        <v>0</v>
      </c>
      <c r="L121" s="451">
        <f t="shared" si="10"/>
        <v>0</v>
      </c>
      <c r="M121" s="456">
        <f t="shared" si="11"/>
        <v>0</v>
      </c>
    </row>
    <row r="122" spans="2:13" ht="20.25" x14ac:dyDescent="0.25">
      <c r="B122" s="577">
        <f>'הגבלה לסכום מבוקש (1)'!B112</f>
        <v>92</v>
      </c>
      <c r="C122" s="577" t="str">
        <f>'הגבלה לסכום מבוקש (1)'!C112</f>
        <v>קים טייטלבאום</v>
      </c>
      <c r="D122" s="453">
        <f>'הגבלה לסכום מבוקש (1)'!U112</f>
        <v>47314.329355968446</v>
      </c>
      <c r="E122" s="334"/>
      <c r="F122" s="454">
        <f t="shared" si="6"/>
        <v>0</v>
      </c>
      <c r="G122" s="455">
        <f t="shared" si="7"/>
        <v>47314.329355968446</v>
      </c>
      <c r="H122" s="455">
        <f t="shared" si="8"/>
        <v>47314.329355968446</v>
      </c>
      <c r="J122" s="451">
        <f>IF($C122="","",IFERROR(IF('קיזוזים- החלטות ועדה'!E122=0,0,1),0))</f>
        <v>0</v>
      </c>
      <c r="K122" s="451">
        <f t="shared" si="9"/>
        <v>0</v>
      </c>
      <c r="L122" s="451">
        <f t="shared" si="10"/>
        <v>0</v>
      </c>
      <c r="M122" s="456">
        <f t="shared" si="11"/>
        <v>0</v>
      </c>
    </row>
    <row r="123" spans="2:13" ht="20.25" x14ac:dyDescent="0.25">
      <c r="B123" s="577" t="str">
        <f>'הגבלה לסכום מבוקש (1)'!B113</f>
        <v/>
      </c>
      <c r="C123" s="577" t="str">
        <f>'הגבלה לסכום מבוקש (1)'!C113</f>
        <v/>
      </c>
      <c r="D123" s="453" t="str">
        <f>'הגבלה לסכום מבוקש (1)'!U113</f>
        <v/>
      </c>
      <c r="E123" s="334"/>
      <c r="F123" s="454" t="str">
        <f t="shared" si="6"/>
        <v/>
      </c>
      <c r="G123" s="455" t="str">
        <f t="shared" si="7"/>
        <v/>
      </c>
      <c r="H123" s="455" t="str">
        <f t="shared" si="8"/>
        <v/>
      </c>
      <c r="J123" s="451" t="str">
        <f>IF($C123="","",IFERROR(IF('קיזוזים- החלטות ועדה'!E123=0,0,1),0))</f>
        <v/>
      </c>
      <c r="K123" s="451" t="str">
        <f t="shared" si="9"/>
        <v/>
      </c>
      <c r="L123" s="451" t="str">
        <f t="shared" si="10"/>
        <v/>
      </c>
      <c r="M123" s="456" t="str">
        <f t="shared" si="11"/>
        <v/>
      </c>
    </row>
    <row r="124" spans="2:13" ht="20.25" x14ac:dyDescent="0.25">
      <c r="B124" s="577">
        <f>'הגבלה לסכום מבוקש (1)'!B114</f>
        <v>94</v>
      </c>
      <c r="C124" s="577" t="str">
        <f>'הגבלה לסכום מבוקש (1)'!C114</f>
        <v>מאי זרחי</v>
      </c>
      <c r="D124" s="453">
        <f>'הגבלה לסכום מבוקש (1)'!U114</f>
        <v>46611.39586181302</v>
      </c>
      <c r="E124" s="334"/>
      <c r="F124" s="454">
        <f t="shared" si="6"/>
        <v>0</v>
      </c>
      <c r="G124" s="455">
        <f t="shared" si="7"/>
        <v>46611.39586181302</v>
      </c>
      <c r="H124" s="455">
        <f t="shared" si="8"/>
        <v>46611.39586181302</v>
      </c>
      <c r="J124" s="451">
        <f>IF($C124="","",IFERROR(IF('קיזוזים- החלטות ועדה'!E124=0,0,1),0))</f>
        <v>0</v>
      </c>
      <c r="K124" s="451">
        <f t="shared" si="9"/>
        <v>0</v>
      </c>
      <c r="L124" s="451">
        <f t="shared" si="10"/>
        <v>0</v>
      </c>
      <c r="M124" s="456">
        <f t="shared" si="11"/>
        <v>0</v>
      </c>
    </row>
    <row r="125" spans="2:13" ht="20.25" x14ac:dyDescent="0.25">
      <c r="B125" s="577">
        <f>'הגבלה לסכום מבוקש (1)'!B115</f>
        <v>95</v>
      </c>
      <c r="C125" s="577" t="str">
        <f>'הגבלה לסכום מבוקש (1)'!C115</f>
        <v>דנה מרכוס</v>
      </c>
      <c r="D125" s="453">
        <f>'הגבלה לסכום מבוקש (1)'!U115</f>
        <v>56210.924039478639</v>
      </c>
      <c r="E125" s="334"/>
      <c r="F125" s="454">
        <f t="shared" si="6"/>
        <v>0</v>
      </c>
      <c r="G125" s="455">
        <f t="shared" si="7"/>
        <v>56210.924039478639</v>
      </c>
      <c r="H125" s="455">
        <f t="shared" si="8"/>
        <v>56210.924039478639</v>
      </c>
      <c r="J125" s="451">
        <f>IF($C125="","",IFERROR(IF('קיזוזים- החלטות ועדה'!E125=0,0,1),0))</f>
        <v>0</v>
      </c>
      <c r="K125" s="451">
        <f t="shared" si="9"/>
        <v>0</v>
      </c>
      <c r="L125" s="451">
        <f t="shared" si="10"/>
        <v>0</v>
      </c>
      <c r="M125" s="456">
        <f t="shared" si="11"/>
        <v>0</v>
      </c>
    </row>
    <row r="126" spans="2:13" ht="20.25" x14ac:dyDescent="0.25">
      <c r="B126" s="577" t="str">
        <f>'הגבלה לסכום מבוקש (1)'!B116</f>
        <v/>
      </c>
      <c r="C126" s="577" t="str">
        <f>'הגבלה לסכום מבוקש (1)'!C116</f>
        <v/>
      </c>
      <c r="D126" s="453" t="str">
        <f>'הגבלה לסכום מבוקש (1)'!U116</f>
        <v/>
      </c>
      <c r="E126" s="334"/>
      <c r="F126" s="454" t="str">
        <f t="shared" ref="F126:F130" si="12">IF(C126="","",IFERROR(MIN(D126,E126/365*D126),$P$1))</f>
        <v/>
      </c>
      <c r="G126" s="455" t="str">
        <f t="shared" ref="G126:G130" si="13">IF($C126="","",D126-F126)</f>
        <v/>
      </c>
      <c r="H126" s="455" t="str">
        <f t="shared" ref="H126:H130" si="14">IF($C126="","",G126+M126)</f>
        <v/>
      </c>
      <c r="J126" s="451" t="str">
        <f>IF($C126="","",IFERROR(IF('קיזוזים- החלטות ועדה'!E126=0,0,1),0))</f>
        <v/>
      </c>
      <c r="K126" s="451" t="str">
        <f t="shared" ref="K126:K130" si="15">IF($C126="","",IFERROR(IF(E126=0,0,1),0))</f>
        <v/>
      </c>
      <c r="L126" s="451" t="str">
        <f t="shared" ref="L126:L130" si="16">IF($C126="","",IF(OR(K126=1,J126=1),1,0))</f>
        <v/>
      </c>
      <c r="M126" s="456" t="str">
        <f t="shared" ref="M126:M130" si="17">IF($C126="","",IF(L126=1,0,$L$27*$D126/$K$27))</f>
        <v/>
      </c>
    </row>
    <row r="127" spans="2:13" ht="20.25" x14ac:dyDescent="0.25">
      <c r="B127" s="577" t="str">
        <f>'הגבלה לסכום מבוקש (1)'!B117</f>
        <v/>
      </c>
      <c r="C127" s="577" t="str">
        <f>'הגבלה לסכום מבוקש (1)'!C117</f>
        <v/>
      </c>
      <c r="D127" s="453" t="str">
        <f>'הגבלה לסכום מבוקש (1)'!U117</f>
        <v/>
      </c>
      <c r="E127" s="334"/>
      <c r="F127" s="454" t="str">
        <f t="shared" si="12"/>
        <v/>
      </c>
      <c r="G127" s="455" t="str">
        <f t="shared" si="13"/>
        <v/>
      </c>
      <c r="H127" s="455" t="str">
        <f t="shared" si="14"/>
        <v/>
      </c>
      <c r="J127" s="451" t="str">
        <f>IF($C127="","",IFERROR(IF('קיזוזים- החלטות ועדה'!E127=0,0,1),0))</f>
        <v/>
      </c>
      <c r="K127" s="451" t="str">
        <f t="shared" si="15"/>
        <v/>
      </c>
      <c r="L127" s="451" t="str">
        <f t="shared" si="16"/>
        <v/>
      </c>
      <c r="M127" s="456" t="str">
        <f t="shared" si="17"/>
        <v/>
      </c>
    </row>
    <row r="128" spans="2:13" ht="20.25" x14ac:dyDescent="0.25">
      <c r="B128" s="577">
        <f>'הגבלה לסכום מבוקש (1)'!B118</f>
        <v>98</v>
      </c>
      <c r="C128" s="577" t="str">
        <f>'הגבלה לסכום מבוקש (1)'!C118</f>
        <v>שקד מוכיח</v>
      </c>
      <c r="D128" s="453">
        <f>'הגבלה לסכום מבוקש (1)'!U118</f>
        <v>87082.385534881352</v>
      </c>
      <c r="E128" s="334"/>
      <c r="F128" s="454">
        <f t="shared" si="12"/>
        <v>0</v>
      </c>
      <c r="G128" s="455">
        <f t="shared" si="13"/>
        <v>87082.385534881352</v>
      </c>
      <c r="H128" s="455">
        <f t="shared" si="14"/>
        <v>87082.385534881352</v>
      </c>
      <c r="J128" s="451">
        <f>IF($C128="","",IFERROR(IF('קיזוזים- החלטות ועדה'!E128=0,0,1),0))</f>
        <v>0</v>
      </c>
      <c r="K128" s="451">
        <f t="shared" si="15"/>
        <v>0</v>
      </c>
      <c r="L128" s="451">
        <f t="shared" si="16"/>
        <v>0</v>
      </c>
      <c r="M128" s="456">
        <f t="shared" si="17"/>
        <v>0</v>
      </c>
    </row>
    <row r="129" spans="2:13" ht="20.25" x14ac:dyDescent="0.25">
      <c r="B129" s="577">
        <f>'הגבלה לסכום מבוקש (1)'!B119</f>
        <v>99</v>
      </c>
      <c r="C129" s="577" t="str">
        <f>'הגבלה לסכום מבוקש (1)'!C119</f>
        <v>שרון הללי אסא</v>
      </c>
      <c r="D129" s="453">
        <f>'הגבלה לסכום מבוקש (1)'!U119</f>
        <v>82462.242590156486</v>
      </c>
      <c r="E129" s="334"/>
      <c r="F129" s="454">
        <f t="shared" si="12"/>
        <v>0</v>
      </c>
      <c r="G129" s="455">
        <f t="shared" si="13"/>
        <v>82462.242590156486</v>
      </c>
      <c r="H129" s="455">
        <f t="shared" si="14"/>
        <v>82462.242590156486</v>
      </c>
      <c r="J129" s="451">
        <f>IF($C129="","",IFERROR(IF('קיזוזים- החלטות ועדה'!E141=0,0,1),0))</f>
        <v>0</v>
      </c>
      <c r="K129" s="451">
        <f t="shared" si="15"/>
        <v>0</v>
      </c>
      <c r="L129" s="451">
        <f t="shared" si="16"/>
        <v>0</v>
      </c>
      <c r="M129" s="456">
        <f t="shared" si="17"/>
        <v>0</v>
      </c>
    </row>
    <row r="130" spans="2:13" ht="20.25" x14ac:dyDescent="0.25">
      <c r="B130" s="577">
        <f>'הגבלה לסכום מבוקש (1)'!B120</f>
        <v>100</v>
      </c>
      <c r="C130" s="577" t="str">
        <f>'הגבלה לסכום מבוקש (1)'!C120</f>
        <v>להקת ג'אם</v>
      </c>
      <c r="D130" s="453">
        <f>'הגבלה לסכום מבוקש (1)'!U120</f>
        <v>51108.864394382756</v>
      </c>
      <c r="E130" s="334"/>
      <c r="F130" s="454">
        <f t="shared" si="12"/>
        <v>0</v>
      </c>
      <c r="G130" s="455">
        <f t="shared" si="13"/>
        <v>51108.864394382756</v>
      </c>
      <c r="H130" s="455">
        <f t="shared" si="14"/>
        <v>51108.864394382756</v>
      </c>
      <c r="J130" s="451">
        <f>IF($C130="","",IFERROR(IF('קיזוזים- החלטות ועדה'!E142=0,0,1),0))</f>
        <v>0</v>
      </c>
      <c r="K130" s="451">
        <f t="shared" si="15"/>
        <v>0</v>
      </c>
      <c r="L130" s="451">
        <f t="shared" si="16"/>
        <v>0</v>
      </c>
      <c r="M130" s="456">
        <f t="shared" si="17"/>
        <v>0</v>
      </c>
    </row>
    <row r="131" spans="2:13" ht="20.25" x14ac:dyDescent="0.25">
      <c r="B131" s="577" t="str">
        <f>'הגבלה לסכום מבוקש (1)'!B121</f>
        <v/>
      </c>
      <c r="C131" s="577" t="str">
        <f>'הגבלה לסכום מבוקש (1)'!C121</f>
        <v/>
      </c>
      <c r="D131" s="453" t="str">
        <f>'הגבלה לסכום מבוקש (1)'!U121</f>
        <v/>
      </c>
      <c r="E131" s="334"/>
      <c r="F131" s="454" t="str">
        <f t="shared" ref="F131:F142" si="18">IF(C131="","",IFERROR(MIN(D131,E131/365*D131),$P$1))</f>
        <v/>
      </c>
      <c r="G131" s="455" t="str">
        <f t="shared" ref="G131:G142" si="19">IF($C131="","",D131-F131)</f>
        <v/>
      </c>
      <c r="H131" s="455" t="str">
        <f t="shared" ref="H131:H142" si="20">IF($C131="","",G131+M131)</f>
        <v/>
      </c>
      <c r="J131" s="451" t="str">
        <f>IF($C131="","",IFERROR(IF('קיזוזים- החלטות ועדה'!E143=0,0,1),0))</f>
        <v/>
      </c>
      <c r="K131" s="451" t="str">
        <f t="shared" ref="K131:K142" si="21">IF($C131="","",IFERROR(IF(E131=0,0,1),0))</f>
        <v/>
      </c>
      <c r="L131" s="451" t="str">
        <f t="shared" ref="L131:L142" si="22">IF($C131="","",IF(OR(K131=1,J131=1),1,0))</f>
        <v/>
      </c>
      <c r="M131" s="456" t="str">
        <f t="shared" ref="M131:M142" si="23">IF($C131="","",IF(L131=1,0,$L$27*$D131/$K$27))</f>
        <v/>
      </c>
    </row>
    <row r="132" spans="2:13" ht="20.25" x14ac:dyDescent="0.25">
      <c r="B132" s="577" t="str">
        <f>'הגבלה לסכום מבוקש (1)'!B122</f>
        <v/>
      </c>
      <c r="C132" s="577" t="str">
        <f>'הגבלה לסכום מבוקש (1)'!C122</f>
        <v/>
      </c>
      <c r="D132" s="453" t="str">
        <f>'הגבלה לסכום מבוקש (1)'!U122</f>
        <v/>
      </c>
      <c r="E132" s="334"/>
      <c r="F132" s="454" t="str">
        <f t="shared" si="18"/>
        <v/>
      </c>
      <c r="G132" s="455" t="str">
        <f t="shared" si="19"/>
        <v/>
      </c>
      <c r="H132" s="455" t="str">
        <f t="shared" si="20"/>
        <v/>
      </c>
      <c r="J132" s="451" t="str">
        <f>IF($C132="","",IFERROR(IF('קיזוזים- החלטות ועדה'!E144=0,0,1),0))</f>
        <v/>
      </c>
      <c r="K132" s="451" t="str">
        <f t="shared" si="21"/>
        <v/>
      </c>
      <c r="L132" s="451" t="str">
        <f t="shared" si="22"/>
        <v/>
      </c>
      <c r="M132" s="456" t="str">
        <f t="shared" si="23"/>
        <v/>
      </c>
    </row>
    <row r="133" spans="2:13" ht="20.25" x14ac:dyDescent="0.25">
      <c r="B133" s="577" t="str">
        <f>'הגבלה לסכום מבוקש (1)'!B123</f>
        <v/>
      </c>
      <c r="C133" s="577" t="str">
        <f>'הגבלה לסכום מבוקש (1)'!C123</f>
        <v/>
      </c>
      <c r="D133" s="453" t="str">
        <f>'הגבלה לסכום מבוקש (1)'!U123</f>
        <v/>
      </c>
      <c r="E133" s="334"/>
      <c r="F133" s="454" t="str">
        <f t="shared" si="18"/>
        <v/>
      </c>
      <c r="G133" s="455" t="str">
        <f t="shared" si="19"/>
        <v/>
      </c>
      <c r="H133" s="455" t="str">
        <f t="shared" si="20"/>
        <v/>
      </c>
      <c r="J133" s="451" t="str">
        <f>IF($C133="","",IFERROR(IF('קיזוזים- החלטות ועדה'!E145=0,0,1),0))</f>
        <v/>
      </c>
      <c r="K133" s="451" t="str">
        <f t="shared" si="21"/>
        <v/>
      </c>
      <c r="L133" s="451" t="str">
        <f t="shared" si="22"/>
        <v/>
      </c>
      <c r="M133" s="456" t="str">
        <f t="shared" si="23"/>
        <v/>
      </c>
    </row>
    <row r="134" spans="2:13" ht="20.25" x14ac:dyDescent="0.25">
      <c r="B134" s="577" t="str">
        <f>'הגבלה לסכום מבוקש (1)'!B124</f>
        <v/>
      </c>
      <c r="C134" s="577" t="str">
        <f>'הגבלה לסכום מבוקש (1)'!C124</f>
        <v/>
      </c>
      <c r="D134" s="453" t="str">
        <f>'הגבלה לסכום מבוקש (1)'!U124</f>
        <v/>
      </c>
      <c r="E134" s="334"/>
      <c r="F134" s="454" t="str">
        <f t="shared" si="18"/>
        <v/>
      </c>
      <c r="G134" s="455" t="str">
        <f t="shared" si="19"/>
        <v/>
      </c>
      <c r="H134" s="455" t="str">
        <f t="shared" si="20"/>
        <v/>
      </c>
      <c r="J134" s="451" t="str">
        <f>IF($C134="","",IFERROR(IF('קיזוזים- החלטות ועדה'!E146=0,0,1),0))</f>
        <v/>
      </c>
      <c r="K134" s="451" t="str">
        <f t="shared" si="21"/>
        <v/>
      </c>
      <c r="L134" s="451" t="str">
        <f t="shared" si="22"/>
        <v/>
      </c>
      <c r="M134" s="456" t="str">
        <f t="shared" si="23"/>
        <v/>
      </c>
    </row>
    <row r="135" spans="2:13" ht="20.25" x14ac:dyDescent="0.25">
      <c r="B135" s="577">
        <f>'הגבלה לסכום מבוקש (1)'!B125</f>
        <v>105</v>
      </c>
      <c r="C135" s="577" t="str">
        <f>'הגבלה לסכום מבוקש (1)'!C125</f>
        <v>מורן אברג'ל יצחקי</v>
      </c>
      <c r="D135" s="453">
        <f>'הגבלה לסכום מבוקש (1)'!U125</f>
        <v>45808.852076211027</v>
      </c>
      <c r="E135" s="334"/>
      <c r="F135" s="454">
        <f t="shared" si="18"/>
        <v>0</v>
      </c>
      <c r="G135" s="455">
        <f t="shared" si="19"/>
        <v>45808.852076211027</v>
      </c>
      <c r="H135" s="455">
        <f t="shared" si="20"/>
        <v>45808.852076211027</v>
      </c>
      <c r="J135" s="451">
        <f>IF($C135="","",IFERROR(IF('קיזוזים- החלטות ועדה'!E147=0,0,1),0))</f>
        <v>0</v>
      </c>
      <c r="K135" s="451">
        <f t="shared" si="21"/>
        <v>0</v>
      </c>
      <c r="L135" s="451">
        <f t="shared" si="22"/>
        <v>0</v>
      </c>
      <c r="M135" s="456">
        <f t="shared" si="23"/>
        <v>0</v>
      </c>
    </row>
    <row r="136" spans="2:13" ht="20.25" x14ac:dyDescent="0.25">
      <c r="B136" s="577">
        <f>'הגבלה לסכום מבוקש (1)'!B126</f>
        <v>106</v>
      </c>
      <c r="C136" s="577" t="str">
        <f>'הגבלה לסכום מבוקש (1)'!C126</f>
        <v>מיכל בן צבי</v>
      </c>
      <c r="D136" s="453">
        <f>'הגבלה לסכום מבוקש (1)'!U126</f>
        <v>60622.0931749464</v>
      </c>
      <c r="E136" s="334"/>
      <c r="F136" s="454">
        <f t="shared" si="18"/>
        <v>0</v>
      </c>
      <c r="G136" s="455">
        <f t="shared" si="19"/>
        <v>60622.0931749464</v>
      </c>
      <c r="H136" s="455">
        <f t="shared" si="20"/>
        <v>60622.0931749464</v>
      </c>
      <c r="J136" s="451">
        <f>IF($C136="","",IFERROR(IF('קיזוזים- החלטות ועדה'!E148=0,0,1),0))</f>
        <v>0</v>
      </c>
      <c r="K136" s="451">
        <f t="shared" si="21"/>
        <v>0</v>
      </c>
      <c r="L136" s="451">
        <f t="shared" si="22"/>
        <v>0</v>
      </c>
      <c r="M136" s="456">
        <f t="shared" si="23"/>
        <v>0</v>
      </c>
    </row>
    <row r="137" spans="2:13" ht="20.25" x14ac:dyDescent="0.25">
      <c r="B137" s="577">
        <f>'הגבלה לסכום מבוקש (1)'!B127</f>
        <v>107</v>
      </c>
      <c r="C137" s="577" t="str">
        <f>'הגבלה לסכום מבוקש (1)'!C127</f>
        <v>מיקה קופפר</v>
      </c>
      <c r="D137" s="453">
        <f>'הגבלה לסכום מבוקש (1)'!U127</f>
        <v>58515.252495622175</v>
      </c>
      <c r="E137" s="334"/>
      <c r="F137" s="454">
        <f t="shared" si="18"/>
        <v>0</v>
      </c>
      <c r="G137" s="455">
        <f t="shared" si="19"/>
        <v>58515.252495622175</v>
      </c>
      <c r="H137" s="455">
        <f t="shared" si="20"/>
        <v>58515.252495622175</v>
      </c>
      <c r="J137" s="451">
        <f>IF($C137="","",IFERROR(IF('קיזוזים- החלטות ועדה'!E149=0,0,1),0))</f>
        <v>0</v>
      </c>
      <c r="K137" s="451">
        <f t="shared" si="21"/>
        <v>0</v>
      </c>
      <c r="L137" s="451">
        <f t="shared" si="22"/>
        <v>0</v>
      </c>
      <c r="M137" s="456">
        <f t="shared" si="23"/>
        <v>0</v>
      </c>
    </row>
    <row r="138" spans="2:13" ht="20.25" x14ac:dyDescent="0.25">
      <c r="B138" s="577" t="str">
        <f>'הגבלה לסכום מבוקש (1)'!B128</f>
        <v/>
      </c>
      <c r="C138" s="577" t="str">
        <f>'הגבלה לסכום מבוקש (1)'!C128</f>
        <v/>
      </c>
      <c r="D138" s="453" t="str">
        <f>'הגבלה לסכום מבוקש (1)'!U128</f>
        <v/>
      </c>
      <c r="E138" s="334"/>
      <c r="F138" s="454" t="str">
        <f t="shared" si="18"/>
        <v/>
      </c>
      <c r="G138" s="455" t="str">
        <f t="shared" si="19"/>
        <v/>
      </c>
      <c r="H138" s="455" t="str">
        <f t="shared" si="20"/>
        <v/>
      </c>
      <c r="J138" s="451" t="str">
        <f>IF($C138="","",IFERROR(IF('קיזוזים- החלטות ועדה'!E150=0,0,1),0))</f>
        <v/>
      </c>
      <c r="K138" s="451" t="str">
        <f t="shared" si="21"/>
        <v/>
      </c>
      <c r="L138" s="451" t="str">
        <f t="shared" si="22"/>
        <v/>
      </c>
      <c r="M138" s="456" t="str">
        <f t="shared" si="23"/>
        <v/>
      </c>
    </row>
    <row r="139" spans="2:13" ht="20.25" x14ac:dyDescent="0.25">
      <c r="B139" s="577">
        <f>'הגבלה לסכום מבוקש (1)'!B129</f>
        <v>109</v>
      </c>
      <c r="C139" s="577" t="str">
        <f>'הגבלה לסכום מבוקש (1)'!C129</f>
        <v>נועה שילה</v>
      </c>
      <c r="D139" s="453">
        <f>'הגבלה לסכום מבוקש (1)'!U129</f>
        <v>56320.524973865584</v>
      </c>
      <c r="E139" s="334"/>
      <c r="F139" s="454">
        <f t="shared" si="18"/>
        <v>0</v>
      </c>
      <c r="G139" s="455">
        <f t="shared" si="19"/>
        <v>56320.524973865584</v>
      </c>
      <c r="H139" s="455">
        <f t="shared" si="20"/>
        <v>56320.524973865584</v>
      </c>
      <c r="J139" s="451">
        <f>IF($C139="","",IFERROR(IF('קיזוזים- החלטות ועדה'!E151=0,0,1),0))</f>
        <v>0</v>
      </c>
      <c r="K139" s="451">
        <f t="shared" si="21"/>
        <v>0</v>
      </c>
      <c r="L139" s="451">
        <f t="shared" si="22"/>
        <v>0</v>
      </c>
      <c r="M139" s="456">
        <f t="shared" si="23"/>
        <v>0</v>
      </c>
    </row>
    <row r="140" spans="2:13" ht="20.25" x14ac:dyDescent="0.25">
      <c r="B140" s="577" t="str">
        <f>'הגבלה לסכום מבוקש (1)'!B130</f>
        <v/>
      </c>
      <c r="C140" s="577" t="str">
        <f>'הגבלה לסכום מבוקש (1)'!C130</f>
        <v/>
      </c>
      <c r="D140" s="453" t="str">
        <f>'הגבלה לסכום מבוקש (1)'!U130</f>
        <v/>
      </c>
      <c r="E140" s="334"/>
      <c r="F140" s="454" t="str">
        <f t="shared" si="18"/>
        <v/>
      </c>
      <c r="G140" s="455" t="str">
        <f t="shared" si="19"/>
        <v/>
      </c>
      <c r="H140" s="455" t="str">
        <f t="shared" si="20"/>
        <v/>
      </c>
      <c r="J140" s="451" t="str">
        <f>IF($C140="","",IFERROR(IF('קיזוזים- החלטות ועדה'!E152=0,0,1),0))</f>
        <v/>
      </c>
      <c r="K140" s="451" t="str">
        <f t="shared" si="21"/>
        <v/>
      </c>
      <c r="L140" s="451" t="str">
        <f t="shared" si="22"/>
        <v/>
      </c>
      <c r="M140" s="456" t="str">
        <f t="shared" si="23"/>
        <v/>
      </c>
    </row>
    <row r="141" spans="2:13" ht="20.25" x14ac:dyDescent="0.25">
      <c r="B141" s="577">
        <f>'הגבלה לסכום מבוקש (1)'!B131</f>
        <v>111</v>
      </c>
      <c r="C141" s="577" t="str">
        <f>'הגבלה לסכום מבוקש (1)'!C131</f>
        <v>עדי בוטרוס אמנויות הבמה (ע"ר)</v>
      </c>
      <c r="D141" s="453">
        <f>'הגבלה לסכום מבוקש (1)'!U131</f>
        <v>100645.73096221809</v>
      </c>
      <c r="E141" s="334"/>
      <c r="F141" s="454">
        <f t="shared" si="18"/>
        <v>0</v>
      </c>
      <c r="G141" s="455">
        <f t="shared" si="19"/>
        <v>100645.73096221809</v>
      </c>
      <c r="H141" s="455">
        <f t="shared" si="20"/>
        <v>100645.73096221809</v>
      </c>
      <c r="J141" s="451">
        <f>IF($C141="","",IFERROR(IF('קיזוזים- החלטות ועדה'!E153=0,0,1),0))</f>
        <v>0</v>
      </c>
      <c r="K141" s="451">
        <f t="shared" si="21"/>
        <v>0</v>
      </c>
      <c r="L141" s="451">
        <f t="shared" si="22"/>
        <v>0</v>
      </c>
      <c r="M141" s="456">
        <f t="shared" si="23"/>
        <v>0</v>
      </c>
    </row>
    <row r="142" spans="2:13" ht="21" thickBot="1" x14ac:dyDescent="0.3">
      <c r="B142" s="577" t="str">
        <f>'הגבלה לסכום מבוקש (1)'!B132</f>
        <v/>
      </c>
      <c r="C142" s="577" t="str">
        <f>'הגבלה לסכום מבוקש (1)'!C132</f>
        <v/>
      </c>
      <c r="D142" s="453" t="str">
        <f>'הגבלה לסכום מבוקש (1)'!U132</f>
        <v/>
      </c>
      <c r="E142" s="334"/>
      <c r="F142" s="454" t="str">
        <f t="shared" si="18"/>
        <v/>
      </c>
      <c r="G142" s="455" t="str">
        <f t="shared" si="19"/>
        <v/>
      </c>
      <c r="H142" s="455" t="str">
        <f t="shared" si="20"/>
        <v/>
      </c>
      <c r="J142" s="451" t="str">
        <f>IF($C142="","",IFERROR(IF('קיזוזים- החלטות ועדה'!E154=0,0,1),0))</f>
        <v/>
      </c>
      <c r="K142" s="451" t="str">
        <f t="shared" si="21"/>
        <v/>
      </c>
      <c r="L142" s="451" t="str">
        <f t="shared" si="22"/>
        <v/>
      </c>
      <c r="M142" s="456" t="str">
        <f t="shared" si="23"/>
        <v/>
      </c>
    </row>
    <row r="143" spans="2:13" ht="19.5" thickBot="1" x14ac:dyDescent="0.35">
      <c r="B143" s="904" t="s">
        <v>41</v>
      </c>
      <c r="C143" s="905"/>
      <c r="D143" s="563">
        <f>SUM(D31:D142)</f>
        <v>8082763.9999999981</v>
      </c>
      <c r="E143" s="335">
        <f>SUM(E31:E142)</f>
        <v>0</v>
      </c>
      <c r="F143" s="563">
        <f>SUM(F31:F142)</f>
        <v>0</v>
      </c>
      <c r="G143" s="563">
        <f>SUM(G31:G142)</f>
        <v>8082763.9999999981</v>
      </c>
      <c r="H143" s="563">
        <f>SUM(H31:H142)</f>
        <v>8082763.9999999981</v>
      </c>
    </row>
  </sheetData>
  <sheetProtection algorithmName="SHA-512" hashValue="qcxcZKifhkW8cDMJEQkgVuq9h4eW5D8IIlWv4ZbPuZp9HDhLEZQrCxxKMDEqDSungbjVFrg7LwTMKy00DdhOLQ==" saltValue="Xkn9gVNT8mlJrnIJsvIWpA==" spinCount="100000" sheet="1" scenarios="1" formatColumns="0" formatRows="0" autoFilter="0"/>
  <mergeCells count="12">
    <mergeCell ref="B28:H28"/>
    <mergeCell ref="B29:B30"/>
    <mergeCell ref="C29:C30"/>
    <mergeCell ref="D29:D30"/>
    <mergeCell ref="F29:F30"/>
    <mergeCell ref="G29:G30"/>
    <mergeCell ref="H29:H30"/>
    <mergeCell ref="J29:J30"/>
    <mergeCell ref="K29:K30"/>
    <mergeCell ref="L29:L30"/>
    <mergeCell ref="M29:M30"/>
    <mergeCell ref="B143:C143"/>
  </mergeCells>
  <conditionalFormatting sqref="B31:D142">
    <cfRule type="containsBlanks" dxfId="20" priority="6">
      <formula>LEN(TRIM(B31))=0</formula>
    </cfRule>
  </conditionalFormatting>
  <conditionalFormatting sqref="C1:C2">
    <cfRule type="containsBlanks" dxfId="19" priority="4">
      <formula>LEN(TRIM(C1))=0</formula>
    </cfRule>
  </conditionalFormatting>
  <conditionalFormatting sqref="E31:E142">
    <cfRule type="expression" dxfId="18" priority="2">
      <formula>AND($D31="",E31&lt;&gt;"")</formula>
    </cfRule>
    <cfRule type="expression" dxfId="17" priority="3">
      <formula>$C31&lt;&gt;""</formula>
    </cfRule>
  </conditionalFormatting>
  <conditionalFormatting sqref="F31:H142">
    <cfRule type="containsBlanks" dxfId="16" priority="1">
      <formula>LEN(TRIM(F31))=0</formula>
    </cfRule>
  </conditionalFormatting>
  <dataValidations count="1">
    <dataValidation type="whole" operator="greaterThanOrEqual" allowBlank="1" showInputMessage="1" showErrorMessage="1" error="יש להזין מספר שאינו שלילי" sqref="E31:E142" xr:uid="{00000000-0002-0000-1400-000000000000}">
      <formula1>0</formula1>
    </dataValidation>
  </dataValidations>
  <printOptions horizontalCentered="1"/>
  <pageMargins left="0.51181102362204722" right="0.51181102362204722" top="0.74803149606299213" bottom="0.74803149606299213" header="0.31496062992125984" footer="0.31496062992125984"/>
  <pageSetup paperSize="9" scale="83" fitToHeight="0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  <rowBreaks count="1" manualBreakCount="1">
    <brk id="103" min="1" max="7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7">
    <tabColor theme="8" tint="-0.249977111117893"/>
  </sheetPr>
  <dimension ref="A1:GR143"/>
  <sheetViews>
    <sheetView rightToLeft="1" view="pageBreakPreview" zoomScale="85" zoomScaleNormal="80" zoomScaleSheetLayoutView="85" workbookViewId="0">
      <pane xSplit="1" ySplit="30" topLeftCell="B31" activePane="bottomRight" state="frozen"/>
      <selection pane="topRight" activeCell="F51" sqref="F51"/>
      <selection pane="bottomLeft" activeCell="F51" sqref="F51"/>
      <selection pane="bottomRight" activeCell="B31" sqref="B31"/>
    </sheetView>
  </sheetViews>
  <sheetFormatPr defaultColWidth="8" defaultRowHeight="21" x14ac:dyDescent="0.35"/>
  <cols>
    <col min="1" max="1" width="8" style="336" hidden="1" customWidth="1"/>
    <col min="2" max="2" width="11.28515625" style="336" customWidth="1"/>
    <col min="3" max="3" width="37.42578125" style="336" bestFit="1" customWidth="1"/>
    <col min="4" max="4" width="23" style="336" bestFit="1" customWidth="1"/>
    <col min="5" max="5" width="17.85546875" style="336" bestFit="1" customWidth="1"/>
    <col min="6" max="6" width="32.28515625" style="336" bestFit="1" customWidth="1"/>
    <col min="7" max="7" width="26.85546875" style="336" bestFit="1" customWidth="1"/>
    <col min="8" max="9" width="8" style="336" hidden="1" customWidth="1"/>
    <col min="10" max="10" width="19.42578125" style="336" hidden="1" customWidth="1"/>
    <col min="11" max="11" width="18.85546875" style="336" hidden="1" customWidth="1"/>
    <col min="12" max="200" width="8" style="336" hidden="1" customWidth="1"/>
    <col min="201" max="16384" width="8" style="336"/>
  </cols>
  <sheetData>
    <row r="1" spans="2:14" x14ac:dyDescent="0.35">
      <c r="B1" s="325" t="str">
        <f>'פרמטרים לעקרונות חישוב התמיכה'!$B$1</f>
        <v>שנה</v>
      </c>
      <c r="C1" s="326">
        <f>'פרמטרים לעקרונות חישוב התמיכה'!$C$1</f>
        <v>2025</v>
      </c>
      <c r="N1" s="328" t="s">
        <v>76</v>
      </c>
    </row>
    <row r="2" spans="2:14" ht="38.25" thickBot="1" x14ac:dyDescent="0.4">
      <c r="B2" s="329" t="str">
        <f>'פרמטרים לעקרונות חישוב התמיכה'!$B$2</f>
        <v>תקציב התמיכה</v>
      </c>
      <c r="C2" s="330">
        <f>'פרמטרים לעקרונות חישוב התמיכה'!$C$2</f>
        <v>8082764</v>
      </c>
      <c r="J2" s="450" t="s">
        <v>348</v>
      </c>
      <c r="K2" s="450" t="s">
        <v>349</v>
      </c>
    </row>
    <row r="3" spans="2:14" x14ac:dyDescent="0.35">
      <c r="C3" s="337"/>
      <c r="D3" s="337"/>
      <c r="E3" s="337"/>
      <c r="F3" s="337"/>
      <c r="G3" s="337"/>
      <c r="I3" s="337"/>
      <c r="J3" s="338"/>
      <c r="K3" s="338"/>
      <c r="L3" s="337"/>
    </row>
    <row r="4" spans="2:14" hidden="1" x14ac:dyDescent="0.35">
      <c r="J4" s="331"/>
      <c r="K4" s="331"/>
    </row>
    <row r="5" spans="2:14" hidden="1" x14ac:dyDescent="0.35">
      <c r="C5" s="337"/>
      <c r="J5" s="331"/>
      <c r="K5" s="331"/>
    </row>
    <row r="6" spans="2:14" hidden="1" x14ac:dyDescent="0.35">
      <c r="J6" s="331"/>
      <c r="K6" s="331"/>
    </row>
    <row r="7" spans="2:14" hidden="1" x14ac:dyDescent="0.35">
      <c r="J7" s="331"/>
      <c r="K7" s="331"/>
    </row>
    <row r="8" spans="2:14" hidden="1" x14ac:dyDescent="0.35">
      <c r="J8" s="331"/>
      <c r="K8" s="331"/>
    </row>
    <row r="9" spans="2:14" ht="21" hidden="1" customHeight="1" x14ac:dyDescent="0.35">
      <c r="J9" s="331"/>
      <c r="K9" s="331"/>
    </row>
    <row r="10" spans="2:14" hidden="1" x14ac:dyDescent="0.35">
      <c r="J10" s="331"/>
      <c r="K10" s="331"/>
    </row>
    <row r="11" spans="2:14" hidden="1" x14ac:dyDescent="0.35">
      <c r="J11" s="331"/>
      <c r="K11" s="331"/>
    </row>
    <row r="12" spans="2:14" hidden="1" x14ac:dyDescent="0.35">
      <c r="J12" s="331"/>
      <c r="K12" s="331"/>
    </row>
    <row r="13" spans="2:14" hidden="1" x14ac:dyDescent="0.35">
      <c r="J13" s="331"/>
      <c r="K13" s="331"/>
    </row>
    <row r="14" spans="2:14" hidden="1" x14ac:dyDescent="0.35">
      <c r="J14" s="331"/>
      <c r="K14" s="331"/>
    </row>
    <row r="15" spans="2:14" hidden="1" x14ac:dyDescent="0.35">
      <c r="J15" s="331"/>
      <c r="K15" s="331"/>
    </row>
    <row r="16" spans="2:14" hidden="1" x14ac:dyDescent="0.35">
      <c r="J16" s="331"/>
      <c r="K16" s="331"/>
    </row>
    <row r="17" spans="2:12" hidden="1" x14ac:dyDescent="0.35">
      <c r="J17" s="331"/>
      <c r="K17" s="331"/>
    </row>
    <row r="18" spans="2:12" hidden="1" x14ac:dyDescent="0.35">
      <c r="J18" s="331"/>
      <c r="K18" s="331"/>
    </row>
    <row r="19" spans="2:12" hidden="1" x14ac:dyDescent="0.35">
      <c r="J19" s="331"/>
      <c r="K19" s="331"/>
    </row>
    <row r="20" spans="2:12" hidden="1" x14ac:dyDescent="0.35">
      <c r="J20" s="331"/>
      <c r="K20" s="331"/>
    </row>
    <row r="21" spans="2:12" hidden="1" x14ac:dyDescent="0.35">
      <c r="J21" s="331"/>
      <c r="K21" s="331"/>
    </row>
    <row r="22" spans="2:12" hidden="1" x14ac:dyDescent="0.35">
      <c r="J22" s="331"/>
      <c r="K22" s="331"/>
    </row>
    <row r="23" spans="2:12" hidden="1" x14ac:dyDescent="0.35">
      <c r="J23" s="331"/>
      <c r="K23" s="331"/>
    </row>
    <row r="24" spans="2:12" hidden="1" x14ac:dyDescent="0.35">
      <c r="J24" s="331"/>
      <c r="K24" s="331"/>
    </row>
    <row r="25" spans="2:12" hidden="1" x14ac:dyDescent="0.35">
      <c r="J25" s="331"/>
      <c r="K25" s="331"/>
    </row>
    <row r="26" spans="2:12" hidden="1" x14ac:dyDescent="0.35">
      <c r="J26" s="331"/>
      <c r="K26" s="331"/>
    </row>
    <row r="27" spans="2:12" ht="21.75" thickBot="1" x14ac:dyDescent="0.4">
      <c r="J27" s="451">
        <f>SUMIF(K31:K142,0,D31:D142)</f>
        <v>8082763.9999999981</v>
      </c>
      <c r="K27" s="452">
        <f>SUM(E31:E142)</f>
        <v>0</v>
      </c>
    </row>
    <row r="28" spans="2:12" ht="21" customHeight="1" thickBot="1" x14ac:dyDescent="0.4">
      <c r="B28" s="906" t="str">
        <f ca="1">MID(CELL("filename",B30),FIND("]",CELL("filename",C30),1)+1,99)</f>
        <v>קיזוזים- החלטות ועדה</v>
      </c>
      <c r="C28" s="907"/>
      <c r="D28" s="907"/>
      <c r="E28" s="907"/>
      <c r="F28" s="907"/>
      <c r="G28" s="908"/>
    </row>
    <row r="29" spans="2:12" ht="21" customHeight="1" x14ac:dyDescent="0.35">
      <c r="B29" s="909" t="s">
        <v>206</v>
      </c>
      <c r="C29" s="914" t="s">
        <v>98</v>
      </c>
      <c r="D29" s="909" t="s">
        <v>359</v>
      </c>
      <c r="E29" s="909" t="s">
        <v>352</v>
      </c>
      <c r="F29" s="909" t="s">
        <v>353</v>
      </c>
      <c r="G29" s="916" t="s">
        <v>354</v>
      </c>
      <c r="I29" s="902" t="s">
        <v>355</v>
      </c>
      <c r="J29" s="902" t="s">
        <v>356</v>
      </c>
      <c r="K29" s="902" t="s">
        <v>357</v>
      </c>
      <c r="L29" s="902" t="s">
        <v>358</v>
      </c>
    </row>
    <row r="30" spans="2:12" ht="42.75" customHeight="1" thickBot="1" x14ac:dyDescent="0.4">
      <c r="B30" s="911"/>
      <c r="C30" s="915"/>
      <c r="D30" s="911"/>
      <c r="E30" s="911"/>
      <c r="F30" s="911"/>
      <c r="G30" s="917"/>
      <c r="I30" s="903"/>
      <c r="J30" s="903"/>
      <c r="K30" s="903"/>
      <c r="L30" s="903"/>
    </row>
    <row r="31" spans="2:12" x14ac:dyDescent="0.35">
      <c r="B31" s="339">
        <f>'קיזוזים בגין איחורים'!B31</f>
        <v>1</v>
      </c>
      <c r="C31" s="339" t="str">
        <f>'קיזוזים בגין איחורים'!C31</f>
        <v>סילביה דוראן</v>
      </c>
      <c r="D31" s="453">
        <f>'קיזוזים בגין איחורים'!H31</f>
        <v>20481.93644286284</v>
      </c>
      <c r="E31" s="562"/>
      <c r="F31" s="455">
        <f>IF($C31="","",IF(E31&gt;D31,$N$1,D31-E31))</f>
        <v>20481.93644286284</v>
      </c>
      <c r="G31" s="455">
        <f>IF($C31="","",F31+L31)</f>
        <v>20481.93644286284</v>
      </c>
      <c r="I31" s="451">
        <f>IF($C31="","",IFERROR(IF(E31=0,0,1),0))</f>
        <v>0</v>
      </c>
      <c r="J31" s="451">
        <f>IF($C31="","",IFERROR(IF('קיזוזים בגין איחורים'!E31=0,0,1),0))</f>
        <v>0</v>
      </c>
      <c r="K31" s="451">
        <f>IF($C31="","",IF(OR(J31=1,I31=1),1,0))</f>
        <v>0</v>
      </c>
      <c r="L31" s="451">
        <f t="shared" ref="L31:L94" si="0">IF($C31="","",IF(K31=1,0,$K$27*$D31/$J$27))</f>
        <v>0</v>
      </c>
    </row>
    <row r="32" spans="2:12" x14ac:dyDescent="0.35">
      <c r="B32" s="339">
        <f>'קיזוזים בגין איחורים'!B32</f>
        <v>2</v>
      </c>
      <c r="C32" s="339" t="str">
        <f>'קיזוזים בגין איחורים'!C32</f>
        <v>רנה שינפלד</v>
      </c>
      <c r="D32" s="453">
        <f>'קיזוזים בגין איחורים'!H32</f>
        <v>109814.96724117092</v>
      </c>
      <c r="E32" s="562"/>
      <c r="F32" s="455">
        <f t="shared" ref="F32:F95" si="1">IF($C32="","",IF(E32&gt;D32,$N$1,D32-E32))</f>
        <v>109814.96724117092</v>
      </c>
      <c r="G32" s="455">
        <f t="shared" ref="G32:G95" si="2">IF($C32="","",F32+L32)</f>
        <v>109814.96724117092</v>
      </c>
      <c r="I32" s="451">
        <f t="shared" ref="I32:I95" si="3">IF($C32="","",IFERROR(IF(E32=0,0,1),0))</f>
        <v>0</v>
      </c>
      <c r="J32" s="451">
        <f>IF($C32="","",IFERROR(IF('קיזוזים בגין איחורים'!E32=0,0,1),0))</f>
        <v>0</v>
      </c>
      <c r="K32" s="451">
        <f t="shared" ref="K32:K95" si="4">IF($C32="","",IF(OR(J32=1,I32=1),1,0))</f>
        <v>0</v>
      </c>
      <c r="L32" s="451">
        <f t="shared" si="0"/>
        <v>0</v>
      </c>
    </row>
    <row r="33" spans="2:12" x14ac:dyDescent="0.35">
      <c r="B33" s="339">
        <f>'קיזוזים בגין איחורים'!B33</f>
        <v>3</v>
      </c>
      <c r="C33" s="339" t="str">
        <f>'קיזוזים בגין איחורים'!C33</f>
        <v>אבי קייזר וסרג'יו אנטוניניו</v>
      </c>
      <c r="D33" s="453">
        <f>'קיזוזים בגין איחורים'!H33</f>
        <v>66612.832545115365</v>
      </c>
      <c r="E33" s="562"/>
      <c r="F33" s="455">
        <f t="shared" si="1"/>
        <v>66612.832545115365</v>
      </c>
      <c r="G33" s="455">
        <f t="shared" si="2"/>
        <v>66612.832545115365</v>
      </c>
      <c r="I33" s="451">
        <f t="shared" si="3"/>
        <v>0</v>
      </c>
      <c r="J33" s="451">
        <f>IF($C33="","",IFERROR(IF('קיזוזים בגין איחורים'!E33=0,0,1),0))</f>
        <v>0</v>
      </c>
      <c r="K33" s="451">
        <f t="shared" si="4"/>
        <v>0</v>
      </c>
      <c r="L33" s="451">
        <f t="shared" si="0"/>
        <v>0</v>
      </c>
    </row>
    <row r="34" spans="2:12" x14ac:dyDescent="0.35">
      <c r="B34" s="339" t="str">
        <f>'קיזוזים בגין איחורים'!B34</f>
        <v/>
      </c>
      <c r="C34" s="339" t="str">
        <f>'קיזוזים בגין איחורים'!C34</f>
        <v/>
      </c>
      <c r="D34" s="453" t="str">
        <f>'קיזוזים בגין איחורים'!H34</f>
        <v/>
      </c>
      <c r="E34" s="562"/>
      <c r="F34" s="455" t="str">
        <f t="shared" si="1"/>
        <v/>
      </c>
      <c r="G34" s="455" t="str">
        <f t="shared" si="2"/>
        <v/>
      </c>
      <c r="I34" s="451" t="str">
        <f t="shared" si="3"/>
        <v/>
      </c>
      <c r="J34" s="451" t="str">
        <f>IF($C34="","",IFERROR(IF('קיזוזים בגין איחורים'!E34=0,0,1),0))</f>
        <v/>
      </c>
      <c r="K34" s="451" t="str">
        <f t="shared" si="4"/>
        <v/>
      </c>
      <c r="L34" s="451" t="str">
        <f t="shared" si="0"/>
        <v/>
      </c>
    </row>
    <row r="35" spans="2:12" x14ac:dyDescent="0.35">
      <c r="B35" s="339">
        <f>'קיזוזים בגין איחורים'!B35</f>
        <v>5</v>
      </c>
      <c r="C35" s="339" t="str">
        <f>'קיזוזים בגין איחורים'!C35</f>
        <v>אדוה ירמיהו</v>
      </c>
      <c r="D35" s="453">
        <f>'קיזוזים בגין איחורים'!H35</f>
        <v>97426.027791732966</v>
      </c>
      <c r="E35" s="562"/>
      <c r="F35" s="455">
        <f t="shared" si="1"/>
        <v>97426.027791732966</v>
      </c>
      <c r="G35" s="455">
        <f t="shared" si="2"/>
        <v>97426.027791732966</v>
      </c>
      <c r="I35" s="451">
        <f t="shared" si="3"/>
        <v>0</v>
      </c>
      <c r="J35" s="451">
        <f>IF($C35="","",IFERROR(IF('קיזוזים בגין איחורים'!E35=0,0,1),0))</f>
        <v>0</v>
      </c>
      <c r="K35" s="451">
        <f t="shared" si="4"/>
        <v>0</v>
      </c>
      <c r="L35" s="451">
        <f t="shared" si="0"/>
        <v>0</v>
      </c>
    </row>
    <row r="36" spans="2:12" x14ac:dyDescent="0.35">
      <c r="B36" s="339">
        <f>'קיזוזים בגין איחורים'!B36</f>
        <v>6</v>
      </c>
      <c r="C36" s="339" t="str">
        <f>'קיזוזים בגין איחורים'!C36</f>
        <v>אהרונה ישראל</v>
      </c>
      <c r="D36" s="453">
        <f>'קיזוזים בגין איחורים'!H36</f>
        <v>52345.8939888596</v>
      </c>
      <c r="E36" s="562"/>
      <c r="F36" s="455">
        <f t="shared" si="1"/>
        <v>52345.8939888596</v>
      </c>
      <c r="G36" s="455">
        <f t="shared" si="2"/>
        <v>52345.8939888596</v>
      </c>
      <c r="I36" s="451">
        <f t="shared" si="3"/>
        <v>0</v>
      </c>
      <c r="J36" s="451">
        <f>IF($C36="","",IFERROR(IF('קיזוזים בגין איחורים'!E36=0,0,1),0))</f>
        <v>0</v>
      </c>
      <c r="K36" s="451">
        <f t="shared" si="4"/>
        <v>0</v>
      </c>
      <c r="L36" s="451">
        <f t="shared" si="0"/>
        <v>0</v>
      </c>
    </row>
    <row r="37" spans="2:12" x14ac:dyDescent="0.35">
      <c r="B37" s="339">
        <f>'קיזוזים בגין איחורים'!B37</f>
        <v>7</v>
      </c>
      <c r="C37" s="339" t="str">
        <f>'קיזוזים בגין איחורים'!C37</f>
        <v>אופיר יודילביץ</v>
      </c>
      <c r="D37" s="453">
        <f>'קיזוזים בגין איחורים'!H37</f>
        <v>114862.59201054431</v>
      </c>
      <c r="E37" s="562"/>
      <c r="F37" s="455">
        <f t="shared" si="1"/>
        <v>114862.59201054431</v>
      </c>
      <c r="G37" s="455">
        <f t="shared" si="2"/>
        <v>114862.59201054431</v>
      </c>
      <c r="I37" s="451">
        <f t="shared" si="3"/>
        <v>0</v>
      </c>
      <c r="J37" s="451">
        <f>IF($C37="","",IFERROR(IF('קיזוזים בגין איחורים'!E37=0,0,1),0))</f>
        <v>0</v>
      </c>
      <c r="K37" s="451">
        <f t="shared" si="4"/>
        <v>0</v>
      </c>
      <c r="L37" s="451">
        <f t="shared" si="0"/>
        <v>0</v>
      </c>
    </row>
    <row r="38" spans="2:12" x14ac:dyDescent="0.35">
      <c r="B38" s="339">
        <f>'קיזוזים בגין איחורים'!B38</f>
        <v>8</v>
      </c>
      <c r="C38" s="339" t="str">
        <f>'קיזוזים בגין איחורים'!C38</f>
        <v>אור מרין ואורן נחום</v>
      </c>
      <c r="D38" s="453">
        <f>'קיזוזים בגין איחורים'!H38</f>
        <v>93831.416403847645</v>
      </c>
      <c r="E38" s="562"/>
      <c r="F38" s="455">
        <f t="shared" si="1"/>
        <v>93831.416403847645</v>
      </c>
      <c r="G38" s="455">
        <f t="shared" si="2"/>
        <v>93831.416403847645</v>
      </c>
      <c r="I38" s="451">
        <f t="shared" si="3"/>
        <v>0</v>
      </c>
      <c r="J38" s="451">
        <f>IF($C38="","",IFERROR(IF('קיזוזים בגין איחורים'!E38=0,0,1),0))</f>
        <v>0</v>
      </c>
      <c r="K38" s="451">
        <f t="shared" si="4"/>
        <v>0</v>
      </c>
      <c r="L38" s="451">
        <f t="shared" si="0"/>
        <v>0</v>
      </c>
    </row>
    <row r="39" spans="2:12" x14ac:dyDescent="0.35">
      <c r="B39" s="339">
        <f>'קיזוזים בגין איחורים'!B39</f>
        <v>9</v>
      </c>
      <c r="C39" s="339" t="str">
        <f>'קיזוזים בגין איחורים'!C39</f>
        <v>אורי שפיר</v>
      </c>
      <c r="D39" s="453">
        <f>'קיזוזים בגין איחורים'!H39</f>
        <v>97444.123020957297</v>
      </c>
      <c r="E39" s="562"/>
      <c r="F39" s="455">
        <f t="shared" si="1"/>
        <v>97444.123020957297</v>
      </c>
      <c r="G39" s="455">
        <f t="shared" si="2"/>
        <v>97444.123020957297</v>
      </c>
      <c r="I39" s="451">
        <f t="shared" si="3"/>
        <v>0</v>
      </c>
      <c r="J39" s="451">
        <f>IF($C39="","",IFERROR(IF('קיזוזים בגין איחורים'!E39=0,0,1),0))</f>
        <v>0</v>
      </c>
      <c r="K39" s="451">
        <f t="shared" si="4"/>
        <v>0</v>
      </c>
      <c r="L39" s="451">
        <f t="shared" si="0"/>
        <v>0</v>
      </c>
    </row>
    <row r="40" spans="2:12" x14ac:dyDescent="0.35">
      <c r="B40" s="339">
        <f>'קיזוזים בגין איחורים'!B40</f>
        <v>10</v>
      </c>
      <c r="C40" s="339" t="str">
        <f>'קיזוזים בגין איחורים'!C40</f>
        <v>אורלי פורטל</v>
      </c>
      <c r="D40" s="453">
        <f>'קיזוזים בגין איחורים'!H40</f>
        <v>161399.68566352935</v>
      </c>
      <c r="E40" s="562"/>
      <c r="F40" s="455">
        <f t="shared" si="1"/>
        <v>161399.68566352935</v>
      </c>
      <c r="G40" s="455">
        <f t="shared" si="2"/>
        <v>161399.68566352935</v>
      </c>
      <c r="I40" s="451">
        <f t="shared" si="3"/>
        <v>0</v>
      </c>
      <c r="J40" s="451">
        <f>IF($C40="","",IFERROR(IF('קיזוזים בגין איחורים'!E40=0,0,1),0))</f>
        <v>0</v>
      </c>
      <c r="K40" s="451">
        <f t="shared" si="4"/>
        <v>0</v>
      </c>
      <c r="L40" s="451">
        <f t="shared" si="0"/>
        <v>0</v>
      </c>
    </row>
    <row r="41" spans="2:12" x14ac:dyDescent="0.35">
      <c r="B41" s="339" t="str">
        <f>'קיזוזים בגין איחורים'!B41</f>
        <v/>
      </c>
      <c r="C41" s="339" t="str">
        <f>'קיזוזים בגין איחורים'!C41</f>
        <v/>
      </c>
      <c r="D41" s="453" t="str">
        <f>'קיזוזים בגין איחורים'!H41</f>
        <v/>
      </c>
      <c r="E41" s="562"/>
      <c r="F41" s="455" t="str">
        <f t="shared" si="1"/>
        <v/>
      </c>
      <c r="G41" s="455" t="str">
        <f t="shared" si="2"/>
        <v/>
      </c>
      <c r="I41" s="451" t="str">
        <f t="shared" si="3"/>
        <v/>
      </c>
      <c r="J41" s="451" t="str">
        <f>IF($C41="","",IFERROR(IF('קיזוזים בגין איחורים'!E41=0,0,1),0))</f>
        <v/>
      </c>
      <c r="K41" s="451" t="str">
        <f t="shared" si="4"/>
        <v/>
      </c>
      <c r="L41" s="451" t="str">
        <f t="shared" si="0"/>
        <v/>
      </c>
    </row>
    <row r="42" spans="2:12" x14ac:dyDescent="0.35">
      <c r="B42" s="339">
        <f>'קיזוזים בגין איחורים'!B42</f>
        <v>12</v>
      </c>
      <c r="C42" s="339" t="str">
        <f>'קיזוזים בגין איחורים'!C42</f>
        <v>אורין יוחנן</v>
      </c>
      <c r="D42" s="453">
        <f>'קיזוזים בגין איחורים'!H42</f>
        <v>60307.824388644935</v>
      </c>
      <c r="E42" s="562"/>
      <c r="F42" s="455">
        <f t="shared" si="1"/>
        <v>60307.824388644935</v>
      </c>
      <c r="G42" s="455">
        <f t="shared" si="2"/>
        <v>60307.824388644935</v>
      </c>
      <c r="I42" s="451">
        <f t="shared" si="3"/>
        <v>0</v>
      </c>
      <c r="J42" s="451">
        <f>IF($C42="","",IFERROR(IF('קיזוזים בגין איחורים'!E42=0,0,1),0))</f>
        <v>0</v>
      </c>
      <c r="K42" s="451">
        <f t="shared" si="4"/>
        <v>0</v>
      </c>
      <c r="L42" s="451">
        <f t="shared" si="0"/>
        <v>0</v>
      </c>
    </row>
    <row r="43" spans="2:12" x14ac:dyDescent="0.35">
      <c r="B43" s="339">
        <f>'קיזוזים בגין איחורים'!B43</f>
        <v>13</v>
      </c>
      <c r="C43" s="339" t="str">
        <f>'קיזוזים בגין איחורים'!C43</f>
        <v>איריס ארז</v>
      </c>
      <c r="D43" s="453">
        <f>'קיזוזים בגין איחורים'!H43</f>
        <v>178616.29437415113</v>
      </c>
      <c r="E43" s="562"/>
      <c r="F43" s="455">
        <f t="shared" si="1"/>
        <v>178616.29437415113</v>
      </c>
      <c r="G43" s="455">
        <f t="shared" si="2"/>
        <v>178616.29437415113</v>
      </c>
      <c r="I43" s="451">
        <f t="shared" si="3"/>
        <v>0</v>
      </c>
      <c r="J43" s="451">
        <f>IF($C43="","",IFERROR(IF('קיזוזים בגין איחורים'!E43=0,0,1),0))</f>
        <v>0</v>
      </c>
      <c r="K43" s="451">
        <f t="shared" si="4"/>
        <v>0</v>
      </c>
      <c r="L43" s="451">
        <f t="shared" si="0"/>
        <v>0</v>
      </c>
    </row>
    <row r="44" spans="2:12" x14ac:dyDescent="0.35">
      <c r="B44" s="339" t="str">
        <f>'קיזוזים בגין איחורים'!B44</f>
        <v/>
      </c>
      <c r="C44" s="339" t="str">
        <f>'קיזוזים בגין איחורים'!C44</f>
        <v/>
      </c>
      <c r="D44" s="453" t="str">
        <f>'קיזוזים בגין איחורים'!H44</f>
        <v/>
      </c>
      <c r="E44" s="562"/>
      <c r="F44" s="455" t="str">
        <f t="shared" si="1"/>
        <v/>
      </c>
      <c r="G44" s="455" t="str">
        <f t="shared" si="2"/>
        <v/>
      </c>
      <c r="I44" s="451" t="str">
        <f t="shared" si="3"/>
        <v/>
      </c>
      <c r="J44" s="451" t="str">
        <f>IF($C44="","",IFERROR(IF('קיזוזים בגין איחורים'!E44=0,0,1),0))</f>
        <v/>
      </c>
      <c r="K44" s="451" t="str">
        <f t="shared" si="4"/>
        <v/>
      </c>
      <c r="L44" s="451" t="str">
        <f t="shared" si="0"/>
        <v/>
      </c>
    </row>
    <row r="45" spans="2:12" x14ac:dyDescent="0.35">
      <c r="B45" s="339">
        <f>'קיזוזים בגין איחורים'!B45</f>
        <v>15</v>
      </c>
      <c r="C45" s="339" t="str">
        <f>'קיזוזים בגין איחורים'!C45</f>
        <v>ענבל אושמן</v>
      </c>
      <c r="D45" s="453">
        <f>'קיזוזים בגין איחורים'!H45</f>
        <v>72687.542690752671</v>
      </c>
      <c r="E45" s="562"/>
      <c r="F45" s="455">
        <f t="shared" si="1"/>
        <v>72687.542690752671</v>
      </c>
      <c r="G45" s="455">
        <f t="shared" si="2"/>
        <v>72687.542690752671</v>
      </c>
      <c r="I45" s="451">
        <f t="shared" si="3"/>
        <v>0</v>
      </c>
      <c r="J45" s="451">
        <f>IF($C45="","",IFERROR(IF('קיזוזים בגין איחורים'!E45=0,0,1),0))</f>
        <v>0</v>
      </c>
      <c r="K45" s="451">
        <f t="shared" si="4"/>
        <v>0</v>
      </c>
      <c r="L45" s="451">
        <f t="shared" si="0"/>
        <v>0</v>
      </c>
    </row>
    <row r="46" spans="2:12" x14ac:dyDescent="0.35">
      <c r="B46" s="339">
        <f>'קיזוזים בגין איחורים'!B46</f>
        <v>16</v>
      </c>
      <c r="C46" s="339" t="str">
        <f>'קיזוזים בגין איחורים'!C46</f>
        <v>אנדריאה מרטיני</v>
      </c>
      <c r="D46" s="453">
        <f>'קיזוזים בגין איחורים'!H46</f>
        <v>88493.252872254627</v>
      </c>
      <c r="E46" s="562"/>
      <c r="F46" s="455">
        <f t="shared" si="1"/>
        <v>88493.252872254627</v>
      </c>
      <c r="G46" s="455">
        <f t="shared" si="2"/>
        <v>88493.252872254627</v>
      </c>
      <c r="I46" s="451">
        <f t="shared" si="3"/>
        <v>0</v>
      </c>
      <c r="J46" s="451">
        <f>IF($C46="","",IFERROR(IF('קיזוזים בגין איחורים'!E46=0,0,1),0))</f>
        <v>0</v>
      </c>
      <c r="K46" s="451">
        <f t="shared" si="4"/>
        <v>0</v>
      </c>
      <c r="L46" s="451">
        <f t="shared" si="0"/>
        <v>0</v>
      </c>
    </row>
    <row r="47" spans="2:12" x14ac:dyDescent="0.35">
      <c r="B47" s="339">
        <f>'קיזוזים בגין איחורים'!B47</f>
        <v>17</v>
      </c>
      <c r="C47" s="339" t="str">
        <f>'קיזוזים בגין איחורים'!C47</f>
        <v>אפרת רובין</v>
      </c>
      <c r="D47" s="453">
        <f>'קיזוזים בגין איחורים'!H47</f>
        <v>53850.497509441266</v>
      </c>
      <c r="E47" s="562"/>
      <c r="F47" s="455">
        <f t="shared" si="1"/>
        <v>53850.497509441266</v>
      </c>
      <c r="G47" s="455">
        <f t="shared" si="2"/>
        <v>53850.497509441266</v>
      </c>
      <c r="I47" s="451">
        <f t="shared" si="3"/>
        <v>0</v>
      </c>
      <c r="J47" s="451">
        <f>IF($C47="","",IFERROR(IF('קיזוזים בגין איחורים'!E47=0,0,1),0))</f>
        <v>0</v>
      </c>
      <c r="K47" s="451">
        <f t="shared" si="4"/>
        <v>0</v>
      </c>
      <c r="L47" s="451">
        <f t="shared" si="0"/>
        <v>0</v>
      </c>
    </row>
    <row r="48" spans="2:12" x14ac:dyDescent="0.35">
      <c r="B48" s="339">
        <f>'קיזוזים בגין איחורים'!B48</f>
        <v>18</v>
      </c>
      <c r="C48" s="339" t="str">
        <f>'קיזוזים בגין איחורים'!C48</f>
        <v>שרון צוקרמן</v>
      </c>
      <c r="D48" s="453">
        <f>'קיזוזים בגין איחורים'!H48</f>
        <v>57029.991314677951</v>
      </c>
      <c r="E48" s="562"/>
      <c r="F48" s="455">
        <f t="shared" si="1"/>
        <v>57029.991314677951</v>
      </c>
      <c r="G48" s="455">
        <f t="shared" si="2"/>
        <v>57029.991314677951</v>
      </c>
      <c r="I48" s="451">
        <f t="shared" si="3"/>
        <v>0</v>
      </c>
      <c r="J48" s="451">
        <f>IF($C48="","",IFERROR(IF('קיזוזים בגין איחורים'!E48=0,0,1),0))</f>
        <v>0</v>
      </c>
      <c r="K48" s="451">
        <f t="shared" si="4"/>
        <v>0</v>
      </c>
      <c r="L48" s="451">
        <f t="shared" si="0"/>
        <v>0</v>
      </c>
    </row>
    <row r="49" spans="2:12" x14ac:dyDescent="0.35">
      <c r="B49" s="339">
        <f>'קיזוזים בגין איחורים'!B49</f>
        <v>19</v>
      </c>
      <c r="C49" s="339" t="str">
        <f>'קיזוזים בגין איחורים'!C49</f>
        <v>בשמת נוסן</v>
      </c>
      <c r="D49" s="453">
        <f>'קיזוזים בגין איחורים'!H49</f>
        <v>86004.112791956315</v>
      </c>
      <c r="E49" s="562"/>
      <c r="F49" s="455">
        <f t="shared" si="1"/>
        <v>86004.112791956315</v>
      </c>
      <c r="G49" s="455">
        <f t="shared" si="2"/>
        <v>86004.112791956315</v>
      </c>
      <c r="I49" s="451">
        <f t="shared" si="3"/>
        <v>0</v>
      </c>
      <c r="J49" s="451">
        <f>IF($C49="","",IFERROR(IF('קיזוזים בגין איחורים'!E49=0,0,1),0))</f>
        <v>0</v>
      </c>
      <c r="K49" s="451">
        <f t="shared" si="4"/>
        <v>0</v>
      </c>
      <c r="L49" s="451">
        <f t="shared" si="0"/>
        <v>0</v>
      </c>
    </row>
    <row r="50" spans="2:12" x14ac:dyDescent="0.35">
      <c r="B50" s="339">
        <f>'קיזוזים בגין איחורים'!B50</f>
        <v>20</v>
      </c>
      <c r="C50" s="339" t="str">
        <f>'קיזוזים בגין איחורים'!C50</f>
        <v>גיל קרר</v>
      </c>
      <c r="D50" s="453">
        <f>'קיזוזים בגין איחורים'!H50</f>
        <v>113536.81610402498</v>
      </c>
      <c r="E50" s="562"/>
      <c r="F50" s="455">
        <f t="shared" si="1"/>
        <v>113536.81610402498</v>
      </c>
      <c r="G50" s="455">
        <f t="shared" si="2"/>
        <v>113536.81610402498</v>
      </c>
      <c r="I50" s="451">
        <f t="shared" si="3"/>
        <v>0</v>
      </c>
      <c r="J50" s="451">
        <f>IF($C50="","",IFERROR(IF('קיזוזים בגין איחורים'!E50=0,0,1),0))</f>
        <v>0</v>
      </c>
      <c r="K50" s="451">
        <f t="shared" si="4"/>
        <v>0</v>
      </c>
      <c r="L50" s="451">
        <f t="shared" si="0"/>
        <v>0</v>
      </c>
    </row>
    <row r="51" spans="2:12" x14ac:dyDescent="0.35">
      <c r="B51" s="339">
        <f>'קיזוזים בגין איחורים'!B51</f>
        <v>21</v>
      </c>
      <c r="C51" s="339" t="str">
        <f>'קיזוזים בגין איחורים'!C51</f>
        <v>דינה תלם</v>
      </c>
      <c r="D51" s="453">
        <f>'קיזוזים בגין איחורים'!H51</f>
        <v>100979.40156809468</v>
      </c>
      <c r="E51" s="562"/>
      <c r="F51" s="455">
        <f t="shared" si="1"/>
        <v>100979.40156809468</v>
      </c>
      <c r="G51" s="455">
        <f t="shared" si="2"/>
        <v>100979.40156809468</v>
      </c>
      <c r="I51" s="451">
        <f t="shared" si="3"/>
        <v>0</v>
      </c>
      <c r="J51" s="451">
        <f>IF($C51="","",IFERROR(IF('קיזוזים בגין איחורים'!E51=0,0,1),0))</f>
        <v>0</v>
      </c>
      <c r="K51" s="451">
        <f t="shared" si="4"/>
        <v>0</v>
      </c>
      <c r="L51" s="451">
        <f t="shared" si="0"/>
        <v>0</v>
      </c>
    </row>
    <row r="52" spans="2:12" x14ac:dyDescent="0.35">
      <c r="B52" s="339">
        <f>'קיזוזים בגין איחורים'!B52</f>
        <v>22</v>
      </c>
      <c r="C52" s="339" t="str">
        <f>'קיזוזים בגין איחורים'!C52</f>
        <v>דנה יהלומי</v>
      </c>
      <c r="D52" s="453">
        <f>'קיזוזים בגין איחורים'!H52</f>
        <v>110933.21754130145</v>
      </c>
      <c r="E52" s="562"/>
      <c r="F52" s="455">
        <f t="shared" si="1"/>
        <v>110933.21754130145</v>
      </c>
      <c r="G52" s="455">
        <f t="shared" si="2"/>
        <v>110933.21754130145</v>
      </c>
      <c r="I52" s="451">
        <f t="shared" si="3"/>
        <v>0</v>
      </c>
      <c r="J52" s="451">
        <f>IF($C52="","",IFERROR(IF('קיזוזים בגין איחורים'!E52=0,0,1),0))</f>
        <v>0</v>
      </c>
      <c r="K52" s="451">
        <f t="shared" si="4"/>
        <v>0</v>
      </c>
      <c r="L52" s="451">
        <f t="shared" si="0"/>
        <v>0</v>
      </c>
    </row>
    <row r="53" spans="2:12" x14ac:dyDescent="0.35">
      <c r="B53" s="339">
        <f>'קיזוזים בגין איחורים'!B53</f>
        <v>23</v>
      </c>
      <c r="C53" s="339" t="str">
        <f>'קיזוזים בגין איחורים'!C53</f>
        <v>דנה רוטנברג</v>
      </c>
      <c r="D53" s="453">
        <f>'קיזוזים בגין איחורים'!H53</f>
        <v>109729.57884510509</v>
      </c>
      <c r="E53" s="562"/>
      <c r="F53" s="455">
        <f t="shared" si="1"/>
        <v>109729.57884510509</v>
      </c>
      <c r="G53" s="455">
        <f t="shared" si="2"/>
        <v>109729.57884510509</v>
      </c>
      <c r="I53" s="451">
        <f t="shared" si="3"/>
        <v>0</v>
      </c>
      <c r="J53" s="451">
        <f>IF($C53="","",IFERROR(IF('קיזוזים בגין איחורים'!E53=0,0,1),0))</f>
        <v>0</v>
      </c>
      <c r="K53" s="451">
        <f t="shared" si="4"/>
        <v>0</v>
      </c>
      <c r="L53" s="451">
        <f t="shared" si="0"/>
        <v>0</v>
      </c>
    </row>
    <row r="54" spans="2:12" x14ac:dyDescent="0.35">
      <c r="B54" s="339">
        <f>'קיזוזים בגין איחורים'!B54</f>
        <v>24</v>
      </c>
      <c r="C54" s="339" t="str">
        <f>'קיזוזים בגין איחורים'!C54</f>
        <v>דפי אלטבב</v>
      </c>
      <c r="D54" s="453">
        <f>'קיזוזים בגין איחורים'!H54</f>
        <v>109025.45395516041</v>
      </c>
      <c r="E54" s="562"/>
      <c r="F54" s="455">
        <f t="shared" si="1"/>
        <v>109025.45395516041</v>
      </c>
      <c r="G54" s="455">
        <f t="shared" si="2"/>
        <v>109025.45395516041</v>
      </c>
      <c r="I54" s="451">
        <f t="shared" si="3"/>
        <v>0</v>
      </c>
      <c r="J54" s="451">
        <f>IF($C54="","",IFERROR(IF('קיזוזים בגין איחורים'!E54=0,0,1),0))</f>
        <v>0</v>
      </c>
      <c r="K54" s="451">
        <f t="shared" si="4"/>
        <v>0</v>
      </c>
      <c r="L54" s="451">
        <f t="shared" si="0"/>
        <v>0</v>
      </c>
    </row>
    <row r="55" spans="2:12" x14ac:dyDescent="0.35">
      <c r="B55" s="339">
        <f>'קיזוזים בגין איחורים'!B55</f>
        <v>25</v>
      </c>
      <c r="C55" s="339" t="str">
        <f>'קיזוזים בגין איחורים'!C55</f>
        <v>הלל קוגן</v>
      </c>
      <c r="D55" s="453">
        <f>'קיזוזים בגין איחורים'!H55</f>
        <v>112702.3520601965</v>
      </c>
      <c r="E55" s="562"/>
      <c r="F55" s="455">
        <f t="shared" si="1"/>
        <v>112702.3520601965</v>
      </c>
      <c r="G55" s="455">
        <f t="shared" si="2"/>
        <v>112702.3520601965</v>
      </c>
      <c r="I55" s="451">
        <f t="shared" si="3"/>
        <v>0</v>
      </c>
      <c r="J55" s="451">
        <f>IF($C55="","",IFERROR(IF('קיזוזים בגין איחורים'!E55=0,0,1),0))</f>
        <v>0</v>
      </c>
      <c r="K55" s="451">
        <f t="shared" si="4"/>
        <v>0</v>
      </c>
      <c r="L55" s="451">
        <f t="shared" si="0"/>
        <v>0</v>
      </c>
    </row>
    <row r="56" spans="2:12" x14ac:dyDescent="0.35">
      <c r="B56" s="339">
        <f>'קיזוזים בגין איחורים'!B56</f>
        <v>26</v>
      </c>
      <c r="C56" s="339" t="str">
        <f>'קיזוזים בגין איחורים'!C56</f>
        <v>אנאבל דביר</v>
      </c>
      <c r="D56" s="453">
        <f>'קיזוזים בגין איחורים'!H56</f>
        <v>116980.91648142903</v>
      </c>
      <c r="E56" s="562"/>
      <c r="F56" s="455">
        <f t="shared" si="1"/>
        <v>116980.91648142903</v>
      </c>
      <c r="G56" s="455">
        <f t="shared" si="2"/>
        <v>116980.91648142903</v>
      </c>
      <c r="I56" s="451">
        <f t="shared" si="3"/>
        <v>0</v>
      </c>
      <c r="J56" s="451">
        <f>IF($C56="","",IFERROR(IF('קיזוזים בגין איחורים'!E56=0,0,1),0))</f>
        <v>0</v>
      </c>
      <c r="K56" s="451">
        <f t="shared" si="4"/>
        <v>0</v>
      </c>
      <c r="L56" s="451">
        <f t="shared" si="0"/>
        <v>0</v>
      </c>
    </row>
    <row r="57" spans="2:12" x14ac:dyDescent="0.35">
      <c r="B57" s="339">
        <f>'קיזוזים בגין איחורים'!B57</f>
        <v>27</v>
      </c>
      <c r="C57" s="339" t="str">
        <f>'קיזוזים בגין איחורים'!C57</f>
        <v>יוסי ברג ועודד גרף</v>
      </c>
      <c r="D57" s="453">
        <f>'קיזוזים בגין איחורים'!H57</f>
        <v>173067.58694812746</v>
      </c>
      <c r="E57" s="562"/>
      <c r="F57" s="455">
        <f t="shared" si="1"/>
        <v>173067.58694812746</v>
      </c>
      <c r="G57" s="455">
        <f t="shared" si="2"/>
        <v>173067.58694812746</v>
      </c>
      <c r="I57" s="451">
        <f t="shared" si="3"/>
        <v>0</v>
      </c>
      <c r="J57" s="451">
        <f>IF($C57="","",IFERROR(IF('קיזוזים בגין איחורים'!E57=0,0,1),0))</f>
        <v>0</v>
      </c>
      <c r="K57" s="451">
        <f t="shared" si="4"/>
        <v>0</v>
      </c>
      <c r="L57" s="451">
        <f t="shared" si="0"/>
        <v>0</v>
      </c>
    </row>
    <row r="58" spans="2:12" x14ac:dyDescent="0.35">
      <c r="B58" s="339">
        <f>'קיזוזים בגין איחורים'!B58</f>
        <v>28</v>
      </c>
      <c r="C58" s="339" t="str">
        <f>'קיזוזים בגין איחורים'!C58</f>
        <v>נדין בומר</v>
      </c>
      <c r="D58" s="453">
        <f>'קיזוזים בגין איחורים'!H58</f>
        <v>103990.76163574668</v>
      </c>
      <c r="E58" s="562"/>
      <c r="F58" s="455">
        <f t="shared" si="1"/>
        <v>103990.76163574668</v>
      </c>
      <c r="G58" s="455">
        <f t="shared" si="2"/>
        <v>103990.76163574668</v>
      </c>
      <c r="I58" s="451">
        <f t="shared" si="3"/>
        <v>0</v>
      </c>
      <c r="J58" s="451">
        <f>IF($C58="","",IFERROR(IF('קיזוזים בגין איחורים'!E58=0,0,1),0))</f>
        <v>0</v>
      </c>
      <c r="K58" s="451">
        <f t="shared" si="4"/>
        <v>0</v>
      </c>
      <c r="L58" s="451">
        <f t="shared" si="0"/>
        <v>0</v>
      </c>
    </row>
    <row r="59" spans="2:12" x14ac:dyDescent="0.35">
      <c r="B59" s="339">
        <f>'קיזוזים בגין איחורים'!B59</f>
        <v>29</v>
      </c>
      <c r="C59" s="339" t="str">
        <f>'קיזוזים בגין איחורים'!C59</f>
        <v xml:space="preserve">להקת בלט פאנוב </v>
      </c>
      <c r="D59" s="453">
        <f>'קיזוזים בגין איחורים'!H59</f>
        <v>298202.27934444277</v>
      </c>
      <c r="E59" s="562"/>
      <c r="F59" s="455">
        <f t="shared" si="1"/>
        <v>298202.27934444277</v>
      </c>
      <c r="G59" s="455">
        <f t="shared" si="2"/>
        <v>298202.27934444277</v>
      </c>
      <c r="I59" s="451">
        <f t="shared" si="3"/>
        <v>0</v>
      </c>
      <c r="J59" s="451">
        <f>IF($C59="","",IFERROR(IF('קיזוזים בגין איחורים'!E59=0,0,1),0))</f>
        <v>0</v>
      </c>
      <c r="K59" s="451">
        <f t="shared" si="4"/>
        <v>0</v>
      </c>
      <c r="L59" s="451">
        <f t="shared" si="0"/>
        <v>0</v>
      </c>
    </row>
    <row r="60" spans="2:12" x14ac:dyDescent="0.35">
      <c r="B60" s="339" t="str">
        <f>'קיזוזים בגין איחורים'!B60</f>
        <v/>
      </c>
      <c r="C60" s="339" t="str">
        <f>'קיזוזים בגין איחורים'!C60</f>
        <v/>
      </c>
      <c r="D60" s="453" t="str">
        <f>'קיזוזים בגין איחורים'!H60</f>
        <v/>
      </c>
      <c r="E60" s="562"/>
      <c r="F60" s="455" t="str">
        <f t="shared" si="1"/>
        <v/>
      </c>
      <c r="G60" s="455" t="str">
        <f t="shared" si="2"/>
        <v/>
      </c>
      <c r="I60" s="451" t="str">
        <f t="shared" si="3"/>
        <v/>
      </c>
      <c r="J60" s="451" t="str">
        <f>IF($C60="","",IFERROR(IF('קיזוזים בגין איחורים'!E60=0,0,1),0))</f>
        <v/>
      </c>
      <c r="K60" s="451" t="str">
        <f t="shared" si="4"/>
        <v/>
      </c>
      <c r="L60" s="451" t="str">
        <f t="shared" si="0"/>
        <v/>
      </c>
    </row>
    <row r="61" spans="2:12" x14ac:dyDescent="0.35">
      <c r="B61" s="339" t="str">
        <f>'קיזוזים בגין איחורים'!B61</f>
        <v/>
      </c>
      <c r="C61" s="339" t="str">
        <f>'קיזוזים בגין איחורים'!C61</f>
        <v/>
      </c>
      <c r="D61" s="453" t="str">
        <f>'קיזוזים בגין איחורים'!H61</f>
        <v/>
      </c>
      <c r="E61" s="562"/>
      <c r="F61" s="455" t="str">
        <f t="shared" si="1"/>
        <v/>
      </c>
      <c r="G61" s="455" t="str">
        <f t="shared" si="2"/>
        <v/>
      </c>
      <c r="I61" s="451" t="str">
        <f t="shared" si="3"/>
        <v/>
      </c>
      <c r="J61" s="451" t="str">
        <f>IF($C61="","",IFERROR(IF('קיזוזים בגין איחורים'!E61=0,0,1),0))</f>
        <v/>
      </c>
      <c r="K61" s="451" t="str">
        <f t="shared" si="4"/>
        <v/>
      </c>
      <c r="L61" s="451" t="str">
        <f t="shared" si="0"/>
        <v/>
      </c>
    </row>
    <row r="62" spans="2:12" x14ac:dyDescent="0.35">
      <c r="B62" s="339">
        <f>'קיזוזים בגין איחורים'!B62</f>
        <v>32</v>
      </c>
      <c r="C62" s="339" t="str">
        <f>'קיזוזים בגין איחורים'!C62</f>
        <v>מיכל סממה</v>
      </c>
      <c r="D62" s="453">
        <f>'קיזוזים בגין איחורים'!H62</f>
        <v>57262.444126778522</v>
      </c>
      <c r="E62" s="562"/>
      <c r="F62" s="455">
        <f t="shared" si="1"/>
        <v>57262.444126778522</v>
      </c>
      <c r="G62" s="455">
        <f t="shared" si="2"/>
        <v>57262.444126778522</v>
      </c>
      <c r="I62" s="451">
        <f t="shared" si="3"/>
        <v>0</v>
      </c>
      <c r="J62" s="451">
        <f>IF($C62="","",IFERROR(IF('קיזוזים בגין איחורים'!E62=0,0,1),0))</f>
        <v>0</v>
      </c>
      <c r="K62" s="451">
        <f t="shared" si="4"/>
        <v>0</v>
      </c>
      <c r="L62" s="451">
        <f t="shared" si="0"/>
        <v>0</v>
      </c>
    </row>
    <row r="63" spans="2:12" x14ac:dyDescent="0.35">
      <c r="B63" s="339">
        <f>'קיזוזים בגין איחורים'!B63</f>
        <v>33</v>
      </c>
      <c r="C63" s="339" t="str">
        <f>'קיזוזים בגין איחורים'!C63</f>
        <v>מאיה ברינר</v>
      </c>
      <c r="D63" s="453">
        <f>'קיזוזים בגין איחורים'!H63</f>
        <v>244337.08564938902</v>
      </c>
      <c r="E63" s="562"/>
      <c r="F63" s="455">
        <f t="shared" si="1"/>
        <v>244337.08564938902</v>
      </c>
      <c r="G63" s="455">
        <f t="shared" si="2"/>
        <v>244337.08564938902</v>
      </c>
      <c r="I63" s="451">
        <f t="shared" si="3"/>
        <v>0</v>
      </c>
      <c r="J63" s="451">
        <f>IF($C63="","",IFERROR(IF('קיזוזים בגין איחורים'!E63=0,0,1),0))</f>
        <v>0</v>
      </c>
      <c r="K63" s="451">
        <f t="shared" si="4"/>
        <v>0</v>
      </c>
      <c r="L63" s="451">
        <f t="shared" si="0"/>
        <v>0</v>
      </c>
    </row>
    <row r="64" spans="2:12" x14ac:dyDescent="0.35">
      <c r="B64" s="339">
        <f>'קיזוזים בגין איחורים'!B64</f>
        <v>34</v>
      </c>
      <c r="C64" s="339" t="str">
        <f>'קיזוזים בגין איחורים'!C64</f>
        <v>מאיה מכלל גלפנד</v>
      </c>
      <c r="D64" s="453">
        <f>'קיזוזים בגין איחורים'!H64</f>
        <v>47793.416642515156</v>
      </c>
      <c r="E64" s="562"/>
      <c r="F64" s="455">
        <f t="shared" si="1"/>
        <v>47793.416642515156</v>
      </c>
      <c r="G64" s="455">
        <f t="shared" si="2"/>
        <v>47793.416642515156</v>
      </c>
      <c r="I64" s="451">
        <f t="shared" si="3"/>
        <v>0</v>
      </c>
      <c r="J64" s="451">
        <f>IF($C64="","",IFERROR(IF('קיזוזים בגין איחורים'!E64=0,0,1),0))</f>
        <v>0</v>
      </c>
      <c r="K64" s="451">
        <f t="shared" si="4"/>
        <v>0</v>
      </c>
      <c r="L64" s="451">
        <f t="shared" si="0"/>
        <v>0</v>
      </c>
    </row>
    <row r="65" spans="2:12" x14ac:dyDescent="0.35">
      <c r="B65" s="339">
        <f>'קיזוזים בגין איחורים'!B65</f>
        <v>35</v>
      </c>
      <c r="C65" s="339" t="str">
        <f>'קיזוזים בגין איחורים'!C65</f>
        <v>מיה שטרן ותומר שרעבי</v>
      </c>
      <c r="D65" s="453">
        <f>'קיזוזים בגין איחורים'!H65</f>
        <v>57779.608282467852</v>
      </c>
      <c r="E65" s="562"/>
      <c r="F65" s="455">
        <f t="shared" si="1"/>
        <v>57779.608282467852</v>
      </c>
      <c r="G65" s="455">
        <f t="shared" si="2"/>
        <v>57779.608282467852</v>
      </c>
      <c r="I65" s="451">
        <f t="shared" si="3"/>
        <v>0</v>
      </c>
      <c r="J65" s="451">
        <f>IF($C65="","",IFERROR(IF('קיזוזים בגין איחורים'!E65=0,0,1),0))</f>
        <v>0</v>
      </c>
      <c r="K65" s="451">
        <f t="shared" si="4"/>
        <v>0</v>
      </c>
      <c r="L65" s="451">
        <f t="shared" si="0"/>
        <v>0</v>
      </c>
    </row>
    <row r="66" spans="2:12" x14ac:dyDescent="0.35">
      <c r="B66" s="339">
        <f>'קיזוזים בגין איחורים'!B66</f>
        <v>36</v>
      </c>
      <c r="C66" s="339" t="str">
        <f>'קיזוזים בגין איחורים'!C66</f>
        <v>מיכאל גטמן</v>
      </c>
      <c r="D66" s="453">
        <f>'קיזוזים בגין איחורים'!H66</f>
        <v>121187.52481657029</v>
      </c>
      <c r="E66" s="562"/>
      <c r="F66" s="455">
        <f t="shared" si="1"/>
        <v>121187.52481657029</v>
      </c>
      <c r="G66" s="455">
        <f t="shared" si="2"/>
        <v>121187.52481657029</v>
      </c>
      <c r="I66" s="451">
        <f t="shared" si="3"/>
        <v>0</v>
      </c>
      <c r="J66" s="451">
        <f>IF($C66="","",IFERROR(IF('קיזוזים בגין איחורים'!E66=0,0,1),0))</f>
        <v>0</v>
      </c>
      <c r="K66" s="451">
        <f t="shared" si="4"/>
        <v>0</v>
      </c>
      <c r="L66" s="451">
        <f t="shared" si="0"/>
        <v>0</v>
      </c>
    </row>
    <row r="67" spans="2:12" x14ac:dyDescent="0.35">
      <c r="B67" s="339">
        <f>'קיזוזים בגין איחורים'!B67</f>
        <v>37</v>
      </c>
      <c r="C67" s="339" t="str">
        <f>'קיזוזים בגין איחורים'!C67</f>
        <v>מיכל הרמן</v>
      </c>
      <c r="D67" s="453">
        <f>'קיזוזים בגין איחורים'!H67</f>
        <v>47100.992027626431</v>
      </c>
      <c r="E67" s="562"/>
      <c r="F67" s="455">
        <f t="shared" si="1"/>
        <v>47100.992027626431</v>
      </c>
      <c r="G67" s="455">
        <f t="shared" si="2"/>
        <v>47100.992027626431</v>
      </c>
      <c r="I67" s="451">
        <f t="shared" si="3"/>
        <v>0</v>
      </c>
      <c r="J67" s="451">
        <f>IF($C67="","",IFERROR(IF('קיזוזים בגין איחורים'!E67=0,0,1),0))</f>
        <v>0</v>
      </c>
      <c r="K67" s="451">
        <f t="shared" si="4"/>
        <v>0</v>
      </c>
      <c r="L67" s="451">
        <f t="shared" si="0"/>
        <v>0</v>
      </c>
    </row>
    <row r="68" spans="2:12" x14ac:dyDescent="0.35">
      <c r="B68" s="339">
        <f>'קיזוזים בגין איחורים'!B68</f>
        <v>38</v>
      </c>
      <c r="C68" s="339" t="str">
        <f>'קיזוזים בגין איחורים'!C68</f>
        <v>מירב דגן</v>
      </c>
      <c r="D68" s="453">
        <f>'קיזוזים בגין איחורים'!H68</f>
        <v>76204.97842413919</v>
      </c>
      <c r="E68" s="562"/>
      <c r="F68" s="455">
        <f t="shared" si="1"/>
        <v>76204.97842413919</v>
      </c>
      <c r="G68" s="455">
        <f t="shared" si="2"/>
        <v>76204.97842413919</v>
      </c>
      <c r="I68" s="451">
        <f t="shared" si="3"/>
        <v>0</v>
      </c>
      <c r="J68" s="451">
        <f>IF($C68="","",IFERROR(IF('קיזוזים בגין איחורים'!E68=0,0,1),0))</f>
        <v>0</v>
      </c>
      <c r="K68" s="451">
        <f t="shared" si="4"/>
        <v>0</v>
      </c>
      <c r="L68" s="451">
        <f t="shared" si="0"/>
        <v>0</v>
      </c>
    </row>
    <row r="69" spans="2:12" x14ac:dyDescent="0.35">
      <c r="B69" s="339">
        <f>'קיזוזים בגין איחורים'!B69</f>
        <v>39</v>
      </c>
      <c r="C69" s="339" t="str">
        <f>'קיזוזים בגין איחורים'!C69</f>
        <v>תמר לם ודיוויד קרן</v>
      </c>
      <c r="D69" s="453">
        <f>'קיזוזים בגין איחורים'!H69</f>
        <v>50172.318265900591</v>
      </c>
      <c r="E69" s="562"/>
      <c r="F69" s="455">
        <f t="shared" si="1"/>
        <v>50172.318265900591</v>
      </c>
      <c r="G69" s="455">
        <f t="shared" si="2"/>
        <v>50172.318265900591</v>
      </c>
      <c r="I69" s="451">
        <f t="shared" si="3"/>
        <v>0</v>
      </c>
      <c r="J69" s="451">
        <f>IF($C69="","",IFERROR(IF('קיזוזים בגין איחורים'!E69=0,0,1),0))</f>
        <v>0</v>
      </c>
      <c r="K69" s="451">
        <f t="shared" si="4"/>
        <v>0</v>
      </c>
      <c r="L69" s="451">
        <f t="shared" si="0"/>
        <v>0</v>
      </c>
    </row>
    <row r="70" spans="2:12" x14ac:dyDescent="0.35">
      <c r="B70" s="339">
        <f>'קיזוזים בגין איחורים'!B70</f>
        <v>40</v>
      </c>
      <c r="C70" s="339" t="str">
        <f>'קיזוזים בגין איחורים'!C70</f>
        <v>סיגל ברגמן</v>
      </c>
      <c r="D70" s="453">
        <f>'קיזוזים בגין איחורים'!H70</f>
        <v>71654.836597695656</v>
      </c>
      <c r="E70" s="562"/>
      <c r="F70" s="455">
        <f t="shared" si="1"/>
        <v>71654.836597695656</v>
      </c>
      <c r="G70" s="455">
        <f t="shared" si="2"/>
        <v>71654.836597695656</v>
      </c>
      <c r="I70" s="451">
        <f t="shared" si="3"/>
        <v>0</v>
      </c>
      <c r="J70" s="451">
        <f>IF($C70="","",IFERROR(IF('קיזוזים בגין איחורים'!E70=0,0,1),0))</f>
        <v>0</v>
      </c>
      <c r="K70" s="451">
        <f t="shared" si="4"/>
        <v>0</v>
      </c>
      <c r="L70" s="451">
        <f t="shared" si="0"/>
        <v>0</v>
      </c>
    </row>
    <row r="71" spans="2:12" x14ac:dyDescent="0.35">
      <c r="B71" s="339">
        <f>'קיזוזים בגין איחורים'!B71</f>
        <v>41</v>
      </c>
      <c r="C71" s="339" t="str">
        <f>'קיזוזים בגין איחורים'!C71</f>
        <v>מעין ליבמן שרון</v>
      </c>
      <c r="D71" s="453">
        <f>'קיזוזים בגין איחורים'!H71</f>
        <v>85780.74494806923</v>
      </c>
      <c r="E71" s="562"/>
      <c r="F71" s="455">
        <f t="shared" si="1"/>
        <v>85780.74494806923</v>
      </c>
      <c r="G71" s="455">
        <f t="shared" si="2"/>
        <v>85780.74494806923</v>
      </c>
      <c r="I71" s="451">
        <f t="shared" si="3"/>
        <v>0</v>
      </c>
      <c r="J71" s="451">
        <f>IF($C71="","",IFERROR(IF('קיזוזים בגין איחורים'!E71=0,0,1),0))</f>
        <v>0</v>
      </c>
      <c r="K71" s="451">
        <f t="shared" si="4"/>
        <v>0</v>
      </c>
      <c r="L71" s="451">
        <f t="shared" si="0"/>
        <v>0</v>
      </c>
    </row>
    <row r="72" spans="2:12" x14ac:dyDescent="0.35">
      <c r="B72" s="339">
        <f>'קיזוזים בגין איחורים'!B72</f>
        <v>42</v>
      </c>
      <c r="C72" s="339" t="str">
        <f>'קיזוזים בגין איחורים'!C72</f>
        <v>אודליה קופרברג</v>
      </c>
      <c r="D72" s="453">
        <f>'קיזוזים בגין איחורים'!H72</f>
        <v>54901.509227587921</v>
      </c>
      <c r="E72" s="562"/>
      <c r="F72" s="455">
        <f t="shared" si="1"/>
        <v>54901.509227587921</v>
      </c>
      <c r="G72" s="455">
        <f t="shared" si="2"/>
        <v>54901.509227587921</v>
      </c>
      <c r="I72" s="451">
        <f t="shared" si="3"/>
        <v>0</v>
      </c>
      <c r="J72" s="451">
        <f>IF($C72="","",IFERROR(IF('קיזוזים בגין איחורים'!E72=0,0,1),0))</f>
        <v>0</v>
      </c>
      <c r="K72" s="451">
        <f t="shared" si="4"/>
        <v>0</v>
      </c>
      <c r="L72" s="451">
        <f t="shared" si="0"/>
        <v>0</v>
      </c>
    </row>
    <row r="73" spans="2:12" x14ac:dyDescent="0.35">
      <c r="B73" s="339">
        <f>'קיזוזים בגין איחורים'!B73</f>
        <v>43</v>
      </c>
      <c r="C73" s="339" t="str">
        <f>'קיזוזים בגין איחורים'!C73</f>
        <v>נועה צוק</v>
      </c>
      <c r="D73" s="453">
        <f>'קיזוזים בגין איחורים'!H73</f>
        <v>87659.146440685217</v>
      </c>
      <c r="E73" s="562"/>
      <c r="F73" s="455">
        <f t="shared" si="1"/>
        <v>87659.146440685217</v>
      </c>
      <c r="G73" s="455">
        <f t="shared" si="2"/>
        <v>87659.146440685217</v>
      </c>
      <c r="I73" s="451">
        <f t="shared" si="3"/>
        <v>0</v>
      </c>
      <c r="J73" s="451">
        <f>IF($C73="","",IFERROR(IF('קיזוזים בגין איחורים'!E73=0,0,1),0))</f>
        <v>0</v>
      </c>
      <c r="K73" s="451">
        <f t="shared" si="4"/>
        <v>0</v>
      </c>
      <c r="L73" s="451">
        <f t="shared" si="0"/>
        <v>0</v>
      </c>
    </row>
    <row r="74" spans="2:12" x14ac:dyDescent="0.35">
      <c r="B74" s="339">
        <f>'קיזוזים בגין איחורים'!B74</f>
        <v>44</v>
      </c>
      <c r="C74" s="339" t="str">
        <f>'קיזוזים בגין איחורים'!C74</f>
        <v>נטע פולברמכר</v>
      </c>
      <c r="D74" s="453">
        <f>'קיזוזים בגין איחורים'!H74</f>
        <v>87692.594136023778</v>
      </c>
      <c r="E74" s="562"/>
      <c r="F74" s="455">
        <f t="shared" si="1"/>
        <v>87692.594136023778</v>
      </c>
      <c r="G74" s="455">
        <f t="shared" si="2"/>
        <v>87692.594136023778</v>
      </c>
      <c r="I74" s="451">
        <f t="shared" si="3"/>
        <v>0</v>
      </c>
      <c r="J74" s="451">
        <f>IF($C74="","",IFERROR(IF('קיזוזים בגין איחורים'!E74=0,0,1),0))</f>
        <v>0</v>
      </c>
      <c r="K74" s="451">
        <f t="shared" si="4"/>
        <v>0</v>
      </c>
      <c r="L74" s="451">
        <f t="shared" si="0"/>
        <v>0</v>
      </c>
    </row>
    <row r="75" spans="2:12" x14ac:dyDescent="0.35">
      <c r="B75" s="339">
        <f>'קיזוזים בגין איחורים'!B75</f>
        <v>45</v>
      </c>
      <c r="C75" s="339" t="str">
        <f>'קיזוזים בגין איחורים'!C75</f>
        <v>ניב שינפלד ואורן לאור</v>
      </c>
      <c r="D75" s="453">
        <f>'קיזוזים בגין איחורים'!H75</f>
        <v>230514.79311682348</v>
      </c>
      <c r="E75" s="562"/>
      <c r="F75" s="455">
        <f t="shared" si="1"/>
        <v>230514.79311682348</v>
      </c>
      <c r="G75" s="455">
        <f t="shared" si="2"/>
        <v>230514.79311682348</v>
      </c>
      <c r="I75" s="451">
        <f t="shared" si="3"/>
        <v>0</v>
      </c>
      <c r="J75" s="451">
        <f>IF($C75="","",IFERROR(IF('קיזוזים בגין איחורים'!E75=0,0,1),0))</f>
        <v>0</v>
      </c>
      <c r="K75" s="451">
        <f t="shared" si="4"/>
        <v>0</v>
      </c>
      <c r="L75" s="451">
        <f t="shared" si="0"/>
        <v>0</v>
      </c>
    </row>
    <row r="76" spans="2:12" x14ac:dyDescent="0.35">
      <c r="B76" s="339">
        <f>'קיזוזים בגין איחורים'!B76</f>
        <v>46</v>
      </c>
      <c r="C76" s="339" t="str">
        <f>'קיזוזים בגין איחורים'!C76</f>
        <v>נימה יעקובי</v>
      </c>
      <c r="D76" s="453">
        <f>'קיזוזים בגין איחורים'!H76</f>
        <v>177627.24083110233</v>
      </c>
      <c r="E76" s="562"/>
      <c r="F76" s="455">
        <f t="shared" si="1"/>
        <v>177627.24083110233</v>
      </c>
      <c r="G76" s="455">
        <f t="shared" si="2"/>
        <v>177627.24083110233</v>
      </c>
      <c r="I76" s="451">
        <f t="shared" si="3"/>
        <v>0</v>
      </c>
      <c r="J76" s="451">
        <f>IF($C76="","",IFERROR(IF('קיזוזים בגין איחורים'!E76=0,0,1),0))</f>
        <v>0</v>
      </c>
      <c r="K76" s="451">
        <f t="shared" si="4"/>
        <v>0</v>
      </c>
      <c r="L76" s="451">
        <f t="shared" si="0"/>
        <v>0</v>
      </c>
    </row>
    <row r="77" spans="2:12" x14ac:dyDescent="0.35">
      <c r="B77" s="339">
        <f>'קיזוזים בגין איחורים'!B77</f>
        <v>47</v>
      </c>
      <c r="C77" s="339" t="str">
        <f>'קיזוזים בגין איחורים'!C77</f>
        <v>נמרוד פריד</v>
      </c>
      <c r="D77" s="453">
        <f>'קיזוזים בגין איחורים'!H77</f>
        <v>57317.825615401824</v>
      </c>
      <c r="E77" s="562"/>
      <c r="F77" s="455">
        <f t="shared" si="1"/>
        <v>57317.825615401824</v>
      </c>
      <c r="G77" s="455">
        <f t="shared" si="2"/>
        <v>57317.825615401824</v>
      </c>
      <c r="I77" s="451">
        <f t="shared" si="3"/>
        <v>0</v>
      </c>
      <c r="J77" s="451">
        <f>IF($C77="","",IFERROR(IF('קיזוזים בגין איחורים'!E77=0,0,1),0))</f>
        <v>0</v>
      </c>
      <c r="K77" s="451">
        <f t="shared" si="4"/>
        <v>0</v>
      </c>
      <c r="L77" s="451">
        <f t="shared" si="0"/>
        <v>0</v>
      </c>
    </row>
    <row r="78" spans="2:12" x14ac:dyDescent="0.35">
      <c r="B78" s="339">
        <f>'קיזוזים בגין איחורים'!B78</f>
        <v>48</v>
      </c>
      <c r="C78" s="339" t="str">
        <f>'קיזוזים בגין איחורים'!C78</f>
        <v>נעה דר</v>
      </c>
      <c r="D78" s="453">
        <f>'קיזוזים בגין איחורים'!H78</f>
        <v>108324.59493064167</v>
      </c>
      <c r="E78" s="562"/>
      <c r="F78" s="455">
        <f t="shared" si="1"/>
        <v>108324.59493064167</v>
      </c>
      <c r="G78" s="455">
        <f t="shared" si="2"/>
        <v>108324.59493064167</v>
      </c>
      <c r="I78" s="451">
        <f t="shared" si="3"/>
        <v>0</v>
      </c>
      <c r="J78" s="451">
        <f>IF($C78="","",IFERROR(IF('קיזוזים בגין איחורים'!E78=0,0,1),0))</f>
        <v>0</v>
      </c>
      <c r="K78" s="451">
        <f t="shared" si="4"/>
        <v>0</v>
      </c>
      <c r="L78" s="451">
        <f t="shared" si="0"/>
        <v>0</v>
      </c>
    </row>
    <row r="79" spans="2:12" x14ac:dyDescent="0.35">
      <c r="B79" s="339">
        <f>'קיזוזים בגין איחורים'!B79</f>
        <v>49</v>
      </c>
      <c r="C79" s="339" t="str">
        <f>'קיזוזים בגין איחורים'!C79</f>
        <v>נעה שדור</v>
      </c>
      <c r="D79" s="453">
        <f>'קיזוזים בגין איחורים'!H79</f>
        <v>45664.255160527457</v>
      </c>
      <c r="E79" s="562"/>
      <c r="F79" s="455">
        <f t="shared" si="1"/>
        <v>45664.255160527457</v>
      </c>
      <c r="G79" s="455">
        <f t="shared" si="2"/>
        <v>45664.255160527457</v>
      </c>
      <c r="I79" s="451">
        <f t="shared" si="3"/>
        <v>0</v>
      </c>
      <c r="J79" s="451">
        <f>IF($C79="","",IFERROR(IF('קיזוזים בגין איחורים'!E79=0,0,1),0))</f>
        <v>0</v>
      </c>
      <c r="K79" s="451">
        <f t="shared" si="4"/>
        <v>0</v>
      </c>
      <c r="L79" s="451">
        <f t="shared" si="0"/>
        <v>0</v>
      </c>
    </row>
    <row r="80" spans="2:12" x14ac:dyDescent="0.35">
      <c r="B80" s="339">
        <f>'קיזוזים בגין איחורים'!B80</f>
        <v>50</v>
      </c>
      <c r="C80" s="339" t="str">
        <f>'קיזוזים בגין איחורים'!C80</f>
        <v>סאלי אן פרילנד</v>
      </c>
      <c r="D80" s="453">
        <f>'קיזוזים בגין איחורים'!H80</f>
        <v>57408.280918846685</v>
      </c>
      <c r="E80" s="562"/>
      <c r="F80" s="455">
        <f t="shared" si="1"/>
        <v>57408.280918846685</v>
      </c>
      <c r="G80" s="455">
        <f t="shared" si="2"/>
        <v>57408.280918846685</v>
      </c>
      <c r="I80" s="451">
        <f t="shared" si="3"/>
        <v>0</v>
      </c>
      <c r="J80" s="451">
        <f>IF($C80="","",IFERROR(IF('קיזוזים בגין איחורים'!E80=0,0,1),0))</f>
        <v>0</v>
      </c>
      <c r="K80" s="451">
        <f t="shared" si="4"/>
        <v>0</v>
      </c>
      <c r="L80" s="451">
        <f t="shared" si="0"/>
        <v>0</v>
      </c>
    </row>
    <row r="81" spans="2:12" x14ac:dyDescent="0.35">
      <c r="B81" s="339">
        <f>'קיזוזים בגין איחורים'!B81</f>
        <v>51</v>
      </c>
      <c r="C81" s="339" t="str">
        <f>'קיזוזים בגין איחורים'!C81</f>
        <v>סהר עזימי</v>
      </c>
      <c r="D81" s="453">
        <f>'קיזוזים בגין איחורים'!H81</f>
        <v>72648.154513605958</v>
      </c>
      <c r="E81" s="562"/>
      <c r="F81" s="455">
        <f t="shared" si="1"/>
        <v>72648.154513605958</v>
      </c>
      <c r="G81" s="455">
        <f t="shared" si="2"/>
        <v>72648.154513605958</v>
      </c>
      <c r="I81" s="451">
        <f t="shared" si="3"/>
        <v>0</v>
      </c>
      <c r="J81" s="451">
        <f>IF($C81="","",IFERROR(IF('קיזוזים בגין איחורים'!E81=0,0,1),0))</f>
        <v>0</v>
      </c>
      <c r="K81" s="451">
        <f t="shared" si="4"/>
        <v>0</v>
      </c>
      <c r="L81" s="451">
        <f t="shared" si="0"/>
        <v>0</v>
      </c>
    </row>
    <row r="82" spans="2:12" x14ac:dyDescent="0.35">
      <c r="B82" s="339">
        <f>'קיזוזים בגין איחורים'!B82</f>
        <v>52</v>
      </c>
      <c r="C82" s="339" t="str">
        <f>'קיזוזים בגין איחורים'!C82</f>
        <v>עדו פדר</v>
      </c>
      <c r="D82" s="453">
        <f>'קיזוזים בגין איחורים'!H82</f>
        <v>58935.978887936559</v>
      </c>
      <c r="E82" s="562"/>
      <c r="F82" s="455">
        <f t="shared" si="1"/>
        <v>58935.978887936559</v>
      </c>
      <c r="G82" s="455">
        <f t="shared" si="2"/>
        <v>58935.978887936559</v>
      </c>
      <c r="I82" s="451">
        <f t="shared" si="3"/>
        <v>0</v>
      </c>
      <c r="J82" s="451">
        <f>IF($C82="","",IFERROR(IF('קיזוזים בגין איחורים'!E82=0,0,1),0))</f>
        <v>0</v>
      </c>
      <c r="K82" s="451">
        <f t="shared" si="4"/>
        <v>0</v>
      </c>
      <c r="L82" s="451">
        <f t="shared" si="0"/>
        <v>0</v>
      </c>
    </row>
    <row r="83" spans="2:12" x14ac:dyDescent="0.35">
      <c r="B83" s="339">
        <f>'קיזוזים בגין איחורים'!B83</f>
        <v>53</v>
      </c>
      <c r="C83" s="339" t="str">
        <f>'קיזוזים בגין איחורים'!C83</f>
        <v>עודד רונן</v>
      </c>
      <c r="D83" s="453">
        <f>'קיזוזים בגין איחורים'!H83</f>
        <v>56094.934202090641</v>
      </c>
      <c r="E83" s="562"/>
      <c r="F83" s="455">
        <f t="shared" si="1"/>
        <v>56094.934202090641</v>
      </c>
      <c r="G83" s="455">
        <f t="shared" si="2"/>
        <v>56094.934202090641</v>
      </c>
      <c r="I83" s="451">
        <f t="shared" si="3"/>
        <v>0</v>
      </c>
      <c r="J83" s="451">
        <f>IF($C83="","",IFERROR(IF('קיזוזים בגין איחורים'!E83=0,0,1),0))</f>
        <v>0</v>
      </c>
      <c r="K83" s="451">
        <f t="shared" si="4"/>
        <v>0</v>
      </c>
      <c r="L83" s="451">
        <f t="shared" si="0"/>
        <v>0</v>
      </c>
    </row>
    <row r="84" spans="2:12" x14ac:dyDescent="0.35">
      <c r="B84" s="339">
        <f>'קיזוזים בגין איחורים'!B84</f>
        <v>54</v>
      </c>
      <c r="C84" s="339" t="str">
        <f>'קיזוזים בגין איחורים'!C84</f>
        <v>עידן כהן</v>
      </c>
      <c r="D84" s="453">
        <f>'קיזוזים בגין איחורים'!H84</f>
        <v>43588.702306967265</v>
      </c>
      <c r="E84" s="562"/>
      <c r="F84" s="455">
        <f t="shared" si="1"/>
        <v>43588.702306967265</v>
      </c>
      <c r="G84" s="455">
        <f t="shared" si="2"/>
        <v>43588.702306967265</v>
      </c>
      <c r="I84" s="451">
        <f t="shared" si="3"/>
        <v>0</v>
      </c>
      <c r="J84" s="451">
        <f>IF($C84="","",IFERROR(IF('קיזוזים בגין איחורים'!E84=0,0,1),0))</f>
        <v>0</v>
      </c>
      <c r="K84" s="451">
        <f t="shared" si="4"/>
        <v>0</v>
      </c>
      <c r="L84" s="451">
        <f t="shared" si="0"/>
        <v>0</v>
      </c>
    </row>
    <row r="85" spans="2:12" x14ac:dyDescent="0.35">
      <c r="B85" s="339">
        <f>'קיזוזים בגין איחורים'!B85</f>
        <v>55</v>
      </c>
      <c r="C85" s="339" t="str">
        <f>'קיזוזים בגין איחורים'!C85</f>
        <v>עידן שרעבי</v>
      </c>
      <c r="D85" s="453">
        <f>'קיזוזים בגין איחורים'!H85</f>
        <v>60524.126155340644</v>
      </c>
      <c r="E85" s="562"/>
      <c r="F85" s="455">
        <f t="shared" si="1"/>
        <v>60524.126155340644</v>
      </c>
      <c r="G85" s="455">
        <f t="shared" si="2"/>
        <v>60524.126155340644</v>
      </c>
      <c r="I85" s="451">
        <f t="shared" si="3"/>
        <v>0</v>
      </c>
      <c r="J85" s="451">
        <f>IF($C85="","",IFERROR(IF('קיזוזים בגין איחורים'!E85=0,0,1),0))</f>
        <v>0</v>
      </c>
      <c r="K85" s="451">
        <f t="shared" si="4"/>
        <v>0</v>
      </c>
      <c r="L85" s="451">
        <f t="shared" si="0"/>
        <v>0</v>
      </c>
    </row>
    <row r="86" spans="2:12" x14ac:dyDescent="0.35">
      <c r="B86" s="339">
        <f>'קיזוזים בגין איחורים'!B86</f>
        <v>56</v>
      </c>
      <c r="C86" s="339" t="str">
        <f>'קיזוזים בגין איחורים'!C86</f>
        <v>ענת גריגוריו</v>
      </c>
      <c r="D86" s="453">
        <f>'קיזוזים בגין איחורים'!H86</f>
        <v>64058.295208008603</v>
      </c>
      <c r="E86" s="562"/>
      <c r="F86" s="455">
        <f t="shared" si="1"/>
        <v>64058.295208008603</v>
      </c>
      <c r="G86" s="455">
        <f t="shared" si="2"/>
        <v>64058.295208008603</v>
      </c>
      <c r="I86" s="451">
        <f t="shared" si="3"/>
        <v>0</v>
      </c>
      <c r="J86" s="451">
        <f>IF($C86="","",IFERROR(IF('קיזוזים בגין איחורים'!E86=0,0,1),0))</f>
        <v>0</v>
      </c>
      <c r="K86" s="451">
        <f t="shared" si="4"/>
        <v>0</v>
      </c>
      <c r="L86" s="451">
        <f t="shared" si="0"/>
        <v>0</v>
      </c>
    </row>
    <row r="87" spans="2:12" x14ac:dyDescent="0.35">
      <c r="B87" s="339">
        <f>'קיזוזים בגין איחורים'!B87</f>
        <v>57</v>
      </c>
      <c r="C87" s="339" t="str">
        <f>'קיזוזים בגין איחורים'!C87</f>
        <v>ענת דניאלי</v>
      </c>
      <c r="D87" s="453">
        <f>'קיזוזים בגין איחורים'!H87</f>
        <v>86750.937940007483</v>
      </c>
      <c r="E87" s="562"/>
      <c r="F87" s="455">
        <f t="shared" si="1"/>
        <v>86750.937940007483</v>
      </c>
      <c r="G87" s="455">
        <f t="shared" si="2"/>
        <v>86750.937940007483</v>
      </c>
      <c r="I87" s="451">
        <f t="shared" si="3"/>
        <v>0</v>
      </c>
      <c r="J87" s="451">
        <f>IF($C87="","",IFERROR(IF('קיזוזים בגין איחורים'!E87=0,0,1),0))</f>
        <v>0</v>
      </c>
      <c r="K87" s="451">
        <f t="shared" si="4"/>
        <v>0</v>
      </c>
      <c r="L87" s="451">
        <f t="shared" si="0"/>
        <v>0</v>
      </c>
    </row>
    <row r="88" spans="2:12" x14ac:dyDescent="0.35">
      <c r="B88" s="339">
        <f>'קיזוזים בגין איחורים'!B88</f>
        <v>58</v>
      </c>
      <c r="C88" s="339" t="str">
        <f>'קיזוזים בגין איחורים'!C88</f>
        <v>ענת כץ וארז מעיין</v>
      </c>
      <c r="D88" s="453">
        <f>'קיזוזים בגין איחורים'!H88</f>
        <v>56878.75395064542</v>
      </c>
      <c r="E88" s="562"/>
      <c r="F88" s="455">
        <f t="shared" si="1"/>
        <v>56878.75395064542</v>
      </c>
      <c r="G88" s="455">
        <f t="shared" si="2"/>
        <v>56878.75395064542</v>
      </c>
      <c r="I88" s="451">
        <f t="shared" si="3"/>
        <v>0</v>
      </c>
      <c r="J88" s="451">
        <f>IF($C88="","",IFERROR(IF('קיזוזים בגין איחורים'!E88=0,0,1),0))</f>
        <v>0</v>
      </c>
      <c r="K88" s="451">
        <f t="shared" si="4"/>
        <v>0</v>
      </c>
      <c r="L88" s="451">
        <f t="shared" si="0"/>
        <v>0</v>
      </c>
    </row>
    <row r="89" spans="2:12" x14ac:dyDescent="0.35">
      <c r="B89" s="339">
        <f>'קיזוזים בגין איחורים'!B89</f>
        <v>59</v>
      </c>
      <c r="C89" s="339" t="str">
        <f>'קיזוזים בגין איחורים'!C89</f>
        <v>ענת שמגר</v>
      </c>
      <c r="D89" s="453">
        <f>'קיזוזים בגין איחורים'!H89</f>
        <v>72709.721233874865</v>
      </c>
      <c r="E89" s="562"/>
      <c r="F89" s="455">
        <f t="shared" si="1"/>
        <v>72709.721233874865</v>
      </c>
      <c r="G89" s="455">
        <f t="shared" si="2"/>
        <v>72709.721233874865</v>
      </c>
      <c r="I89" s="451">
        <f t="shared" si="3"/>
        <v>0</v>
      </c>
      <c r="J89" s="451">
        <f>IF($C89="","",IFERROR(IF('קיזוזים בגין איחורים'!E89=0,0,1),0))</f>
        <v>0</v>
      </c>
      <c r="K89" s="451">
        <f t="shared" si="4"/>
        <v>0</v>
      </c>
      <c r="L89" s="451">
        <f t="shared" si="0"/>
        <v>0</v>
      </c>
    </row>
    <row r="90" spans="2:12" x14ac:dyDescent="0.35">
      <c r="B90" s="339">
        <f>'קיזוזים בגין איחורים'!B90</f>
        <v>60</v>
      </c>
      <c r="C90" s="339" t="str">
        <f>'קיזוזים בגין איחורים'!C90</f>
        <v>ק.ט.מ.ו.ן קבוצת מחול בירושלים</v>
      </c>
      <c r="D90" s="453">
        <f>'קיזוזים בגין איחורים'!H90</f>
        <v>114631.70594346907</v>
      </c>
      <c r="E90" s="562"/>
      <c r="F90" s="455">
        <f t="shared" si="1"/>
        <v>114631.70594346907</v>
      </c>
      <c r="G90" s="455">
        <f t="shared" si="2"/>
        <v>114631.70594346907</v>
      </c>
      <c r="I90" s="451">
        <f t="shared" si="3"/>
        <v>0</v>
      </c>
      <c r="J90" s="451">
        <f>IF($C90="","",IFERROR(IF('קיזוזים בגין איחורים'!E90=0,0,1),0))</f>
        <v>0</v>
      </c>
      <c r="K90" s="451">
        <f t="shared" si="4"/>
        <v>0</v>
      </c>
      <c r="L90" s="451">
        <f t="shared" si="0"/>
        <v>0</v>
      </c>
    </row>
    <row r="91" spans="2:12" x14ac:dyDescent="0.35">
      <c r="B91" s="339">
        <f>'קיזוזים בגין איחורים'!B91</f>
        <v>61</v>
      </c>
      <c r="C91" s="339" t="str">
        <f>'קיזוזים בגין איחורים'!C91</f>
        <v>רונית זיו</v>
      </c>
      <c r="D91" s="453">
        <f>'קיזוזים בגין איחורים'!H91</f>
        <v>85500.279110332296</v>
      </c>
      <c r="E91" s="562"/>
      <c r="F91" s="455">
        <f t="shared" si="1"/>
        <v>85500.279110332296</v>
      </c>
      <c r="G91" s="455">
        <f t="shared" si="2"/>
        <v>85500.279110332296</v>
      </c>
      <c r="I91" s="451">
        <f t="shared" si="3"/>
        <v>0</v>
      </c>
      <c r="J91" s="451">
        <f>IF($C91="","",IFERROR(IF('קיזוזים בגין איחורים'!E91=0,0,1),0))</f>
        <v>0</v>
      </c>
      <c r="K91" s="451">
        <f t="shared" si="4"/>
        <v>0</v>
      </c>
      <c r="L91" s="451">
        <f t="shared" si="0"/>
        <v>0</v>
      </c>
    </row>
    <row r="92" spans="2:12" x14ac:dyDescent="0.35">
      <c r="B92" s="339">
        <f>'קיזוזים בגין איחורים'!B92</f>
        <v>62</v>
      </c>
      <c r="C92" s="339" t="str">
        <f>'קיזוזים בגין איחורים'!C92</f>
        <v>טלי זבילביץ</v>
      </c>
      <c r="D92" s="453">
        <f>'קיזוזים בגין איחורים'!H92</f>
        <v>46241.165975372598</v>
      </c>
      <c r="E92" s="562"/>
      <c r="F92" s="455">
        <f t="shared" si="1"/>
        <v>46241.165975372598</v>
      </c>
      <c r="G92" s="455">
        <f t="shared" si="2"/>
        <v>46241.165975372598</v>
      </c>
      <c r="I92" s="451">
        <f t="shared" si="3"/>
        <v>0</v>
      </c>
      <c r="J92" s="451">
        <f>IF($C92="","",IFERROR(IF('קיזוזים בגין איחורים'!E92=0,0,1),0))</f>
        <v>0</v>
      </c>
      <c r="K92" s="451">
        <f t="shared" si="4"/>
        <v>0</v>
      </c>
      <c r="L92" s="451">
        <f t="shared" si="0"/>
        <v>0</v>
      </c>
    </row>
    <row r="93" spans="2:12" x14ac:dyDescent="0.35">
      <c r="B93" s="339">
        <f>'קיזוזים בגין איחורים'!B93</f>
        <v>63</v>
      </c>
      <c r="C93" s="339" t="str">
        <f>'קיזוזים בגין איחורים'!C93</f>
        <v>רייצ'ל ארדוס</v>
      </c>
      <c r="D93" s="453">
        <f>'קיזוזים בגין איחורים'!H93</f>
        <v>110559.00114140417</v>
      </c>
      <c r="E93" s="562"/>
      <c r="F93" s="455">
        <f t="shared" si="1"/>
        <v>110559.00114140417</v>
      </c>
      <c r="G93" s="455">
        <f t="shared" si="2"/>
        <v>110559.00114140417</v>
      </c>
      <c r="I93" s="451">
        <f t="shared" si="3"/>
        <v>0</v>
      </c>
      <c r="J93" s="451">
        <f>IF($C93="","",IFERROR(IF('קיזוזים בגין איחורים'!E93=0,0,1),0))</f>
        <v>0</v>
      </c>
      <c r="K93" s="451">
        <f t="shared" si="4"/>
        <v>0</v>
      </c>
      <c r="L93" s="451">
        <f t="shared" si="0"/>
        <v>0</v>
      </c>
    </row>
    <row r="94" spans="2:12" x14ac:dyDescent="0.35">
      <c r="B94" s="339">
        <f>'קיזוזים בגין איחורים'!B94</f>
        <v>64</v>
      </c>
      <c r="C94" s="339" t="str">
        <f>'קיזוזים בגין איחורים'!C94</f>
        <v>שירה אביתר</v>
      </c>
      <c r="D94" s="453">
        <f>'קיזוזים בגין איחורים'!H94</f>
        <v>49687.048553462104</v>
      </c>
      <c r="E94" s="562"/>
      <c r="F94" s="455">
        <f t="shared" si="1"/>
        <v>49687.048553462104</v>
      </c>
      <c r="G94" s="455">
        <f t="shared" si="2"/>
        <v>49687.048553462104</v>
      </c>
      <c r="I94" s="451">
        <f t="shared" si="3"/>
        <v>0</v>
      </c>
      <c r="J94" s="451">
        <f>IF($C94="","",IFERROR(IF('קיזוזים בגין איחורים'!E94=0,0,1),0))</f>
        <v>0</v>
      </c>
      <c r="K94" s="451">
        <f t="shared" si="4"/>
        <v>0</v>
      </c>
      <c r="L94" s="451">
        <f t="shared" si="0"/>
        <v>0</v>
      </c>
    </row>
    <row r="95" spans="2:12" x14ac:dyDescent="0.35">
      <c r="B95" s="339">
        <f>'קיזוזים בגין איחורים'!B95</f>
        <v>65</v>
      </c>
      <c r="C95" s="339" t="str">
        <f>'קיזוזים בגין איחורים'!C95</f>
        <v>שלומית פונדמינסקי</v>
      </c>
      <c r="D95" s="453">
        <f>'קיזוזים בגין איחורים'!H95</f>
        <v>137754.67302300173</v>
      </c>
      <c r="E95" s="562"/>
      <c r="F95" s="455">
        <f t="shared" si="1"/>
        <v>137754.67302300173</v>
      </c>
      <c r="G95" s="455">
        <f t="shared" si="2"/>
        <v>137754.67302300173</v>
      </c>
      <c r="I95" s="451">
        <f t="shared" si="3"/>
        <v>0</v>
      </c>
      <c r="J95" s="451">
        <f>IF($C95="","",IFERROR(IF('קיזוזים בגין איחורים'!E95=0,0,1),0))</f>
        <v>0</v>
      </c>
      <c r="K95" s="451">
        <f t="shared" si="4"/>
        <v>0</v>
      </c>
      <c r="L95" s="451">
        <f t="shared" ref="L95:L128" si="5">IF($C95="","",IF(K95=1,0,$K$27*$D95/$J$27))</f>
        <v>0</v>
      </c>
    </row>
    <row r="96" spans="2:12" x14ac:dyDescent="0.35">
      <c r="B96" s="339" t="str">
        <f>'קיזוזים בגין איחורים'!B96</f>
        <v/>
      </c>
      <c r="C96" s="339" t="str">
        <f>'קיזוזים בגין איחורים'!C96</f>
        <v/>
      </c>
      <c r="D96" s="453" t="str">
        <f>'קיזוזים בגין איחורים'!H96</f>
        <v/>
      </c>
      <c r="E96" s="562"/>
      <c r="F96" s="455" t="str">
        <f t="shared" ref="F96:F128" si="6">IF($C96="","",IF(E96&gt;D96,$N$1,D96-E96))</f>
        <v/>
      </c>
      <c r="G96" s="455" t="str">
        <f t="shared" ref="G96:G128" si="7">IF($C96="","",F96+L96)</f>
        <v/>
      </c>
      <c r="I96" s="451" t="str">
        <f t="shared" ref="I96:I128" si="8">IF($C96="","",IFERROR(IF(E96=0,0,1),0))</f>
        <v/>
      </c>
      <c r="J96" s="451" t="str">
        <f>IF($C96="","",IFERROR(IF('קיזוזים בגין איחורים'!E96=0,0,1),0))</f>
        <v/>
      </c>
      <c r="K96" s="451" t="str">
        <f t="shared" ref="K96:K128" si="9">IF($C96="","",IF(OR(J96=1,I96=1),1,0))</f>
        <v/>
      </c>
      <c r="L96" s="451" t="str">
        <f t="shared" si="5"/>
        <v/>
      </c>
    </row>
    <row r="97" spans="2:12" x14ac:dyDescent="0.35">
      <c r="B97" s="339">
        <f>'קיזוזים בגין איחורים'!B97</f>
        <v>67</v>
      </c>
      <c r="C97" s="339" t="str">
        <f>'קיזוזים בגין איחורים'!C97</f>
        <v>שרון וזנה</v>
      </c>
      <c r="D97" s="453">
        <f>'קיזוזים בגין איחורים'!H97</f>
        <v>77347.798210162582</v>
      </c>
      <c r="E97" s="562"/>
      <c r="F97" s="455">
        <f t="shared" si="6"/>
        <v>77347.798210162582</v>
      </c>
      <c r="G97" s="455">
        <f t="shared" si="7"/>
        <v>77347.798210162582</v>
      </c>
      <c r="I97" s="451">
        <f t="shared" si="8"/>
        <v>0</v>
      </c>
      <c r="J97" s="451">
        <f>IF($C97="","",IFERROR(IF('קיזוזים בגין איחורים'!E97=0,0,1),0))</f>
        <v>0</v>
      </c>
      <c r="K97" s="451">
        <f t="shared" si="9"/>
        <v>0</v>
      </c>
      <c r="L97" s="451">
        <f t="shared" si="5"/>
        <v>0</v>
      </c>
    </row>
    <row r="98" spans="2:12" x14ac:dyDescent="0.35">
      <c r="B98" s="339">
        <f>'קיזוזים בגין איחורים'!B98</f>
        <v>68</v>
      </c>
      <c r="C98" s="339" t="str">
        <f>'קיזוזים בגין איחורים'!C98</f>
        <v>שרונה פלורסהיים</v>
      </c>
      <c r="D98" s="453">
        <f>'קיזוזים בגין איחורים'!H98</f>
        <v>142184.18015680066</v>
      </c>
      <c r="E98" s="562"/>
      <c r="F98" s="455">
        <f t="shared" si="6"/>
        <v>142184.18015680066</v>
      </c>
      <c r="G98" s="455">
        <f t="shared" si="7"/>
        <v>142184.18015680066</v>
      </c>
      <c r="I98" s="451">
        <f t="shared" si="8"/>
        <v>0</v>
      </c>
      <c r="J98" s="451">
        <f>IF($C98="","",IFERROR(IF('קיזוזים בגין איחורים'!E98=0,0,1),0))</f>
        <v>0</v>
      </c>
      <c r="K98" s="451">
        <f t="shared" si="9"/>
        <v>0</v>
      </c>
      <c r="L98" s="451">
        <f t="shared" si="5"/>
        <v>0</v>
      </c>
    </row>
    <row r="99" spans="2:12" x14ac:dyDescent="0.35">
      <c r="B99" s="339">
        <f>'קיזוזים בגין איחורים'!B99</f>
        <v>69</v>
      </c>
      <c r="C99" s="339" t="str">
        <f>'קיזוזים בגין איחורים'!C99</f>
        <v>תמי ליבוביץ</v>
      </c>
      <c r="D99" s="453">
        <f>'קיזוזים בגין איחורים'!H99</f>
        <v>60804.098046678839</v>
      </c>
      <c r="E99" s="562"/>
      <c r="F99" s="455">
        <f t="shared" si="6"/>
        <v>60804.098046678839</v>
      </c>
      <c r="G99" s="455">
        <f t="shared" si="7"/>
        <v>60804.098046678839</v>
      </c>
      <c r="I99" s="451">
        <f t="shared" si="8"/>
        <v>0</v>
      </c>
      <c r="J99" s="451">
        <f>IF($C99="","",IFERROR(IF('קיזוזים בגין איחורים'!E99=0,0,1),0))</f>
        <v>0</v>
      </c>
      <c r="K99" s="451">
        <f t="shared" si="9"/>
        <v>0</v>
      </c>
      <c r="L99" s="451">
        <f t="shared" si="5"/>
        <v>0</v>
      </c>
    </row>
    <row r="100" spans="2:12" x14ac:dyDescent="0.35">
      <c r="B100" s="339">
        <f>'קיזוזים בגין איחורים'!B100</f>
        <v>70</v>
      </c>
      <c r="C100" s="339" t="str">
        <f>'קיזוזים בגין איחורים'!C100</f>
        <v>תמר בורר</v>
      </c>
      <c r="D100" s="453">
        <f>'קיזוזים בגין איחורים'!H100</f>
        <v>70403.206666451661</v>
      </c>
      <c r="E100" s="562"/>
      <c r="F100" s="455">
        <f t="shared" si="6"/>
        <v>70403.206666451661</v>
      </c>
      <c r="G100" s="455">
        <f t="shared" si="7"/>
        <v>70403.206666451661</v>
      </c>
      <c r="I100" s="451">
        <f t="shared" si="8"/>
        <v>0</v>
      </c>
      <c r="J100" s="451">
        <f>IF($C100="","",IFERROR(IF('קיזוזים בגין איחורים'!E100=0,0,1),0))</f>
        <v>0</v>
      </c>
      <c r="K100" s="451">
        <f t="shared" si="9"/>
        <v>0</v>
      </c>
      <c r="L100" s="451">
        <f t="shared" si="5"/>
        <v>0</v>
      </c>
    </row>
    <row r="101" spans="2:12" x14ac:dyDescent="0.35">
      <c r="B101" s="339">
        <f>'קיזוזים בגין איחורים'!B101</f>
        <v>71</v>
      </c>
      <c r="C101" s="339" t="str">
        <f>'קיזוזים בגין איחורים'!C101</f>
        <v>תמי ורונן יצחקי</v>
      </c>
      <c r="D101" s="453">
        <f>'קיזוזים בגין איחורים'!H101</f>
        <v>93115.524924557219</v>
      </c>
      <c r="E101" s="562"/>
      <c r="F101" s="455">
        <f t="shared" si="6"/>
        <v>93115.524924557219</v>
      </c>
      <c r="G101" s="455">
        <f t="shared" si="7"/>
        <v>93115.524924557219</v>
      </c>
      <c r="I101" s="451">
        <f t="shared" si="8"/>
        <v>0</v>
      </c>
      <c r="J101" s="451">
        <f>IF($C101="","",IFERROR(IF('קיזוזים בגין איחורים'!E101=0,0,1),0))</f>
        <v>0</v>
      </c>
      <c r="K101" s="451">
        <f t="shared" si="9"/>
        <v>0</v>
      </c>
      <c r="L101" s="451">
        <f t="shared" si="5"/>
        <v>0</v>
      </c>
    </row>
    <row r="102" spans="2:12" x14ac:dyDescent="0.35">
      <c r="B102" s="339">
        <f>'קיזוזים בגין איחורים'!B102</f>
        <v>72</v>
      </c>
      <c r="C102" s="339" t="str">
        <f>'קיזוזים בגין איחורים'!C102</f>
        <v>רננה רז</v>
      </c>
      <c r="D102" s="453">
        <f>'קיזוזים בגין איחורים'!H102</f>
        <v>184349.44001703322</v>
      </c>
      <c r="E102" s="562"/>
      <c r="F102" s="455">
        <f t="shared" si="6"/>
        <v>184349.44001703322</v>
      </c>
      <c r="G102" s="455">
        <f t="shared" si="7"/>
        <v>184349.44001703322</v>
      </c>
      <c r="I102" s="451">
        <f t="shared" si="8"/>
        <v>0</v>
      </c>
      <c r="J102" s="451">
        <f>IF($C102="","",IFERROR(IF('קיזוזים בגין איחורים'!E102=0,0,1),0))</f>
        <v>0</v>
      </c>
      <c r="K102" s="451">
        <f t="shared" si="9"/>
        <v>0</v>
      </c>
      <c r="L102" s="451">
        <f t="shared" si="5"/>
        <v>0</v>
      </c>
    </row>
    <row r="103" spans="2:12" x14ac:dyDescent="0.35">
      <c r="B103" s="339">
        <f>'קיזוזים בגין איחורים'!B103</f>
        <v>73</v>
      </c>
      <c r="C103" s="339" t="str">
        <f>'קיזוזים בגין איחורים'!C103</f>
        <v>רתם תשח</v>
      </c>
      <c r="D103" s="453">
        <f>'קיזוזים בגין איחורים'!H103</f>
        <v>38037.776124086166</v>
      </c>
      <c r="E103" s="562"/>
      <c r="F103" s="455">
        <f t="shared" si="6"/>
        <v>38037.776124086166</v>
      </c>
      <c r="G103" s="455">
        <f t="shared" si="7"/>
        <v>38037.776124086166</v>
      </c>
      <c r="I103" s="451">
        <f t="shared" si="8"/>
        <v>0</v>
      </c>
      <c r="J103" s="451">
        <f>IF($C103="","",IFERROR(IF('קיזוזים בגין איחורים'!E103=0,0,1),0))</f>
        <v>0</v>
      </c>
      <c r="K103" s="451">
        <f t="shared" si="9"/>
        <v>0</v>
      </c>
      <c r="L103" s="451">
        <f t="shared" si="5"/>
        <v>0</v>
      </c>
    </row>
    <row r="104" spans="2:12" x14ac:dyDescent="0.35">
      <c r="B104" s="339" t="str">
        <f>'קיזוזים בגין איחורים'!B104</f>
        <v/>
      </c>
      <c r="C104" s="339" t="str">
        <f>'קיזוזים בגין איחורים'!C104</f>
        <v/>
      </c>
      <c r="D104" s="453" t="str">
        <f>'קיזוזים בגין איחורים'!H104</f>
        <v/>
      </c>
      <c r="E104" s="562"/>
      <c r="F104" s="455" t="str">
        <f t="shared" si="6"/>
        <v/>
      </c>
      <c r="G104" s="455" t="str">
        <f t="shared" si="7"/>
        <v/>
      </c>
      <c r="I104" s="451" t="str">
        <f t="shared" si="8"/>
        <v/>
      </c>
      <c r="J104" s="451" t="str">
        <f>IF($C104="","",IFERROR(IF('קיזוזים בגין איחורים'!E104=0,0,1),0))</f>
        <v/>
      </c>
      <c r="K104" s="451" t="str">
        <f t="shared" si="9"/>
        <v/>
      </c>
      <c r="L104" s="451" t="str">
        <f t="shared" si="5"/>
        <v/>
      </c>
    </row>
    <row r="105" spans="2:12" x14ac:dyDescent="0.35">
      <c r="B105" s="339" t="str">
        <f>'קיזוזים בגין איחורים'!B105</f>
        <v/>
      </c>
      <c r="C105" s="339" t="str">
        <f>'קיזוזים בגין איחורים'!C105</f>
        <v/>
      </c>
      <c r="D105" s="453" t="str">
        <f>'קיזוזים בגין איחורים'!H105</f>
        <v/>
      </c>
      <c r="E105" s="562"/>
      <c r="F105" s="455" t="str">
        <f t="shared" si="6"/>
        <v/>
      </c>
      <c r="G105" s="455" t="str">
        <f t="shared" si="7"/>
        <v/>
      </c>
      <c r="I105" s="451" t="str">
        <f t="shared" si="8"/>
        <v/>
      </c>
      <c r="J105" s="451" t="str">
        <f>IF($C105="","",IFERROR(IF('קיזוזים בגין איחורים'!E105=0,0,1),0))</f>
        <v/>
      </c>
      <c r="K105" s="451" t="str">
        <f t="shared" si="9"/>
        <v/>
      </c>
      <c r="L105" s="451" t="str">
        <f t="shared" si="5"/>
        <v/>
      </c>
    </row>
    <row r="106" spans="2:12" ht="21" customHeight="1" x14ac:dyDescent="0.35">
      <c r="B106" s="339">
        <f>'קיזוזים בגין איחורים'!B106</f>
        <v>76</v>
      </c>
      <c r="C106" s="339" t="str">
        <f>'קיזוזים בגין איחורים'!C106</f>
        <v>שרון שגיא - פלמנקו</v>
      </c>
      <c r="D106" s="453">
        <f>'קיזוזים בגין איחורים'!H106</f>
        <v>246451.76040490525</v>
      </c>
      <c r="E106" s="562"/>
      <c r="F106" s="455">
        <f t="shared" si="6"/>
        <v>246451.76040490525</v>
      </c>
      <c r="G106" s="455">
        <f t="shared" si="7"/>
        <v>246451.76040490525</v>
      </c>
      <c r="I106" s="451">
        <f t="shared" si="8"/>
        <v>0</v>
      </c>
      <c r="J106" s="451">
        <f>IF($C106="","",IFERROR(IF('קיזוזים בגין איחורים'!E106=0,0,1),0))</f>
        <v>0</v>
      </c>
      <c r="K106" s="451">
        <f t="shared" si="9"/>
        <v>0</v>
      </c>
      <c r="L106" s="451">
        <f t="shared" si="5"/>
        <v>0</v>
      </c>
    </row>
    <row r="107" spans="2:12" x14ac:dyDescent="0.35">
      <c r="B107" s="339" t="str">
        <f>'קיזוזים בגין איחורים'!B107</f>
        <v/>
      </c>
      <c r="C107" s="339" t="str">
        <f>'קיזוזים בגין איחורים'!C107</f>
        <v/>
      </c>
      <c r="D107" s="453" t="str">
        <f>'קיזוזים בגין איחורים'!H107</f>
        <v/>
      </c>
      <c r="E107" s="562"/>
      <c r="F107" s="455" t="str">
        <f t="shared" si="6"/>
        <v/>
      </c>
      <c r="G107" s="455" t="str">
        <f t="shared" si="7"/>
        <v/>
      </c>
      <c r="I107" s="451" t="str">
        <f t="shared" si="8"/>
        <v/>
      </c>
      <c r="J107" s="451" t="str">
        <f>IF($C107="","",IFERROR(IF('קיזוזים בגין איחורים'!E107=0,0,1),0))</f>
        <v/>
      </c>
      <c r="K107" s="451" t="str">
        <f t="shared" si="9"/>
        <v/>
      </c>
      <c r="L107" s="451" t="str">
        <f t="shared" si="5"/>
        <v/>
      </c>
    </row>
    <row r="108" spans="2:12" x14ac:dyDescent="0.35">
      <c r="B108" s="339">
        <f>'קיזוזים בגין איחורים'!B108</f>
        <v>78</v>
      </c>
      <c r="C108" s="339" t="str">
        <f>'קיזוזים בגין איחורים'!C108</f>
        <v>אוליביה קורט מסה</v>
      </c>
      <c r="D108" s="453">
        <f>'קיזוזים בגין איחורים'!H108</f>
        <v>98573.416263819207</v>
      </c>
      <c r="E108" s="562"/>
      <c r="F108" s="455">
        <f t="shared" si="6"/>
        <v>98573.416263819207</v>
      </c>
      <c r="G108" s="455">
        <f t="shared" si="7"/>
        <v>98573.416263819207</v>
      </c>
      <c r="I108" s="451">
        <f t="shared" si="8"/>
        <v>0</v>
      </c>
      <c r="J108" s="451">
        <f>IF($C108="","",IFERROR(IF('קיזוזים בגין איחורים'!E108=0,0,1),0))</f>
        <v>0</v>
      </c>
      <c r="K108" s="451">
        <f t="shared" si="9"/>
        <v>0</v>
      </c>
      <c r="L108" s="451">
        <f t="shared" si="5"/>
        <v>0</v>
      </c>
    </row>
    <row r="109" spans="2:12" x14ac:dyDescent="0.35">
      <c r="B109" s="339" t="str">
        <f>'קיזוזים בגין איחורים'!B109</f>
        <v/>
      </c>
      <c r="C109" s="339" t="str">
        <f>'קיזוזים בגין איחורים'!C109</f>
        <v/>
      </c>
      <c r="D109" s="453" t="str">
        <f>'קיזוזים בגין איחורים'!H109</f>
        <v/>
      </c>
      <c r="E109" s="562"/>
      <c r="F109" s="455" t="str">
        <f t="shared" si="6"/>
        <v/>
      </c>
      <c r="G109" s="455" t="str">
        <f t="shared" si="7"/>
        <v/>
      </c>
      <c r="I109" s="451" t="str">
        <f t="shared" si="8"/>
        <v/>
      </c>
      <c r="J109" s="451" t="str">
        <f>IF($C109="","",IFERROR(IF('קיזוזים בגין איחורים'!E109=0,0,1),0))</f>
        <v/>
      </c>
      <c r="K109" s="451" t="str">
        <f t="shared" si="9"/>
        <v/>
      </c>
      <c r="L109" s="451" t="str">
        <f t="shared" si="5"/>
        <v/>
      </c>
    </row>
    <row r="110" spans="2:12" x14ac:dyDescent="0.35">
      <c r="B110" s="339" t="str">
        <f>'קיזוזים בגין איחורים'!B110</f>
        <v/>
      </c>
      <c r="C110" s="339" t="str">
        <f>'קיזוזים בגין איחורים'!C110</f>
        <v/>
      </c>
      <c r="D110" s="453" t="str">
        <f>'קיזוזים בגין איחורים'!H110</f>
        <v/>
      </c>
      <c r="E110" s="562"/>
      <c r="F110" s="455" t="str">
        <f>IF($C110="","",IF(E110&gt;D110,$N$1,D110-E110))</f>
        <v/>
      </c>
      <c r="G110" s="455" t="str">
        <f t="shared" si="7"/>
        <v/>
      </c>
      <c r="I110" s="451" t="str">
        <f>IF($C110="","",IFERROR(IF(E110=0,0,1),0))</f>
        <v/>
      </c>
      <c r="J110" s="451" t="str">
        <f>IF($C110="","",IFERROR(IF('קיזוזים בגין איחורים'!E110=0,0,1),0))</f>
        <v/>
      </c>
      <c r="K110" s="451" t="str">
        <f t="shared" si="9"/>
        <v/>
      </c>
      <c r="L110" s="451" t="str">
        <f t="shared" si="5"/>
        <v/>
      </c>
    </row>
    <row r="111" spans="2:12" x14ac:dyDescent="0.35">
      <c r="B111" s="339">
        <f>'קיזוזים בגין איחורים'!B111</f>
        <v>81</v>
      </c>
      <c r="C111" s="339" t="str">
        <f>'קיזוזים בגין איחורים'!C111</f>
        <v>דגה פדר</v>
      </c>
      <c r="D111" s="453">
        <f>'קיזוזים בגין איחורים'!H111</f>
        <v>35122.323146623952</v>
      </c>
      <c r="E111" s="562"/>
      <c r="F111" s="455">
        <f>IF($C111="","",IF(E111&gt;D111,$N$1,D111-E111))</f>
        <v>35122.323146623952</v>
      </c>
      <c r="G111" s="455">
        <f t="shared" si="7"/>
        <v>35122.323146623952</v>
      </c>
      <c r="I111" s="451">
        <f>IF($C111="","",IFERROR(IF(E111=0,0,1),0))</f>
        <v>0</v>
      </c>
      <c r="J111" s="451">
        <f>IF($C111="","",IFERROR(IF('קיזוזים בגין איחורים'!E111=0,0,1),0))</f>
        <v>0</v>
      </c>
      <c r="K111" s="451">
        <f t="shared" si="9"/>
        <v>0</v>
      </c>
      <c r="L111" s="451">
        <f t="shared" si="5"/>
        <v>0</v>
      </c>
    </row>
    <row r="112" spans="2:12" x14ac:dyDescent="0.35">
      <c r="B112" s="339">
        <f>'קיזוזים בגין איחורים'!B112</f>
        <v>82</v>
      </c>
      <c r="C112" s="339" t="str">
        <f>'קיזוזים בגין איחורים'!C112</f>
        <v>דנה חפוטה</v>
      </c>
      <c r="D112" s="453">
        <f>'קיזוזים בגין איחורים'!H112</f>
        <v>50641.641837943374</v>
      </c>
      <c r="E112" s="562"/>
      <c r="F112" s="455">
        <f t="shared" si="6"/>
        <v>50641.641837943374</v>
      </c>
      <c r="G112" s="455">
        <f t="shared" si="7"/>
        <v>50641.641837943374</v>
      </c>
      <c r="I112" s="451">
        <f t="shared" si="8"/>
        <v>0</v>
      </c>
      <c r="J112" s="451">
        <f>IF($C112="","",IFERROR(IF('קיזוזים בגין איחורים'!E112=0,0,1),0))</f>
        <v>0</v>
      </c>
      <c r="K112" s="451">
        <f t="shared" si="9"/>
        <v>0</v>
      </c>
      <c r="L112" s="451">
        <f t="shared" si="5"/>
        <v>0</v>
      </c>
    </row>
    <row r="113" spans="2:12" x14ac:dyDescent="0.35">
      <c r="B113" s="339" t="str">
        <f>'קיזוזים בגין איחורים'!B113</f>
        <v/>
      </c>
      <c r="C113" s="339" t="str">
        <f>'קיזוזים בגין איחורים'!C113</f>
        <v/>
      </c>
      <c r="D113" s="453" t="str">
        <f>'קיזוזים בגין איחורים'!H113</f>
        <v/>
      </c>
      <c r="E113" s="562"/>
      <c r="F113" s="455" t="str">
        <f t="shared" si="6"/>
        <v/>
      </c>
      <c r="G113" s="455" t="str">
        <f t="shared" si="7"/>
        <v/>
      </c>
      <c r="I113" s="451" t="str">
        <f t="shared" si="8"/>
        <v/>
      </c>
      <c r="J113" s="451" t="str">
        <f>IF($C113="","",IFERROR(IF('קיזוזים בגין איחורים'!E113=0,0,1),0))</f>
        <v/>
      </c>
      <c r="K113" s="451" t="str">
        <f t="shared" si="9"/>
        <v/>
      </c>
      <c r="L113" s="451" t="str">
        <f t="shared" si="5"/>
        <v/>
      </c>
    </row>
    <row r="114" spans="2:12" x14ac:dyDescent="0.35">
      <c r="B114" s="339" t="str">
        <f>'קיזוזים בגין איחורים'!B114</f>
        <v/>
      </c>
      <c r="C114" s="339" t="str">
        <f>'קיזוזים בגין איחורים'!C114</f>
        <v/>
      </c>
      <c r="D114" s="453" t="str">
        <f>'קיזוזים בגין איחורים'!H114</f>
        <v/>
      </c>
      <c r="E114" s="562"/>
      <c r="F114" s="455" t="str">
        <f t="shared" si="6"/>
        <v/>
      </c>
      <c r="G114" s="455" t="str">
        <f t="shared" si="7"/>
        <v/>
      </c>
      <c r="I114" s="451" t="str">
        <f t="shared" si="8"/>
        <v/>
      </c>
      <c r="J114" s="451" t="str">
        <f>IF($C114="","",IFERROR(IF('קיזוזים בגין איחורים'!E114=0,0,1),0))</f>
        <v/>
      </c>
      <c r="K114" s="451" t="str">
        <f t="shared" si="9"/>
        <v/>
      </c>
      <c r="L114" s="451" t="str">
        <f t="shared" si="5"/>
        <v/>
      </c>
    </row>
    <row r="115" spans="2:12" x14ac:dyDescent="0.35">
      <c r="B115" s="339">
        <f>'קיזוזים בגין איחורים'!B115</f>
        <v>85</v>
      </c>
      <c r="C115" s="339" t="str">
        <f>'קיזוזים בגין איחורים'!C115</f>
        <v>יענק'לה פילצר</v>
      </c>
      <c r="D115" s="453">
        <f>'קיזוזים בגין איחורים'!H115</f>
        <v>147543.09020021965</v>
      </c>
      <c r="E115" s="562"/>
      <c r="F115" s="455">
        <f t="shared" si="6"/>
        <v>147543.09020021965</v>
      </c>
      <c r="G115" s="455">
        <f t="shared" si="7"/>
        <v>147543.09020021965</v>
      </c>
      <c r="I115" s="451">
        <f t="shared" si="8"/>
        <v>0</v>
      </c>
      <c r="J115" s="451">
        <f>IF($C115="","",IFERROR(IF('קיזוזים בגין איחורים'!E115=0,0,1),0))</f>
        <v>0</v>
      </c>
      <c r="K115" s="451">
        <f t="shared" si="9"/>
        <v>0</v>
      </c>
      <c r="L115" s="451">
        <f t="shared" si="5"/>
        <v>0</v>
      </c>
    </row>
    <row r="116" spans="2:12" x14ac:dyDescent="0.35">
      <c r="B116" s="339">
        <f>'קיזוזים בגין איחורים'!B116</f>
        <v>86</v>
      </c>
      <c r="C116" s="339" t="str">
        <f>'קיזוזים בגין איחורים'!C116</f>
        <v>ענבל פינטו</v>
      </c>
      <c r="D116" s="453">
        <f>'קיזוזים בגין איחורים'!H116</f>
        <v>104815.54946529685</v>
      </c>
      <c r="E116" s="562"/>
      <c r="F116" s="455">
        <f t="shared" si="6"/>
        <v>104815.54946529685</v>
      </c>
      <c r="G116" s="455">
        <f t="shared" si="7"/>
        <v>104815.54946529685</v>
      </c>
      <c r="I116" s="451">
        <f t="shared" si="8"/>
        <v>0</v>
      </c>
      <c r="J116" s="451">
        <f>IF($C116="","",IFERROR(IF('קיזוזים בגין איחורים'!E116=0,0,1),0))</f>
        <v>0</v>
      </c>
      <c r="K116" s="451">
        <f t="shared" si="9"/>
        <v>0</v>
      </c>
      <c r="L116" s="451">
        <f t="shared" si="5"/>
        <v>0</v>
      </c>
    </row>
    <row r="117" spans="2:12" x14ac:dyDescent="0.35">
      <c r="B117" s="339">
        <f>'קיזוזים בגין איחורים'!B117</f>
        <v>87</v>
      </c>
      <c r="C117" s="339" t="str">
        <f>'קיזוזים בגין איחורים'!C117</f>
        <v>רוני חדש</v>
      </c>
      <c r="D117" s="453">
        <f>'קיזוזים בגין איחורים'!H117</f>
        <v>99915.23508525957</v>
      </c>
      <c r="E117" s="562"/>
      <c r="F117" s="455">
        <f t="shared" si="6"/>
        <v>99915.23508525957</v>
      </c>
      <c r="G117" s="455">
        <f t="shared" si="7"/>
        <v>99915.23508525957</v>
      </c>
      <c r="I117" s="451">
        <f t="shared" si="8"/>
        <v>0</v>
      </c>
      <c r="J117" s="451">
        <f>IF($C117="","",IFERROR(IF('קיזוזים בגין איחורים'!E117=0,0,1),0))</f>
        <v>0</v>
      </c>
      <c r="K117" s="451">
        <f t="shared" si="9"/>
        <v>0</v>
      </c>
      <c r="L117" s="451">
        <f t="shared" si="5"/>
        <v>0</v>
      </c>
    </row>
    <row r="118" spans="2:12" x14ac:dyDescent="0.35">
      <c r="B118" s="339">
        <f>'קיזוזים בגין איחורים'!B118</f>
        <v>88</v>
      </c>
      <c r="C118" s="339" t="str">
        <f>'קיזוזים בגין איחורים'!C118</f>
        <v>שחר בנימיני</v>
      </c>
      <c r="D118" s="453">
        <f>'קיזוזים בגין איחורים'!H118</f>
        <v>105211.97108072024</v>
      </c>
      <c r="E118" s="562"/>
      <c r="F118" s="455">
        <f t="shared" si="6"/>
        <v>105211.97108072024</v>
      </c>
      <c r="G118" s="455">
        <f t="shared" si="7"/>
        <v>105211.97108072024</v>
      </c>
      <c r="I118" s="451">
        <f t="shared" si="8"/>
        <v>0</v>
      </c>
      <c r="J118" s="451">
        <f>IF($C118="","",IFERROR(IF('קיזוזים בגין איחורים'!E118=0,0,1),0))</f>
        <v>0</v>
      </c>
      <c r="K118" s="451">
        <f t="shared" si="9"/>
        <v>0</v>
      </c>
      <c r="L118" s="451">
        <f t="shared" si="5"/>
        <v>0</v>
      </c>
    </row>
    <row r="119" spans="2:12" x14ac:dyDescent="0.35">
      <c r="B119" s="339">
        <f>'קיזוזים בגין איחורים'!B119</f>
        <v>89</v>
      </c>
      <c r="C119" s="339" t="str">
        <f>'קיזוזים בגין איחורים'!C119</f>
        <v>רביד אברבאנל</v>
      </c>
      <c r="D119" s="453">
        <f>'קיזוזים בגין איחורים'!H119</f>
        <v>65375.814765201161</v>
      </c>
      <c r="E119" s="562"/>
      <c r="F119" s="455">
        <f t="shared" si="6"/>
        <v>65375.814765201161</v>
      </c>
      <c r="G119" s="455">
        <f t="shared" si="7"/>
        <v>65375.814765201161</v>
      </c>
      <c r="I119" s="451">
        <f t="shared" si="8"/>
        <v>0</v>
      </c>
      <c r="J119" s="451">
        <f>IF($C119="","",IFERROR(IF('קיזוזים בגין איחורים'!E119=0,0,1),0))</f>
        <v>0</v>
      </c>
      <c r="K119" s="451">
        <f t="shared" si="9"/>
        <v>0</v>
      </c>
      <c r="L119" s="451">
        <f t="shared" si="5"/>
        <v>0</v>
      </c>
    </row>
    <row r="120" spans="2:12" x14ac:dyDescent="0.35">
      <c r="B120" s="339">
        <f>'קיזוזים בגין איחורים'!B120</f>
        <v>90</v>
      </c>
      <c r="C120" s="339" t="str">
        <f>'קיזוזים בגין איחורים'!C120</f>
        <v>שרון פרידמן</v>
      </c>
      <c r="D120" s="453">
        <f>'קיזוזים בגין איחורים'!H120</f>
        <v>85426.5729747117</v>
      </c>
      <c r="E120" s="562"/>
      <c r="F120" s="455">
        <f t="shared" si="6"/>
        <v>85426.5729747117</v>
      </c>
      <c r="G120" s="455">
        <f t="shared" si="7"/>
        <v>85426.5729747117</v>
      </c>
      <c r="I120" s="451">
        <f t="shared" si="8"/>
        <v>0</v>
      </c>
      <c r="J120" s="451">
        <f>IF($C120="","",IFERROR(IF('קיזוזים בגין איחורים'!E120=0,0,1),0))</f>
        <v>0</v>
      </c>
      <c r="K120" s="451">
        <f t="shared" si="9"/>
        <v>0</v>
      </c>
      <c r="L120" s="451">
        <f t="shared" si="5"/>
        <v>0</v>
      </c>
    </row>
    <row r="121" spans="2:12" x14ac:dyDescent="0.35">
      <c r="B121" s="339">
        <f>'קיזוזים בגין איחורים'!B121</f>
        <v>91</v>
      </c>
      <c r="C121" s="339" t="str">
        <f>'קיזוזים בגין איחורים'!C121</f>
        <v>מירב כהן</v>
      </c>
      <c r="D121" s="453">
        <f>'קיזוזים בגין איחורים'!H121</f>
        <v>41436.981331546842</v>
      </c>
      <c r="E121" s="562"/>
      <c r="F121" s="455">
        <f t="shared" si="6"/>
        <v>41436.981331546842</v>
      </c>
      <c r="G121" s="455">
        <f t="shared" si="7"/>
        <v>41436.981331546842</v>
      </c>
      <c r="I121" s="451">
        <f t="shared" si="8"/>
        <v>0</v>
      </c>
      <c r="J121" s="451">
        <f>IF($C121="","",IFERROR(IF('קיזוזים בגין איחורים'!E121=0,0,1),0))</f>
        <v>0</v>
      </c>
      <c r="K121" s="451">
        <f t="shared" si="9"/>
        <v>0</v>
      </c>
      <c r="L121" s="451">
        <f t="shared" si="5"/>
        <v>0</v>
      </c>
    </row>
    <row r="122" spans="2:12" x14ac:dyDescent="0.35">
      <c r="B122" s="339">
        <f>'קיזוזים בגין איחורים'!B122</f>
        <v>92</v>
      </c>
      <c r="C122" s="339" t="str">
        <f>'קיזוזים בגין איחורים'!C122</f>
        <v>קים טייטלבאום</v>
      </c>
      <c r="D122" s="453">
        <f>'קיזוזים בגין איחורים'!H122</f>
        <v>47314.329355968446</v>
      </c>
      <c r="E122" s="562"/>
      <c r="F122" s="455">
        <f t="shared" si="6"/>
        <v>47314.329355968446</v>
      </c>
      <c r="G122" s="455">
        <f t="shared" si="7"/>
        <v>47314.329355968446</v>
      </c>
      <c r="I122" s="451">
        <f t="shared" si="8"/>
        <v>0</v>
      </c>
      <c r="J122" s="451">
        <f>IF($C122="","",IFERROR(IF('קיזוזים בגין איחורים'!E122=0,0,1),0))</f>
        <v>0</v>
      </c>
      <c r="K122" s="451">
        <f t="shared" si="9"/>
        <v>0</v>
      </c>
      <c r="L122" s="451">
        <f t="shared" si="5"/>
        <v>0</v>
      </c>
    </row>
    <row r="123" spans="2:12" x14ac:dyDescent="0.35">
      <c r="B123" s="339" t="str">
        <f>'קיזוזים בגין איחורים'!B123</f>
        <v/>
      </c>
      <c r="C123" s="339" t="str">
        <f>'קיזוזים בגין איחורים'!C123</f>
        <v/>
      </c>
      <c r="D123" s="453" t="str">
        <f>'קיזוזים בגין איחורים'!H123</f>
        <v/>
      </c>
      <c r="E123" s="562"/>
      <c r="F123" s="455" t="str">
        <f t="shared" si="6"/>
        <v/>
      </c>
      <c r="G123" s="455" t="str">
        <f t="shared" si="7"/>
        <v/>
      </c>
      <c r="I123" s="451" t="str">
        <f t="shared" si="8"/>
        <v/>
      </c>
      <c r="J123" s="451" t="str">
        <f>IF($C123="","",IFERROR(IF('קיזוזים בגין איחורים'!E123=0,0,1),0))</f>
        <v/>
      </c>
      <c r="K123" s="451" t="str">
        <f t="shared" si="9"/>
        <v/>
      </c>
      <c r="L123" s="451" t="str">
        <f t="shared" si="5"/>
        <v/>
      </c>
    </row>
    <row r="124" spans="2:12" x14ac:dyDescent="0.35">
      <c r="B124" s="339">
        <f>'קיזוזים בגין איחורים'!B124</f>
        <v>94</v>
      </c>
      <c r="C124" s="339" t="str">
        <f>'קיזוזים בגין איחורים'!C124</f>
        <v>מאי זרחי</v>
      </c>
      <c r="D124" s="453">
        <f>'קיזוזים בגין איחורים'!H124</f>
        <v>46611.39586181302</v>
      </c>
      <c r="E124" s="562"/>
      <c r="F124" s="455">
        <f t="shared" si="6"/>
        <v>46611.39586181302</v>
      </c>
      <c r="G124" s="455">
        <f t="shared" si="7"/>
        <v>46611.39586181302</v>
      </c>
      <c r="I124" s="451">
        <f t="shared" si="8"/>
        <v>0</v>
      </c>
      <c r="J124" s="451">
        <f>IF($C124="","",IFERROR(IF('קיזוזים בגין איחורים'!E124=0,0,1),0))</f>
        <v>0</v>
      </c>
      <c r="K124" s="451">
        <f t="shared" si="9"/>
        <v>0</v>
      </c>
      <c r="L124" s="451">
        <f t="shared" si="5"/>
        <v>0</v>
      </c>
    </row>
    <row r="125" spans="2:12" x14ac:dyDescent="0.35">
      <c r="B125" s="339">
        <f>'קיזוזים בגין איחורים'!B125</f>
        <v>95</v>
      </c>
      <c r="C125" s="339" t="str">
        <f>'קיזוזים בגין איחורים'!C125</f>
        <v>דנה מרכוס</v>
      </c>
      <c r="D125" s="453">
        <f>'קיזוזים בגין איחורים'!H125</f>
        <v>56210.924039478639</v>
      </c>
      <c r="E125" s="562"/>
      <c r="F125" s="455">
        <f t="shared" si="6"/>
        <v>56210.924039478639</v>
      </c>
      <c r="G125" s="455">
        <f t="shared" si="7"/>
        <v>56210.924039478639</v>
      </c>
      <c r="I125" s="451">
        <f t="shared" si="8"/>
        <v>0</v>
      </c>
      <c r="J125" s="451">
        <f>IF($C125="","",IFERROR(IF('קיזוזים בגין איחורים'!E125=0,0,1),0))</f>
        <v>0</v>
      </c>
      <c r="K125" s="451">
        <f t="shared" si="9"/>
        <v>0</v>
      </c>
      <c r="L125" s="451">
        <f t="shared" si="5"/>
        <v>0</v>
      </c>
    </row>
    <row r="126" spans="2:12" x14ac:dyDescent="0.35">
      <c r="B126" s="339" t="str">
        <f>'קיזוזים בגין איחורים'!B126</f>
        <v/>
      </c>
      <c r="C126" s="339" t="str">
        <f>'קיזוזים בגין איחורים'!C126</f>
        <v/>
      </c>
      <c r="D126" s="453" t="str">
        <f>'קיזוזים בגין איחורים'!H126</f>
        <v/>
      </c>
      <c r="E126" s="562"/>
      <c r="F126" s="455" t="str">
        <f t="shared" si="6"/>
        <v/>
      </c>
      <c r="G126" s="455" t="str">
        <f t="shared" si="7"/>
        <v/>
      </c>
      <c r="I126" s="451" t="str">
        <f t="shared" si="8"/>
        <v/>
      </c>
      <c r="J126" s="451" t="str">
        <f>IF($C126="","",IFERROR(IF('קיזוזים בגין איחורים'!E126=0,0,1),0))</f>
        <v/>
      </c>
      <c r="K126" s="451" t="str">
        <f t="shared" si="9"/>
        <v/>
      </c>
      <c r="L126" s="451" t="str">
        <f t="shared" si="5"/>
        <v/>
      </c>
    </row>
    <row r="127" spans="2:12" x14ac:dyDescent="0.35">
      <c r="B127" s="339" t="str">
        <f>'קיזוזים בגין איחורים'!B127</f>
        <v/>
      </c>
      <c r="C127" s="339" t="str">
        <f>'קיזוזים בגין איחורים'!C127</f>
        <v/>
      </c>
      <c r="D127" s="453" t="str">
        <f>'קיזוזים בגין איחורים'!H127</f>
        <v/>
      </c>
      <c r="E127" s="562"/>
      <c r="F127" s="455" t="str">
        <f t="shared" si="6"/>
        <v/>
      </c>
      <c r="G127" s="455" t="str">
        <f t="shared" si="7"/>
        <v/>
      </c>
      <c r="I127" s="451" t="str">
        <f t="shared" si="8"/>
        <v/>
      </c>
      <c r="J127" s="451" t="str">
        <f>IF($C127="","",IFERROR(IF('קיזוזים בגין איחורים'!E127=0,0,1),0))</f>
        <v/>
      </c>
      <c r="K127" s="451" t="str">
        <f t="shared" si="9"/>
        <v/>
      </c>
      <c r="L127" s="451" t="str">
        <f t="shared" si="5"/>
        <v/>
      </c>
    </row>
    <row r="128" spans="2:12" x14ac:dyDescent="0.35">
      <c r="B128" s="339">
        <f>'קיזוזים בגין איחורים'!B128</f>
        <v>98</v>
      </c>
      <c r="C128" s="339" t="str">
        <f>'קיזוזים בגין איחורים'!C128</f>
        <v>שקד מוכיח</v>
      </c>
      <c r="D128" s="453">
        <f>'קיזוזים בגין איחורים'!H128</f>
        <v>87082.385534881352</v>
      </c>
      <c r="E128" s="562"/>
      <c r="F128" s="455">
        <f t="shared" si="6"/>
        <v>87082.385534881352</v>
      </c>
      <c r="G128" s="455">
        <f t="shared" si="7"/>
        <v>87082.385534881352</v>
      </c>
      <c r="I128" s="451">
        <f t="shared" si="8"/>
        <v>0</v>
      </c>
      <c r="J128" s="451">
        <f>IF($C128="","",IFERROR(IF('קיזוזים בגין איחורים'!E128=0,0,1),0))</f>
        <v>0</v>
      </c>
      <c r="K128" s="451">
        <f t="shared" si="9"/>
        <v>0</v>
      </c>
      <c r="L128" s="451">
        <f t="shared" si="5"/>
        <v>0</v>
      </c>
    </row>
    <row r="129" spans="2:12" x14ac:dyDescent="0.35">
      <c r="B129" s="339">
        <f>'קיזוזים בגין איחורים'!B129</f>
        <v>99</v>
      </c>
      <c r="C129" s="339" t="str">
        <f>'קיזוזים בגין איחורים'!C129</f>
        <v>שרון הללי אסא</v>
      </c>
      <c r="D129" s="453">
        <f>'קיזוזים בגין איחורים'!H129</f>
        <v>82462.242590156486</v>
      </c>
      <c r="E129" s="562"/>
      <c r="F129" s="455">
        <f t="shared" ref="F129:F130" si="10">IF($C129="","",IF(E129&gt;D129,$N$1,D129-E129))</f>
        <v>82462.242590156486</v>
      </c>
      <c r="G129" s="455">
        <f t="shared" ref="G129:G142" si="11">IF($C129="","",F129+L129)</f>
        <v>82462.242590156486</v>
      </c>
      <c r="I129" s="451">
        <f t="shared" ref="I129:I142" si="12">IF($C129="","",IFERROR(IF(E129=0,0,1),0))</f>
        <v>0</v>
      </c>
      <c r="J129" s="451">
        <f>IF($C129="","",IFERROR(IF('קיזוזים בגין איחורים'!E129=0,0,1),0))</f>
        <v>0</v>
      </c>
      <c r="K129" s="451">
        <f t="shared" ref="K129:K142" si="13">IF($C129="","",IF(OR(J129=1,I129=1),1,0))</f>
        <v>0</v>
      </c>
      <c r="L129" s="451">
        <f t="shared" ref="L129:L142" si="14">IF($C129="","",IF(K129=1,0,$K$27*$D129/$J$27))</f>
        <v>0</v>
      </c>
    </row>
    <row r="130" spans="2:12" x14ac:dyDescent="0.35">
      <c r="B130" s="339">
        <f>'קיזוזים בגין איחורים'!B130</f>
        <v>100</v>
      </c>
      <c r="C130" s="339" t="str">
        <f>'קיזוזים בגין איחורים'!C130</f>
        <v>להקת ג'אם</v>
      </c>
      <c r="D130" s="453">
        <f>'קיזוזים בגין איחורים'!H130</f>
        <v>51108.864394382756</v>
      </c>
      <c r="E130" s="562"/>
      <c r="F130" s="455">
        <f t="shared" si="10"/>
        <v>51108.864394382756</v>
      </c>
      <c r="G130" s="455">
        <f t="shared" si="11"/>
        <v>51108.864394382756</v>
      </c>
      <c r="I130" s="451">
        <f t="shared" si="12"/>
        <v>0</v>
      </c>
      <c r="J130" s="451">
        <f>IF($C130="","",IFERROR(IF('קיזוזים בגין איחורים'!E130=0,0,1),0))</f>
        <v>0</v>
      </c>
      <c r="K130" s="451">
        <f t="shared" si="13"/>
        <v>0</v>
      </c>
      <c r="L130" s="451">
        <f t="shared" si="14"/>
        <v>0</v>
      </c>
    </row>
    <row r="131" spans="2:12" x14ac:dyDescent="0.35">
      <c r="B131" s="339" t="str">
        <f>'קיזוזים בגין איחורים'!B131</f>
        <v/>
      </c>
      <c r="C131" s="339" t="str">
        <f>'קיזוזים בגין איחורים'!C131</f>
        <v/>
      </c>
      <c r="D131" s="453" t="str">
        <f>'קיזוזים בגין איחורים'!H131</f>
        <v/>
      </c>
      <c r="E131" s="562"/>
      <c r="F131" s="455" t="str">
        <f t="shared" ref="F131:F142" si="15">IF($C131="","",IF(E131&gt;D131,$N$1,D131-E131))</f>
        <v/>
      </c>
      <c r="G131" s="455" t="str">
        <f t="shared" si="11"/>
        <v/>
      </c>
      <c r="I131" s="451" t="str">
        <f t="shared" si="12"/>
        <v/>
      </c>
      <c r="J131" s="451" t="str">
        <f>IF($C131="","",IFERROR(IF('קיזוזים בגין איחורים'!E131=0,0,1),0))</f>
        <v/>
      </c>
      <c r="K131" s="451" t="str">
        <f t="shared" si="13"/>
        <v/>
      </c>
      <c r="L131" s="451" t="str">
        <f t="shared" si="14"/>
        <v/>
      </c>
    </row>
    <row r="132" spans="2:12" x14ac:dyDescent="0.35">
      <c r="B132" s="339" t="str">
        <f>'קיזוזים בגין איחורים'!B132</f>
        <v/>
      </c>
      <c r="C132" s="339" t="str">
        <f>'קיזוזים בגין איחורים'!C132</f>
        <v/>
      </c>
      <c r="D132" s="453" t="str">
        <f>'קיזוזים בגין איחורים'!H132</f>
        <v/>
      </c>
      <c r="E132" s="562"/>
      <c r="F132" s="455" t="str">
        <f t="shared" si="15"/>
        <v/>
      </c>
      <c r="G132" s="455" t="str">
        <f t="shared" si="11"/>
        <v/>
      </c>
      <c r="I132" s="451" t="str">
        <f t="shared" si="12"/>
        <v/>
      </c>
      <c r="J132" s="451" t="str">
        <f>IF($C132="","",IFERROR(IF('קיזוזים בגין איחורים'!E132=0,0,1),0))</f>
        <v/>
      </c>
      <c r="K132" s="451" t="str">
        <f t="shared" si="13"/>
        <v/>
      </c>
      <c r="L132" s="451" t="str">
        <f t="shared" si="14"/>
        <v/>
      </c>
    </row>
    <row r="133" spans="2:12" x14ac:dyDescent="0.35">
      <c r="B133" s="339" t="str">
        <f>'קיזוזים בגין איחורים'!B133</f>
        <v/>
      </c>
      <c r="C133" s="339" t="str">
        <f>'קיזוזים בגין איחורים'!C133</f>
        <v/>
      </c>
      <c r="D133" s="453" t="str">
        <f>'קיזוזים בגין איחורים'!H133</f>
        <v/>
      </c>
      <c r="E133" s="562"/>
      <c r="F133" s="455" t="str">
        <f t="shared" si="15"/>
        <v/>
      </c>
      <c r="G133" s="455" t="str">
        <f t="shared" si="11"/>
        <v/>
      </c>
      <c r="I133" s="451" t="str">
        <f t="shared" si="12"/>
        <v/>
      </c>
      <c r="J133" s="451" t="str">
        <f>IF($C133="","",IFERROR(IF('קיזוזים בגין איחורים'!E133=0,0,1),0))</f>
        <v/>
      </c>
      <c r="K133" s="451" t="str">
        <f t="shared" si="13"/>
        <v/>
      </c>
      <c r="L133" s="451" t="str">
        <f t="shared" si="14"/>
        <v/>
      </c>
    </row>
    <row r="134" spans="2:12" x14ac:dyDescent="0.35">
      <c r="B134" s="339" t="str">
        <f>'קיזוזים בגין איחורים'!B134</f>
        <v/>
      </c>
      <c r="C134" s="339" t="str">
        <f>'קיזוזים בגין איחורים'!C134</f>
        <v/>
      </c>
      <c r="D134" s="453" t="str">
        <f>'קיזוזים בגין איחורים'!H134</f>
        <v/>
      </c>
      <c r="E134" s="562"/>
      <c r="F134" s="455" t="str">
        <f t="shared" si="15"/>
        <v/>
      </c>
      <c r="G134" s="455" t="str">
        <f t="shared" si="11"/>
        <v/>
      </c>
      <c r="I134" s="451" t="str">
        <f t="shared" si="12"/>
        <v/>
      </c>
      <c r="J134" s="451" t="str">
        <f>IF($C134="","",IFERROR(IF('קיזוזים בגין איחורים'!E134=0,0,1),0))</f>
        <v/>
      </c>
      <c r="K134" s="451" t="str">
        <f t="shared" si="13"/>
        <v/>
      </c>
      <c r="L134" s="451" t="str">
        <f t="shared" si="14"/>
        <v/>
      </c>
    </row>
    <row r="135" spans="2:12" x14ac:dyDescent="0.35">
      <c r="B135" s="339">
        <f>'קיזוזים בגין איחורים'!B135</f>
        <v>105</v>
      </c>
      <c r="C135" s="339" t="str">
        <f>'קיזוזים בגין איחורים'!C135</f>
        <v>מורן אברג'ל יצחקי</v>
      </c>
      <c r="D135" s="453">
        <f>'קיזוזים בגין איחורים'!H135</f>
        <v>45808.852076211027</v>
      </c>
      <c r="E135" s="562"/>
      <c r="F135" s="455">
        <f t="shared" si="15"/>
        <v>45808.852076211027</v>
      </c>
      <c r="G135" s="455">
        <f t="shared" si="11"/>
        <v>45808.852076211027</v>
      </c>
      <c r="I135" s="451">
        <f t="shared" si="12"/>
        <v>0</v>
      </c>
      <c r="J135" s="451">
        <f>IF($C135="","",IFERROR(IF('קיזוזים בגין איחורים'!E135=0,0,1),0))</f>
        <v>0</v>
      </c>
      <c r="K135" s="451">
        <f t="shared" si="13"/>
        <v>0</v>
      </c>
      <c r="L135" s="451">
        <f t="shared" si="14"/>
        <v>0</v>
      </c>
    </row>
    <row r="136" spans="2:12" x14ac:dyDescent="0.35">
      <c r="B136" s="339">
        <f>'קיזוזים בגין איחורים'!B136</f>
        <v>106</v>
      </c>
      <c r="C136" s="339" t="str">
        <f>'קיזוזים בגין איחורים'!C136</f>
        <v>מיכל בן צבי</v>
      </c>
      <c r="D136" s="453">
        <f>'קיזוזים בגין איחורים'!H136</f>
        <v>60622.0931749464</v>
      </c>
      <c r="E136" s="562"/>
      <c r="F136" s="455">
        <f t="shared" si="15"/>
        <v>60622.0931749464</v>
      </c>
      <c r="G136" s="455">
        <f t="shared" si="11"/>
        <v>60622.0931749464</v>
      </c>
      <c r="I136" s="451">
        <f t="shared" si="12"/>
        <v>0</v>
      </c>
      <c r="J136" s="451">
        <f>IF($C136="","",IFERROR(IF('קיזוזים בגין איחורים'!E136=0,0,1),0))</f>
        <v>0</v>
      </c>
      <c r="K136" s="451">
        <f t="shared" si="13"/>
        <v>0</v>
      </c>
      <c r="L136" s="451">
        <f t="shared" si="14"/>
        <v>0</v>
      </c>
    </row>
    <row r="137" spans="2:12" x14ac:dyDescent="0.35">
      <c r="B137" s="339">
        <f>'קיזוזים בגין איחורים'!B137</f>
        <v>107</v>
      </c>
      <c r="C137" s="339" t="str">
        <f>'קיזוזים בגין איחורים'!C137</f>
        <v>מיקה קופפר</v>
      </c>
      <c r="D137" s="453">
        <f>'קיזוזים בגין איחורים'!H137</f>
        <v>58515.252495622175</v>
      </c>
      <c r="E137" s="562"/>
      <c r="F137" s="455">
        <f t="shared" si="15"/>
        <v>58515.252495622175</v>
      </c>
      <c r="G137" s="455">
        <f t="shared" si="11"/>
        <v>58515.252495622175</v>
      </c>
      <c r="I137" s="451">
        <f t="shared" si="12"/>
        <v>0</v>
      </c>
      <c r="J137" s="451">
        <f>IF($C137="","",IFERROR(IF('קיזוזים בגין איחורים'!E137=0,0,1),0))</f>
        <v>0</v>
      </c>
      <c r="K137" s="451">
        <f t="shared" si="13"/>
        <v>0</v>
      </c>
      <c r="L137" s="451">
        <f t="shared" si="14"/>
        <v>0</v>
      </c>
    </row>
    <row r="138" spans="2:12" x14ac:dyDescent="0.35">
      <c r="B138" s="339" t="str">
        <f>'קיזוזים בגין איחורים'!B138</f>
        <v/>
      </c>
      <c r="C138" s="339" t="str">
        <f>'קיזוזים בגין איחורים'!C138</f>
        <v/>
      </c>
      <c r="D138" s="453" t="str">
        <f>'קיזוזים בגין איחורים'!H138</f>
        <v/>
      </c>
      <c r="E138" s="562"/>
      <c r="F138" s="455" t="str">
        <f t="shared" si="15"/>
        <v/>
      </c>
      <c r="G138" s="455" t="str">
        <f t="shared" si="11"/>
        <v/>
      </c>
      <c r="I138" s="451" t="str">
        <f t="shared" si="12"/>
        <v/>
      </c>
      <c r="J138" s="451" t="str">
        <f>IF($C138="","",IFERROR(IF('קיזוזים בגין איחורים'!E138=0,0,1),0))</f>
        <v/>
      </c>
      <c r="K138" s="451" t="str">
        <f t="shared" si="13"/>
        <v/>
      </c>
      <c r="L138" s="451" t="str">
        <f t="shared" si="14"/>
        <v/>
      </c>
    </row>
    <row r="139" spans="2:12" x14ac:dyDescent="0.35">
      <c r="B139" s="339">
        <f>'קיזוזים בגין איחורים'!B139</f>
        <v>109</v>
      </c>
      <c r="C139" s="339" t="str">
        <f>'קיזוזים בגין איחורים'!C139</f>
        <v>נועה שילה</v>
      </c>
      <c r="D139" s="453">
        <f>'קיזוזים בגין איחורים'!H139</f>
        <v>56320.524973865584</v>
      </c>
      <c r="E139" s="562"/>
      <c r="F139" s="455">
        <f t="shared" si="15"/>
        <v>56320.524973865584</v>
      </c>
      <c r="G139" s="455">
        <f t="shared" si="11"/>
        <v>56320.524973865584</v>
      </c>
      <c r="I139" s="451">
        <f t="shared" si="12"/>
        <v>0</v>
      </c>
      <c r="J139" s="451">
        <f>IF($C139="","",IFERROR(IF('קיזוזים בגין איחורים'!E139=0,0,1),0))</f>
        <v>0</v>
      </c>
      <c r="K139" s="451">
        <f t="shared" si="13"/>
        <v>0</v>
      </c>
      <c r="L139" s="451">
        <f t="shared" si="14"/>
        <v>0</v>
      </c>
    </row>
    <row r="140" spans="2:12" x14ac:dyDescent="0.35">
      <c r="B140" s="339" t="str">
        <f>'קיזוזים בגין איחורים'!B140</f>
        <v/>
      </c>
      <c r="C140" s="339" t="str">
        <f>'קיזוזים בגין איחורים'!C140</f>
        <v/>
      </c>
      <c r="D140" s="453" t="str">
        <f>'קיזוזים בגין איחורים'!H140</f>
        <v/>
      </c>
      <c r="E140" s="562"/>
      <c r="F140" s="455" t="str">
        <f t="shared" si="15"/>
        <v/>
      </c>
      <c r="G140" s="455" t="str">
        <f t="shared" si="11"/>
        <v/>
      </c>
      <c r="I140" s="451" t="str">
        <f t="shared" si="12"/>
        <v/>
      </c>
      <c r="J140" s="451" t="str">
        <f>IF($C140="","",IFERROR(IF('קיזוזים בגין איחורים'!E140=0,0,1),0))</f>
        <v/>
      </c>
      <c r="K140" s="451" t="str">
        <f t="shared" si="13"/>
        <v/>
      </c>
      <c r="L140" s="451" t="str">
        <f t="shared" si="14"/>
        <v/>
      </c>
    </row>
    <row r="141" spans="2:12" x14ac:dyDescent="0.35">
      <c r="B141" s="339">
        <f>'קיזוזים בגין איחורים'!B141</f>
        <v>111</v>
      </c>
      <c r="C141" s="339" t="str">
        <f>'קיזוזים בגין איחורים'!C141</f>
        <v>עדי בוטרוס אמנויות הבמה (ע"ר)</v>
      </c>
      <c r="D141" s="453">
        <f>'קיזוזים בגין איחורים'!H141</f>
        <v>100645.73096221809</v>
      </c>
      <c r="E141" s="562"/>
      <c r="F141" s="455">
        <f t="shared" si="15"/>
        <v>100645.73096221809</v>
      </c>
      <c r="G141" s="455">
        <f t="shared" si="11"/>
        <v>100645.73096221809</v>
      </c>
      <c r="I141" s="451">
        <f t="shared" si="12"/>
        <v>0</v>
      </c>
      <c r="J141" s="451">
        <f>IF($C141="","",IFERROR(IF('קיזוזים בגין איחורים'!E141=0,0,1),0))</f>
        <v>0</v>
      </c>
      <c r="K141" s="451">
        <f t="shared" si="13"/>
        <v>0</v>
      </c>
      <c r="L141" s="451">
        <f t="shared" si="14"/>
        <v>0</v>
      </c>
    </row>
    <row r="142" spans="2:12" ht="21.75" thickBot="1" x14ac:dyDescent="0.4">
      <c r="B142" s="339" t="str">
        <f>'קיזוזים בגין איחורים'!B142</f>
        <v/>
      </c>
      <c r="C142" s="339" t="str">
        <f>'קיזוזים בגין איחורים'!C142</f>
        <v/>
      </c>
      <c r="D142" s="453" t="str">
        <f>'קיזוזים בגין איחורים'!H142</f>
        <v/>
      </c>
      <c r="E142" s="562"/>
      <c r="F142" s="455" t="str">
        <f t="shared" si="15"/>
        <v/>
      </c>
      <c r="G142" s="455" t="str">
        <f t="shared" si="11"/>
        <v/>
      </c>
      <c r="I142" s="451" t="str">
        <f t="shared" si="12"/>
        <v/>
      </c>
      <c r="J142" s="451" t="str">
        <f>IF($C142="","",IFERROR(IF('קיזוזים בגין איחורים'!E142=0,0,1),0))</f>
        <v/>
      </c>
      <c r="K142" s="451" t="str">
        <f t="shared" si="13"/>
        <v/>
      </c>
      <c r="L142" s="451" t="str">
        <f t="shared" si="14"/>
        <v/>
      </c>
    </row>
    <row r="143" spans="2:12" ht="21.75" thickBot="1" x14ac:dyDescent="0.4">
      <c r="B143" s="912" t="s">
        <v>41</v>
      </c>
      <c r="C143" s="913"/>
      <c r="D143" s="563">
        <f>SUM(D31:D142)</f>
        <v>8082763.9999999981</v>
      </c>
      <c r="E143" s="563">
        <f>SUM(E31:E142)</f>
        <v>0</v>
      </c>
      <c r="F143" s="563">
        <f>SUM(F31:F142)</f>
        <v>8082763.9999999981</v>
      </c>
      <c r="G143" s="563">
        <f>SUM(G31:G142)</f>
        <v>8082763.9999999981</v>
      </c>
    </row>
  </sheetData>
  <sheetProtection algorithmName="SHA-512" hashValue="MeirB0qktR4g3Pe88aym7LzsNWfqGfm9aCMiAnQm75wPbs4/5X9Ztq9dG2yJVpKESgj4qJt1pVY5h9dad6dpYA==" saltValue="xXSNTnXGDSQWjIRTy8PpJw==" spinCount="100000" sheet="1" scenarios="1" formatColumns="0" formatRows="0" autoFilter="0"/>
  <mergeCells count="12">
    <mergeCell ref="B28:G28"/>
    <mergeCell ref="B29:B30"/>
    <mergeCell ref="C29:C30"/>
    <mergeCell ref="D29:D30"/>
    <mergeCell ref="E29:E30"/>
    <mergeCell ref="F29:F30"/>
    <mergeCell ref="G29:G30"/>
    <mergeCell ref="I29:I30"/>
    <mergeCell ref="J29:J30"/>
    <mergeCell ref="K29:K30"/>
    <mergeCell ref="L29:L30"/>
    <mergeCell ref="B143:C143"/>
  </mergeCells>
  <conditionalFormatting sqref="B31:D142">
    <cfRule type="containsBlanks" dxfId="15" priority="6">
      <formula>LEN(TRIM(B31))=0</formula>
    </cfRule>
  </conditionalFormatting>
  <conditionalFormatting sqref="C1:C2">
    <cfRule type="containsBlanks" dxfId="14" priority="2">
      <formula>LEN(TRIM(C1))=0</formula>
    </cfRule>
  </conditionalFormatting>
  <conditionalFormatting sqref="E31:E142">
    <cfRule type="expression" dxfId="13" priority="4">
      <formula>AND($C31="",E31&lt;&gt;"")</formula>
    </cfRule>
    <cfRule type="expression" dxfId="12" priority="5">
      <formula>$C31&lt;&gt;""</formula>
    </cfRule>
  </conditionalFormatting>
  <conditionalFormatting sqref="F31:G142">
    <cfRule type="containsBlanks" dxfId="11" priority="1">
      <formula>LEN(TRIM(F31))=0</formula>
    </cfRule>
  </conditionalFormatting>
  <printOptions horizontalCentered="1"/>
  <pageMargins left="0.51181102362204722" right="0.51181102362204722" top="0.74803149606299213" bottom="0.74803149606299213" header="0.31496062992125984" footer="0.31496062992125984"/>
  <pageSetup paperSize="9" scale="62" fitToHeight="0" orientation="portrait" horizontalDpi="1200" verticalDpi="1200" r:id="rId1"/>
  <headerFooter>
    <oddHeader>&amp;C&amp;"-,מודגש"&amp;Uמבחנים לתמיכה של משרד התרבות והספורט</oddHeader>
    <oddFooter>&amp;Lא. חפץ ושות'
יעוץ כלכלי&amp;C&amp;P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14">
    <tabColor theme="8" tint="-0.249977111117893"/>
    <pageSetUpPr fitToPage="1"/>
  </sheetPr>
  <dimension ref="B1:X133"/>
  <sheetViews>
    <sheetView rightToLeft="1" view="pageBreakPreview" zoomScale="80" zoomScaleNormal="100" zoomScaleSheetLayoutView="80" workbookViewId="0">
      <pane xSplit="3" ySplit="20" topLeftCell="D21" activePane="bottomRight" state="frozen"/>
      <selection pane="topRight" activeCell="E1" sqref="E1:E2"/>
      <selection pane="bottomLeft" activeCell="E1" sqref="E1:E2"/>
      <selection pane="bottomRight" activeCell="D21" sqref="D21"/>
    </sheetView>
  </sheetViews>
  <sheetFormatPr defaultColWidth="9.140625" defaultRowHeight="15.75" x14ac:dyDescent="0.25"/>
  <cols>
    <col min="1" max="1" width="5.7109375" style="184" customWidth="1"/>
    <col min="2" max="2" width="14.85546875" style="184" customWidth="1"/>
    <col min="3" max="5" width="35.7109375" style="184" customWidth="1"/>
    <col min="6" max="10" width="27.42578125" style="184" customWidth="1"/>
    <col min="11" max="22" width="27.42578125" style="184" hidden="1" customWidth="1"/>
    <col min="23" max="23" width="28.28515625" style="184" customWidth="1"/>
    <col min="24" max="24" width="16.28515625" style="184" customWidth="1"/>
    <col min="25" max="16384" width="9.140625" style="184"/>
  </cols>
  <sheetData>
    <row r="1" spans="2:5" ht="18.75" x14ac:dyDescent="0.25">
      <c r="B1" s="100" t="str">
        <f>'פרמטרים לעקרונות חישוב התמיכה'!$B$1</f>
        <v>שנה</v>
      </c>
      <c r="C1" s="13">
        <f>'פרמטרים לעקרונות חישוב התמיכה'!$C$1</f>
        <v>2025</v>
      </c>
      <c r="D1" s="15"/>
      <c r="E1" s="15"/>
    </row>
    <row r="2" spans="2:5" ht="38.25" thickBot="1" x14ac:dyDescent="0.3">
      <c r="B2" s="101" t="str">
        <f>'פרמטרים לעקרונות חישוב התמיכה'!$B$2</f>
        <v>תקציב התמיכה</v>
      </c>
      <c r="C2" s="14">
        <f>'פרמטרים לעקרונות חישוב התמיכה'!$C$2</f>
        <v>8082764</v>
      </c>
      <c r="D2" s="16"/>
      <c r="E2" s="16"/>
    </row>
    <row r="3" spans="2:5" x14ac:dyDescent="0.25">
      <c r="B3" s="16"/>
      <c r="C3" s="16"/>
      <c r="D3" s="16"/>
      <c r="E3" s="16"/>
    </row>
    <row r="4" spans="2:5" x14ac:dyDescent="0.25">
      <c r="B4" s="16"/>
      <c r="C4" s="16"/>
      <c r="D4" s="16"/>
      <c r="E4" s="16"/>
    </row>
    <row r="5" spans="2:5" hidden="1" x14ac:dyDescent="0.25">
      <c r="B5" s="16"/>
      <c r="C5" s="16"/>
      <c r="D5" s="16"/>
      <c r="E5" s="16"/>
    </row>
    <row r="6" spans="2:5" hidden="1" x14ac:dyDescent="0.25">
      <c r="B6" s="16"/>
      <c r="C6" s="16"/>
      <c r="D6" s="16"/>
      <c r="E6" s="16"/>
    </row>
    <row r="7" spans="2:5" hidden="1" x14ac:dyDescent="0.25">
      <c r="B7" s="16"/>
      <c r="C7" s="16"/>
      <c r="D7" s="16"/>
      <c r="E7" s="16"/>
    </row>
    <row r="8" spans="2:5" hidden="1" x14ac:dyDescent="0.25">
      <c r="B8" s="16"/>
      <c r="C8" s="16"/>
      <c r="D8" s="16"/>
      <c r="E8" s="16"/>
    </row>
    <row r="9" spans="2:5" hidden="1" x14ac:dyDescent="0.25">
      <c r="B9" s="16"/>
      <c r="C9" s="16"/>
      <c r="D9" s="16"/>
      <c r="E9" s="16"/>
    </row>
    <row r="10" spans="2:5" hidden="1" x14ac:dyDescent="0.25">
      <c r="B10" s="16"/>
      <c r="C10" s="16"/>
      <c r="D10" s="16"/>
      <c r="E10" s="16"/>
    </row>
    <row r="11" spans="2:5" hidden="1" x14ac:dyDescent="0.25">
      <c r="B11" s="16"/>
      <c r="C11" s="16"/>
      <c r="D11" s="16"/>
      <c r="E11" s="16"/>
    </row>
    <row r="12" spans="2:5" hidden="1" x14ac:dyDescent="0.25">
      <c r="B12" s="16"/>
      <c r="C12" s="16"/>
      <c r="D12" s="16"/>
      <c r="E12" s="16"/>
    </row>
    <row r="13" spans="2:5" hidden="1" x14ac:dyDescent="0.25">
      <c r="B13" s="16"/>
      <c r="C13" s="16"/>
      <c r="D13" s="16"/>
      <c r="E13" s="16"/>
    </row>
    <row r="14" spans="2:5" hidden="1" x14ac:dyDescent="0.25">
      <c r="B14" s="16"/>
      <c r="C14" s="16"/>
      <c r="D14" s="16"/>
      <c r="E14" s="16"/>
    </row>
    <row r="15" spans="2:5" hidden="1" x14ac:dyDescent="0.25">
      <c r="B15" s="16"/>
      <c r="C15" s="16"/>
      <c r="D15" s="16"/>
      <c r="E15" s="16"/>
    </row>
    <row r="16" spans="2:5" hidden="1" x14ac:dyDescent="0.25">
      <c r="B16" s="16"/>
      <c r="C16" s="16"/>
      <c r="D16" s="16"/>
      <c r="E16" s="16"/>
    </row>
    <row r="17" spans="2:24" ht="16.5" thickBot="1" x14ac:dyDescent="0.3">
      <c r="B17" s="16"/>
      <c r="C17" s="16"/>
      <c r="D17" s="16"/>
      <c r="E17" s="16"/>
    </row>
    <row r="18" spans="2:24" ht="19.5" thickBot="1" x14ac:dyDescent="0.3">
      <c r="B18" s="893" t="str">
        <f ca="1">MID(CELL("filename",B19),FIND("]",CELL("filename",C19),1)+1,99)</f>
        <v>הגבלה לסכום מבוקש (2)</v>
      </c>
      <c r="C18" s="894"/>
      <c r="D18" s="894"/>
      <c r="E18" s="894"/>
      <c r="F18" s="894"/>
      <c r="G18" s="894"/>
      <c r="H18" s="894"/>
      <c r="I18" s="894"/>
      <c r="J18" s="894"/>
      <c r="K18" s="894"/>
      <c r="L18" s="894"/>
      <c r="M18" s="894"/>
      <c r="N18" s="894"/>
      <c r="O18" s="894"/>
      <c r="P18" s="894"/>
      <c r="Q18" s="894"/>
      <c r="R18" s="894"/>
      <c r="S18" s="894"/>
      <c r="T18" s="894"/>
      <c r="U18" s="894"/>
      <c r="V18" s="894"/>
      <c r="W18" s="894"/>
      <c r="X18" s="895"/>
    </row>
    <row r="19" spans="2:24" s="186" customFormat="1" ht="19.5" customHeight="1" x14ac:dyDescent="0.25">
      <c r="B19" s="896" t="s">
        <v>206</v>
      </c>
      <c r="C19" s="820" t="s">
        <v>98</v>
      </c>
      <c r="D19" s="898" t="s">
        <v>330</v>
      </c>
      <c r="E19" s="898" t="s">
        <v>360</v>
      </c>
      <c r="F19" s="898" t="s">
        <v>361</v>
      </c>
      <c r="G19" s="898" t="s">
        <v>331</v>
      </c>
      <c r="H19" s="898" t="s">
        <v>332</v>
      </c>
      <c r="I19" s="898" t="s">
        <v>333</v>
      </c>
      <c r="J19" s="898" t="s">
        <v>334</v>
      </c>
      <c r="K19" s="185"/>
      <c r="L19" s="185"/>
      <c r="M19" s="185"/>
      <c r="N19" s="185"/>
      <c r="O19" s="185"/>
      <c r="P19" s="185"/>
      <c r="Q19" s="185"/>
      <c r="R19" s="185"/>
      <c r="S19" s="185"/>
      <c r="T19" s="185"/>
      <c r="U19" s="185"/>
      <c r="V19" s="185"/>
      <c r="W19" s="898" t="s">
        <v>362</v>
      </c>
      <c r="X19" s="900" t="s">
        <v>63</v>
      </c>
    </row>
    <row r="20" spans="2:24" s="186" customFormat="1" ht="54" customHeight="1" thickBot="1" x14ac:dyDescent="0.3">
      <c r="B20" s="897"/>
      <c r="C20" s="844"/>
      <c r="D20" s="899"/>
      <c r="E20" s="899"/>
      <c r="F20" s="899"/>
      <c r="G20" s="899"/>
      <c r="H20" s="899"/>
      <c r="I20" s="899"/>
      <c r="J20" s="899"/>
      <c r="K20" s="187" t="s">
        <v>336</v>
      </c>
      <c r="L20" s="187" t="s">
        <v>337</v>
      </c>
      <c r="M20" s="187" t="s">
        <v>338</v>
      </c>
      <c r="N20" s="187" t="s">
        <v>339</v>
      </c>
      <c r="O20" s="187" t="s">
        <v>340</v>
      </c>
      <c r="P20" s="187" t="s">
        <v>341</v>
      </c>
      <c r="Q20" s="187" t="s">
        <v>342</v>
      </c>
      <c r="R20" s="187" t="s">
        <v>343</v>
      </c>
      <c r="S20" s="187" t="s">
        <v>344</v>
      </c>
      <c r="T20" s="187" t="s">
        <v>345</v>
      </c>
      <c r="U20" s="187" t="s">
        <v>346</v>
      </c>
      <c r="V20" s="187" t="s">
        <v>347</v>
      </c>
      <c r="W20" s="899"/>
      <c r="X20" s="901"/>
    </row>
    <row r="21" spans="2:24" s="186" customFormat="1" x14ac:dyDescent="0.25">
      <c r="B21" s="156">
        <f>IF(C21="","",ROW()-20)</f>
        <v>1</v>
      </c>
      <c r="C21" s="127" t="str">
        <f>'קיזוזים- החלטות ועדה'!C31</f>
        <v>סילביה דוראן</v>
      </c>
      <c r="D21" s="190">
        <f>IF(C21="","",'הגבלה לסכום מבוקש (1)'!D21)</f>
        <v>295000</v>
      </c>
      <c r="E21" s="190">
        <f>IF(C21="","",'קיזוזים בגין איחורים'!F31+'קיזוזים- החלטות ועדה'!E31)</f>
        <v>0</v>
      </c>
      <c r="F21" s="181">
        <f>IF($C21="","",D21-E21)</f>
        <v>295000</v>
      </c>
      <c r="G21" s="181">
        <f>'קיזוזים- החלטות ועדה'!G31</f>
        <v>20481.93644286284</v>
      </c>
      <c r="H21" s="140">
        <f>IF(C21="","",IF(G21&gt;$F21,1,0))</f>
        <v>0</v>
      </c>
      <c r="I21" s="181">
        <f>IF($C21="","",MIN(F21:G21))</f>
        <v>20481.93644286284</v>
      </c>
      <c r="J21" s="181">
        <f t="shared" ref="J21:J52" si="0">IF($C21="","",IF(H21=1,I21,I21/SUMIF(H$21:H$132,0,I$21:I$132)*($C$2-SUMIF(H$21:H$132,1,I$21:I$132))))</f>
        <v>20481.936442862843</v>
      </c>
      <c r="K21" s="188">
        <f>IF(OR(J21&gt;$F21,$H21=1),1,0)</f>
        <v>0</v>
      </c>
      <c r="L21" s="189">
        <f>IF($C21="","",MIN(J21,$F21))</f>
        <v>20481.936442862843</v>
      </c>
      <c r="M21" s="189">
        <f t="shared" ref="M21:M52" si="1">IF($C21="","",IF(K21=1,L21,L21/SUMIF(K$21:K$132,0,L$21:L$132)*($C$2-SUMIF(K$21:K$132,1,L$21:L$132))))</f>
        <v>20481.93644286284</v>
      </c>
      <c r="N21" s="188">
        <f>IF(OR(M21&gt;$F21,$H21=1,$K21=1),1,0)</f>
        <v>0</v>
      </c>
      <c r="O21" s="189">
        <f>IF($C21="","",MIN(M21,$F21))</f>
        <v>20481.93644286284</v>
      </c>
      <c r="P21" s="189">
        <f t="shared" ref="P21:P52" si="2">IF($C21="","",IF(N21=1,O21,O21/SUMIF(N$21:N$132,0,O$21:O$132)*($C$2-SUMIF(N$21:N$132,1,O$21:O$132))))</f>
        <v>20481.936442862843</v>
      </c>
      <c r="Q21" s="188">
        <f>IF(OR(P21&gt;$F21,$H21=1,$K21=1,$N21=1),1,0)</f>
        <v>0</v>
      </c>
      <c r="R21" s="189">
        <f>IF($C21="","",MIN(P21,$F21))</f>
        <v>20481.936442862843</v>
      </c>
      <c r="S21" s="189">
        <f t="shared" ref="S21:S52" si="3">IF($C21="","",IF(Q21=2,R21,IF(Q21=1,R21,R21/SUMIF(Q$21:Q$132,0,R$21:R$132)*($C$2-SUMIF(Q$21:Q$132,1,R$21:R$132)-SUMIF(Q$21:Q$132,2,R$21:R$132)))))</f>
        <v>20481.93644286284</v>
      </c>
      <c r="T21" s="188">
        <f>IF(OR(S21&gt;$F21,$H21=1,$K21=1,$N21=1,$Q21=1),1,0)</f>
        <v>0</v>
      </c>
      <c r="U21" s="189">
        <f>IF($C21="","",MIN(S21,$F21))</f>
        <v>20481.93644286284</v>
      </c>
      <c r="V21" s="189">
        <f t="shared" ref="V21:V52" si="4">IF($C21="","",IF(T21=2,U21,IF(T21=1,U21,U21/SUMIF(T$21:T$132,0,U$21:U$132)*($C$2-SUMIF(T$21:T$132,1,U$21:U$132)-SUMIF(T$21:T$132,2,U$21:U$132)))))</f>
        <v>20481.936442862843</v>
      </c>
      <c r="W21" s="180">
        <f>IFERROR(V21,0)</f>
        <v>20481.936442862843</v>
      </c>
      <c r="X21" s="129">
        <f t="shared" ref="X21:X52" si="5">IF(F21="","",IFERROR(W21/SUMIF($W$21:$W$132,"&lt;&gt;#DIV/0!"),0))</f>
        <v>2.5340262864117819E-3</v>
      </c>
    </row>
    <row r="22" spans="2:24" s="186" customFormat="1" x14ac:dyDescent="0.25">
      <c r="B22" s="156">
        <f t="shared" ref="B22:B85" si="6">IF(C22="","",ROW()-20)</f>
        <v>2</v>
      </c>
      <c r="C22" s="127" t="str">
        <f>'קיזוזים- החלטות ועדה'!C32</f>
        <v>רנה שינפלד</v>
      </c>
      <c r="D22" s="190">
        <f>IF(C22="","",'הגבלה לסכום מבוקש (1)'!D22)</f>
        <v>250000</v>
      </c>
      <c r="E22" s="190">
        <f>IF(C22="","",'קיזוזים בגין איחורים'!F32+'קיזוזים- החלטות ועדה'!E32)</f>
        <v>0</v>
      </c>
      <c r="F22" s="181">
        <f t="shared" ref="F22:F85" si="7">IF($C22="","",D22-E22)</f>
        <v>250000</v>
      </c>
      <c r="G22" s="181">
        <f>'קיזוזים- החלטות ועדה'!G32</f>
        <v>109814.96724117092</v>
      </c>
      <c r="H22" s="140">
        <f t="shared" ref="H22:H85" si="8">IF(C22="","",IF(G22&gt;$F22,1,0))</f>
        <v>0</v>
      </c>
      <c r="I22" s="181">
        <f t="shared" ref="I22:I85" si="9">IF($C22="","",MIN(F22:G22))</f>
        <v>109814.96724117092</v>
      </c>
      <c r="J22" s="181">
        <f t="shared" si="0"/>
        <v>109814.96724117095</v>
      </c>
      <c r="K22" s="188">
        <f t="shared" ref="K22:K85" si="10">IF(OR(J22&gt;$F22,$H22=1),1,0)</f>
        <v>0</v>
      </c>
      <c r="L22" s="189">
        <f t="shared" ref="L22:L85" si="11">IF($C22="","",MIN(J22,$F22))</f>
        <v>109814.96724117095</v>
      </c>
      <c r="M22" s="189">
        <f t="shared" si="1"/>
        <v>109814.96724117092</v>
      </c>
      <c r="N22" s="188">
        <f t="shared" ref="N22:N85" si="12">IF(OR(M22&gt;$F22,$H22=1,$K22=1),1,0)</f>
        <v>0</v>
      </c>
      <c r="O22" s="189">
        <f t="shared" ref="O22:O85" si="13">IF($C22="","",MIN(M22,$F22))</f>
        <v>109814.96724117092</v>
      </c>
      <c r="P22" s="189">
        <f t="shared" si="2"/>
        <v>109814.96724117095</v>
      </c>
      <c r="Q22" s="188">
        <f t="shared" ref="Q22:Q85" si="14">IF(OR(P22&gt;$F22,$H22=1,$K22=1,$N22=1),1,0)</f>
        <v>0</v>
      </c>
      <c r="R22" s="189">
        <f t="shared" ref="R22:R85" si="15">IF($C22="","",MIN(P22,$F22))</f>
        <v>109814.96724117095</v>
      </c>
      <c r="S22" s="189">
        <f t="shared" si="3"/>
        <v>109814.96724117092</v>
      </c>
      <c r="T22" s="188">
        <f t="shared" ref="T22:T85" si="16">IF(OR(S22&gt;$F22,$H22=1,$K22=1,$N22=1,$Q22=1),1,0)</f>
        <v>0</v>
      </c>
      <c r="U22" s="189">
        <f t="shared" ref="U22:U85" si="17">IF($C22="","",MIN(S22,$F22))</f>
        <v>109814.96724117092</v>
      </c>
      <c r="V22" s="189">
        <f t="shared" si="4"/>
        <v>109814.96724117095</v>
      </c>
      <c r="W22" s="180">
        <f t="shared" ref="W22:W85" si="18">IFERROR(V22,0)</f>
        <v>109814.96724117095</v>
      </c>
      <c r="X22" s="129">
        <f t="shared" si="5"/>
        <v>1.358631369679616E-2</v>
      </c>
    </row>
    <row r="23" spans="2:24" s="186" customFormat="1" x14ac:dyDescent="0.25">
      <c r="B23" s="156">
        <f t="shared" si="6"/>
        <v>3</v>
      </c>
      <c r="C23" s="127" t="str">
        <f>'קיזוזים- החלטות ועדה'!C33</f>
        <v>אבי קייזר וסרג'יו אנטוניניו</v>
      </c>
      <c r="D23" s="190">
        <f>IF(C23="","",'הגבלה לסכום מבוקש (1)'!D23)</f>
        <v>295000</v>
      </c>
      <c r="E23" s="190">
        <f>IF(C23="","",'קיזוזים בגין איחורים'!F33+'קיזוזים- החלטות ועדה'!E33)</f>
        <v>0</v>
      </c>
      <c r="F23" s="181">
        <f t="shared" si="7"/>
        <v>295000</v>
      </c>
      <c r="G23" s="181">
        <f>'קיזוזים- החלטות ועדה'!G33</f>
        <v>66612.832545115365</v>
      </c>
      <c r="H23" s="140">
        <f t="shared" si="8"/>
        <v>0</v>
      </c>
      <c r="I23" s="181">
        <f t="shared" si="9"/>
        <v>66612.832545115365</v>
      </c>
      <c r="J23" s="181">
        <f t="shared" si="0"/>
        <v>66612.83254511538</v>
      </c>
      <c r="K23" s="188">
        <f t="shared" si="10"/>
        <v>0</v>
      </c>
      <c r="L23" s="189">
        <f t="shared" si="11"/>
        <v>66612.83254511538</v>
      </c>
      <c r="M23" s="189">
        <f t="shared" si="1"/>
        <v>66612.832545115365</v>
      </c>
      <c r="N23" s="188">
        <f t="shared" si="12"/>
        <v>0</v>
      </c>
      <c r="O23" s="189">
        <f t="shared" si="13"/>
        <v>66612.832545115365</v>
      </c>
      <c r="P23" s="189">
        <f t="shared" si="2"/>
        <v>66612.83254511538</v>
      </c>
      <c r="Q23" s="188">
        <f t="shared" si="14"/>
        <v>0</v>
      </c>
      <c r="R23" s="189">
        <f t="shared" si="15"/>
        <v>66612.83254511538</v>
      </c>
      <c r="S23" s="189">
        <f t="shared" si="3"/>
        <v>66612.832545115365</v>
      </c>
      <c r="T23" s="188">
        <f t="shared" si="16"/>
        <v>0</v>
      </c>
      <c r="U23" s="189">
        <f t="shared" si="17"/>
        <v>66612.832545115365</v>
      </c>
      <c r="V23" s="189">
        <f t="shared" si="4"/>
        <v>66612.83254511538</v>
      </c>
      <c r="W23" s="180">
        <f t="shared" si="18"/>
        <v>66612.83254511538</v>
      </c>
      <c r="X23" s="129">
        <f t="shared" si="5"/>
        <v>8.2413432515307094E-3</v>
      </c>
    </row>
    <row r="24" spans="2:24" s="186" customFormat="1" x14ac:dyDescent="0.25">
      <c r="B24" s="156" t="str">
        <f t="shared" si="6"/>
        <v/>
      </c>
      <c r="C24" s="127" t="str">
        <f>'קיזוזים- החלטות ועדה'!C34</f>
        <v/>
      </c>
      <c r="D24" s="190" t="str">
        <f>IF(C24="","",'הגבלה לסכום מבוקש (1)'!D24)</f>
        <v/>
      </c>
      <c r="E24" s="190" t="str">
        <f>IF(C24="","",'קיזוזים בגין איחורים'!F34+'קיזוזים- החלטות ועדה'!E34)</f>
        <v/>
      </c>
      <c r="F24" s="181" t="str">
        <f t="shared" si="7"/>
        <v/>
      </c>
      <c r="G24" s="181" t="str">
        <f>'קיזוזים- החלטות ועדה'!G34</f>
        <v/>
      </c>
      <c r="H24" s="140" t="str">
        <f t="shared" si="8"/>
        <v/>
      </c>
      <c r="I24" s="181" t="str">
        <f t="shared" si="9"/>
        <v/>
      </c>
      <c r="J24" s="181" t="str">
        <f t="shared" si="0"/>
        <v/>
      </c>
      <c r="K24" s="188">
        <f t="shared" si="10"/>
        <v>0</v>
      </c>
      <c r="L24" s="189" t="str">
        <f t="shared" si="11"/>
        <v/>
      </c>
      <c r="M24" s="189" t="str">
        <f t="shared" si="1"/>
        <v/>
      </c>
      <c r="N24" s="188">
        <f t="shared" si="12"/>
        <v>0</v>
      </c>
      <c r="O24" s="189" t="str">
        <f t="shared" si="13"/>
        <v/>
      </c>
      <c r="P24" s="189" t="str">
        <f t="shared" si="2"/>
        <v/>
      </c>
      <c r="Q24" s="188">
        <f t="shared" si="14"/>
        <v>0</v>
      </c>
      <c r="R24" s="189" t="str">
        <f t="shared" si="15"/>
        <v/>
      </c>
      <c r="S24" s="189" t="str">
        <f t="shared" si="3"/>
        <v/>
      </c>
      <c r="T24" s="188">
        <f t="shared" si="16"/>
        <v>0</v>
      </c>
      <c r="U24" s="189" t="str">
        <f t="shared" si="17"/>
        <v/>
      </c>
      <c r="V24" s="189" t="str">
        <f t="shared" si="4"/>
        <v/>
      </c>
      <c r="W24" s="180" t="str">
        <f t="shared" si="18"/>
        <v/>
      </c>
      <c r="X24" s="129" t="str">
        <f t="shared" si="5"/>
        <v/>
      </c>
    </row>
    <row r="25" spans="2:24" s="186" customFormat="1" x14ac:dyDescent="0.25">
      <c r="B25" s="156">
        <f t="shared" si="6"/>
        <v>5</v>
      </c>
      <c r="C25" s="127" t="str">
        <f>'קיזוזים- החלטות ועדה'!C35</f>
        <v>אדוה ירמיהו</v>
      </c>
      <c r="D25" s="190">
        <f>IF(C25="","",'הגבלה לסכום מבוקש (1)'!D25)</f>
        <v>295000</v>
      </c>
      <c r="E25" s="190">
        <f>IF(C25="","",'קיזוזים בגין איחורים'!F35+'קיזוזים- החלטות ועדה'!E35)</f>
        <v>0</v>
      </c>
      <c r="F25" s="181">
        <f t="shared" si="7"/>
        <v>295000</v>
      </c>
      <c r="G25" s="181">
        <f>'קיזוזים- החלטות ועדה'!G35</f>
        <v>97426.027791732966</v>
      </c>
      <c r="H25" s="140">
        <f t="shared" si="8"/>
        <v>0</v>
      </c>
      <c r="I25" s="181">
        <f t="shared" si="9"/>
        <v>97426.027791732966</v>
      </c>
      <c r="J25" s="181">
        <f t="shared" si="0"/>
        <v>97426.027791732995</v>
      </c>
      <c r="K25" s="188">
        <f t="shared" si="10"/>
        <v>0</v>
      </c>
      <c r="L25" s="189">
        <f t="shared" si="11"/>
        <v>97426.027791732995</v>
      </c>
      <c r="M25" s="189">
        <f t="shared" si="1"/>
        <v>97426.02779173298</v>
      </c>
      <c r="N25" s="188">
        <f t="shared" si="12"/>
        <v>0</v>
      </c>
      <c r="O25" s="189">
        <f t="shared" si="13"/>
        <v>97426.02779173298</v>
      </c>
      <c r="P25" s="189">
        <f t="shared" si="2"/>
        <v>97426.027791732995</v>
      </c>
      <c r="Q25" s="188">
        <f t="shared" si="14"/>
        <v>0</v>
      </c>
      <c r="R25" s="189">
        <f t="shared" si="15"/>
        <v>97426.027791732995</v>
      </c>
      <c r="S25" s="189">
        <f t="shared" si="3"/>
        <v>97426.02779173298</v>
      </c>
      <c r="T25" s="188">
        <f t="shared" si="16"/>
        <v>0</v>
      </c>
      <c r="U25" s="189">
        <f t="shared" si="17"/>
        <v>97426.02779173298</v>
      </c>
      <c r="V25" s="189">
        <f t="shared" si="4"/>
        <v>97426.027791732995</v>
      </c>
      <c r="W25" s="180">
        <f t="shared" si="18"/>
        <v>97426.027791732995</v>
      </c>
      <c r="X25" s="129">
        <f t="shared" si="5"/>
        <v>1.2053553436885325E-2</v>
      </c>
    </row>
    <row r="26" spans="2:24" x14ac:dyDescent="0.25">
      <c r="B26" s="156">
        <f t="shared" si="6"/>
        <v>6</v>
      </c>
      <c r="C26" s="127" t="str">
        <f>'קיזוזים- החלטות ועדה'!C36</f>
        <v>אהרונה ישראל</v>
      </c>
      <c r="D26" s="190">
        <f>IF(C26="","",'הגבלה לסכום מבוקש (1)'!D26)</f>
        <v>295000</v>
      </c>
      <c r="E26" s="190">
        <f>IF(C26="","",'קיזוזים בגין איחורים'!F36+'קיזוזים- החלטות ועדה'!E36)</f>
        <v>0</v>
      </c>
      <c r="F26" s="181">
        <f t="shared" si="7"/>
        <v>295000</v>
      </c>
      <c r="G26" s="181">
        <f>'קיזוזים- החלטות ועדה'!G36</f>
        <v>52345.8939888596</v>
      </c>
      <c r="H26" s="140">
        <f t="shared" si="8"/>
        <v>0</v>
      </c>
      <c r="I26" s="181">
        <f t="shared" si="9"/>
        <v>52345.8939888596</v>
      </c>
      <c r="J26" s="181">
        <f t="shared" si="0"/>
        <v>52345.893988859607</v>
      </c>
      <c r="K26" s="188">
        <f t="shared" si="10"/>
        <v>0</v>
      </c>
      <c r="L26" s="189">
        <f t="shared" si="11"/>
        <v>52345.893988859607</v>
      </c>
      <c r="M26" s="189">
        <f t="shared" si="1"/>
        <v>52345.8939888596</v>
      </c>
      <c r="N26" s="188">
        <f t="shared" si="12"/>
        <v>0</v>
      </c>
      <c r="O26" s="189">
        <f t="shared" si="13"/>
        <v>52345.8939888596</v>
      </c>
      <c r="P26" s="189">
        <f t="shared" si="2"/>
        <v>52345.893988859607</v>
      </c>
      <c r="Q26" s="188">
        <f t="shared" si="14"/>
        <v>0</v>
      </c>
      <c r="R26" s="189">
        <f t="shared" si="15"/>
        <v>52345.893988859607</v>
      </c>
      <c r="S26" s="189">
        <f t="shared" si="3"/>
        <v>52345.8939888596</v>
      </c>
      <c r="T26" s="188">
        <f t="shared" si="16"/>
        <v>0</v>
      </c>
      <c r="U26" s="189">
        <f t="shared" si="17"/>
        <v>52345.8939888596</v>
      </c>
      <c r="V26" s="189">
        <f t="shared" si="4"/>
        <v>52345.893988859607</v>
      </c>
      <c r="W26" s="180">
        <f t="shared" si="18"/>
        <v>52345.893988859607</v>
      </c>
      <c r="X26" s="129">
        <f t="shared" si="5"/>
        <v>6.4762368403753464E-3</v>
      </c>
    </row>
    <row r="27" spans="2:24" x14ac:dyDescent="0.25">
      <c r="B27" s="156">
        <f t="shared" si="6"/>
        <v>7</v>
      </c>
      <c r="C27" s="127" t="str">
        <f>'קיזוזים- החלטות ועדה'!C37</f>
        <v>אופיר יודילביץ</v>
      </c>
      <c r="D27" s="190">
        <f>IF(C27="","",'הגבלה לסכום מבוקש (1)'!D27)</f>
        <v>295000</v>
      </c>
      <c r="E27" s="190">
        <f>IF(C27="","",'קיזוזים בגין איחורים'!F37+'קיזוזים- החלטות ועדה'!E37)</f>
        <v>0</v>
      </c>
      <c r="F27" s="181">
        <f t="shared" si="7"/>
        <v>295000</v>
      </c>
      <c r="G27" s="181">
        <f>'קיזוזים- החלטות ועדה'!G37</f>
        <v>114862.59201054431</v>
      </c>
      <c r="H27" s="140">
        <f t="shared" si="8"/>
        <v>0</v>
      </c>
      <c r="I27" s="181">
        <f t="shared" si="9"/>
        <v>114862.59201054431</v>
      </c>
      <c r="J27" s="181">
        <f t="shared" si="0"/>
        <v>114862.59201054432</v>
      </c>
      <c r="K27" s="188">
        <f t="shared" si="10"/>
        <v>0</v>
      </c>
      <c r="L27" s="189">
        <f t="shared" si="11"/>
        <v>114862.59201054432</v>
      </c>
      <c r="M27" s="189">
        <f t="shared" si="1"/>
        <v>114862.59201054431</v>
      </c>
      <c r="N27" s="188">
        <f t="shared" si="12"/>
        <v>0</v>
      </c>
      <c r="O27" s="189">
        <f t="shared" si="13"/>
        <v>114862.59201054431</v>
      </c>
      <c r="P27" s="189">
        <f t="shared" si="2"/>
        <v>114862.59201054432</v>
      </c>
      <c r="Q27" s="188">
        <f t="shared" si="14"/>
        <v>0</v>
      </c>
      <c r="R27" s="189">
        <f t="shared" si="15"/>
        <v>114862.59201054432</v>
      </c>
      <c r="S27" s="189">
        <f t="shared" si="3"/>
        <v>114862.59201054431</v>
      </c>
      <c r="T27" s="188">
        <f t="shared" si="16"/>
        <v>0</v>
      </c>
      <c r="U27" s="189">
        <f t="shared" si="17"/>
        <v>114862.59201054431</v>
      </c>
      <c r="V27" s="189">
        <f t="shared" si="4"/>
        <v>114862.59201054432</v>
      </c>
      <c r="W27" s="180">
        <f t="shared" si="18"/>
        <v>114862.59201054432</v>
      </c>
      <c r="X27" s="129">
        <f t="shared" si="5"/>
        <v>1.4210806106740751E-2</v>
      </c>
    </row>
    <row r="28" spans="2:24" x14ac:dyDescent="0.25">
      <c r="B28" s="156">
        <f t="shared" si="6"/>
        <v>8</v>
      </c>
      <c r="C28" s="127" t="str">
        <f>'קיזוזים- החלטות ועדה'!C38</f>
        <v>אור מרין ואורן נחום</v>
      </c>
      <c r="D28" s="190">
        <f>IF(C28="","",'הגבלה לסכום מבוקש (1)'!D28)</f>
        <v>295000</v>
      </c>
      <c r="E28" s="190">
        <f>IF(C28="","",'קיזוזים בגין איחורים'!F38+'קיזוזים- החלטות ועדה'!E38)</f>
        <v>0</v>
      </c>
      <c r="F28" s="181">
        <f t="shared" si="7"/>
        <v>295000</v>
      </c>
      <c r="G28" s="181">
        <f>'קיזוזים- החלטות ועדה'!G38</f>
        <v>93831.416403847645</v>
      </c>
      <c r="H28" s="140">
        <f t="shared" si="8"/>
        <v>0</v>
      </c>
      <c r="I28" s="181">
        <f t="shared" si="9"/>
        <v>93831.416403847645</v>
      </c>
      <c r="J28" s="181">
        <f t="shared" si="0"/>
        <v>93831.416403847674</v>
      </c>
      <c r="K28" s="188">
        <f t="shared" si="10"/>
        <v>0</v>
      </c>
      <c r="L28" s="189">
        <f t="shared" si="11"/>
        <v>93831.416403847674</v>
      </c>
      <c r="M28" s="189">
        <f t="shared" si="1"/>
        <v>93831.416403847659</v>
      </c>
      <c r="N28" s="188">
        <f t="shared" si="12"/>
        <v>0</v>
      </c>
      <c r="O28" s="189">
        <f t="shared" si="13"/>
        <v>93831.416403847659</v>
      </c>
      <c r="P28" s="189">
        <f t="shared" si="2"/>
        <v>93831.416403847688</v>
      </c>
      <c r="Q28" s="188">
        <f t="shared" si="14"/>
        <v>0</v>
      </c>
      <c r="R28" s="189">
        <f t="shared" si="15"/>
        <v>93831.416403847688</v>
      </c>
      <c r="S28" s="189">
        <f t="shared" si="3"/>
        <v>93831.416403847674</v>
      </c>
      <c r="T28" s="188">
        <f t="shared" si="16"/>
        <v>0</v>
      </c>
      <c r="U28" s="189">
        <f t="shared" si="17"/>
        <v>93831.416403847674</v>
      </c>
      <c r="V28" s="189">
        <f t="shared" si="4"/>
        <v>93831.416403847703</v>
      </c>
      <c r="W28" s="180">
        <f t="shared" si="18"/>
        <v>93831.416403847703</v>
      </c>
      <c r="X28" s="129">
        <f t="shared" si="5"/>
        <v>1.1608827921221958E-2</v>
      </c>
    </row>
    <row r="29" spans="2:24" x14ac:dyDescent="0.25">
      <c r="B29" s="156">
        <f t="shared" si="6"/>
        <v>9</v>
      </c>
      <c r="C29" s="127" t="str">
        <f>'קיזוזים- החלטות ועדה'!C39</f>
        <v>אורי שפיר</v>
      </c>
      <c r="D29" s="190">
        <f>IF(C29="","",'הגבלה לסכום מבוקש (1)'!D29)</f>
        <v>295000</v>
      </c>
      <c r="E29" s="190">
        <f>IF(C29="","",'קיזוזים בגין איחורים'!F39+'קיזוזים- החלטות ועדה'!E39)</f>
        <v>0</v>
      </c>
      <c r="F29" s="181">
        <f t="shared" si="7"/>
        <v>295000</v>
      </c>
      <c r="G29" s="181">
        <f>'קיזוזים- החלטות ועדה'!G39</f>
        <v>97444.123020957297</v>
      </c>
      <c r="H29" s="140">
        <f t="shared" si="8"/>
        <v>0</v>
      </c>
      <c r="I29" s="181">
        <f t="shared" si="9"/>
        <v>97444.123020957297</v>
      </c>
      <c r="J29" s="181">
        <f t="shared" si="0"/>
        <v>97444.123020957311</v>
      </c>
      <c r="K29" s="188">
        <f t="shared" si="10"/>
        <v>0</v>
      </c>
      <c r="L29" s="189">
        <f t="shared" si="11"/>
        <v>97444.123020957311</v>
      </c>
      <c r="M29" s="189">
        <f t="shared" si="1"/>
        <v>97444.123020957282</v>
      </c>
      <c r="N29" s="188">
        <f t="shared" si="12"/>
        <v>0</v>
      </c>
      <c r="O29" s="189">
        <f t="shared" si="13"/>
        <v>97444.123020957282</v>
      </c>
      <c r="P29" s="189">
        <f t="shared" si="2"/>
        <v>97444.123020957297</v>
      </c>
      <c r="Q29" s="188">
        <f t="shared" si="14"/>
        <v>0</v>
      </c>
      <c r="R29" s="189">
        <f t="shared" si="15"/>
        <v>97444.123020957297</v>
      </c>
      <c r="S29" s="189">
        <f t="shared" si="3"/>
        <v>97444.123020957268</v>
      </c>
      <c r="T29" s="188">
        <f t="shared" si="16"/>
        <v>0</v>
      </c>
      <c r="U29" s="189">
        <f t="shared" si="17"/>
        <v>97444.123020957268</v>
      </c>
      <c r="V29" s="189">
        <f t="shared" si="4"/>
        <v>97444.123020957282</v>
      </c>
      <c r="W29" s="180">
        <f t="shared" si="18"/>
        <v>97444.123020957282</v>
      </c>
      <c r="X29" s="129">
        <f t="shared" si="5"/>
        <v>1.2055792179625343E-2</v>
      </c>
    </row>
    <row r="30" spans="2:24" x14ac:dyDescent="0.25">
      <c r="B30" s="156">
        <f t="shared" si="6"/>
        <v>10</v>
      </c>
      <c r="C30" s="127" t="str">
        <f>'קיזוזים- החלטות ועדה'!C40</f>
        <v>אורלי פורטל</v>
      </c>
      <c r="D30" s="190">
        <f>IF(C30="","",'הגבלה לסכום מבוקש (1)'!D30)</f>
        <v>295000</v>
      </c>
      <c r="E30" s="190">
        <f>IF(C30="","",'קיזוזים בגין איחורים'!F40+'קיזוזים- החלטות ועדה'!E40)</f>
        <v>0</v>
      </c>
      <c r="F30" s="181">
        <f t="shared" si="7"/>
        <v>295000</v>
      </c>
      <c r="G30" s="181">
        <f>'קיזוזים- החלטות ועדה'!G40</f>
        <v>161399.68566352935</v>
      </c>
      <c r="H30" s="140">
        <f t="shared" si="8"/>
        <v>0</v>
      </c>
      <c r="I30" s="181">
        <f t="shared" si="9"/>
        <v>161399.68566352935</v>
      </c>
      <c r="J30" s="181">
        <f t="shared" si="0"/>
        <v>161399.68566352938</v>
      </c>
      <c r="K30" s="188">
        <f t="shared" si="10"/>
        <v>0</v>
      </c>
      <c r="L30" s="189">
        <f t="shared" si="11"/>
        <v>161399.68566352938</v>
      </c>
      <c r="M30" s="189">
        <f t="shared" si="1"/>
        <v>161399.68566352935</v>
      </c>
      <c r="N30" s="188">
        <f t="shared" si="12"/>
        <v>0</v>
      </c>
      <c r="O30" s="189">
        <f t="shared" si="13"/>
        <v>161399.68566352935</v>
      </c>
      <c r="P30" s="189">
        <f t="shared" si="2"/>
        <v>161399.68566352938</v>
      </c>
      <c r="Q30" s="188">
        <f t="shared" si="14"/>
        <v>0</v>
      </c>
      <c r="R30" s="189">
        <f t="shared" si="15"/>
        <v>161399.68566352938</v>
      </c>
      <c r="S30" s="189">
        <f t="shared" si="3"/>
        <v>161399.68566352935</v>
      </c>
      <c r="T30" s="188">
        <f t="shared" si="16"/>
        <v>0</v>
      </c>
      <c r="U30" s="189">
        <f t="shared" si="17"/>
        <v>161399.68566352935</v>
      </c>
      <c r="V30" s="189">
        <f t="shared" si="4"/>
        <v>161399.68566352938</v>
      </c>
      <c r="W30" s="180">
        <f t="shared" si="18"/>
        <v>161399.68566352938</v>
      </c>
      <c r="X30" s="129">
        <f t="shared" si="5"/>
        <v>1.9968377854843882E-2</v>
      </c>
    </row>
    <row r="31" spans="2:24" x14ac:dyDescent="0.25">
      <c r="B31" s="156" t="str">
        <f t="shared" si="6"/>
        <v/>
      </c>
      <c r="C31" s="127" t="str">
        <f>'קיזוזים- החלטות ועדה'!C41</f>
        <v/>
      </c>
      <c r="D31" s="190" t="str">
        <f>IF(C31="","",'הגבלה לסכום מבוקש (1)'!D31)</f>
        <v/>
      </c>
      <c r="E31" s="190" t="str">
        <f>IF(C31="","",'קיזוזים בגין איחורים'!F41+'קיזוזים- החלטות ועדה'!E41)</f>
        <v/>
      </c>
      <c r="F31" s="181" t="str">
        <f t="shared" si="7"/>
        <v/>
      </c>
      <c r="G31" s="181" t="str">
        <f>'קיזוזים- החלטות ועדה'!G41</f>
        <v/>
      </c>
      <c r="H31" s="140" t="str">
        <f t="shared" si="8"/>
        <v/>
      </c>
      <c r="I31" s="181" t="str">
        <f t="shared" si="9"/>
        <v/>
      </c>
      <c r="J31" s="181" t="str">
        <f t="shared" si="0"/>
        <v/>
      </c>
      <c r="K31" s="188">
        <f t="shared" si="10"/>
        <v>0</v>
      </c>
      <c r="L31" s="189" t="str">
        <f t="shared" si="11"/>
        <v/>
      </c>
      <c r="M31" s="189" t="str">
        <f t="shared" si="1"/>
        <v/>
      </c>
      <c r="N31" s="188">
        <f t="shared" si="12"/>
        <v>0</v>
      </c>
      <c r="O31" s="189" t="str">
        <f t="shared" si="13"/>
        <v/>
      </c>
      <c r="P31" s="189" t="str">
        <f t="shared" si="2"/>
        <v/>
      </c>
      <c r="Q31" s="188">
        <f t="shared" si="14"/>
        <v>0</v>
      </c>
      <c r="R31" s="189" t="str">
        <f t="shared" si="15"/>
        <v/>
      </c>
      <c r="S31" s="189" t="str">
        <f t="shared" si="3"/>
        <v/>
      </c>
      <c r="T31" s="188">
        <f t="shared" si="16"/>
        <v>0</v>
      </c>
      <c r="U31" s="189" t="str">
        <f t="shared" si="17"/>
        <v/>
      </c>
      <c r="V31" s="189" t="str">
        <f t="shared" si="4"/>
        <v/>
      </c>
      <c r="W31" s="180" t="str">
        <f t="shared" si="18"/>
        <v/>
      </c>
      <c r="X31" s="129" t="str">
        <f t="shared" si="5"/>
        <v/>
      </c>
    </row>
    <row r="32" spans="2:24" x14ac:dyDescent="0.25">
      <c r="B32" s="156">
        <f t="shared" si="6"/>
        <v>12</v>
      </c>
      <c r="C32" s="127" t="str">
        <f>'קיזוזים- החלטות ועדה'!C42</f>
        <v>אורין יוחנן</v>
      </c>
      <c r="D32" s="190">
        <f>IF(C32="","",'הגבלה לסכום מבוקש (1)'!D32)</f>
        <v>295000</v>
      </c>
      <c r="E32" s="190">
        <f>IF(C32="","",'קיזוזים בגין איחורים'!F42+'קיזוזים- החלטות ועדה'!E42)</f>
        <v>0</v>
      </c>
      <c r="F32" s="181">
        <f t="shared" si="7"/>
        <v>295000</v>
      </c>
      <c r="G32" s="181">
        <f>'קיזוזים- החלטות ועדה'!G42</f>
        <v>60307.824388644935</v>
      </c>
      <c r="H32" s="140">
        <f t="shared" si="8"/>
        <v>0</v>
      </c>
      <c r="I32" s="181">
        <f t="shared" si="9"/>
        <v>60307.824388644935</v>
      </c>
      <c r="J32" s="181">
        <f t="shared" si="0"/>
        <v>60307.824388644942</v>
      </c>
      <c r="K32" s="188">
        <f t="shared" si="10"/>
        <v>0</v>
      </c>
      <c r="L32" s="189">
        <f t="shared" si="11"/>
        <v>60307.824388644942</v>
      </c>
      <c r="M32" s="189">
        <f t="shared" si="1"/>
        <v>60307.824388644935</v>
      </c>
      <c r="N32" s="188">
        <f t="shared" si="12"/>
        <v>0</v>
      </c>
      <c r="O32" s="189">
        <f t="shared" si="13"/>
        <v>60307.824388644935</v>
      </c>
      <c r="P32" s="189">
        <f t="shared" si="2"/>
        <v>60307.824388644942</v>
      </c>
      <c r="Q32" s="188">
        <f t="shared" si="14"/>
        <v>0</v>
      </c>
      <c r="R32" s="189">
        <f t="shared" si="15"/>
        <v>60307.824388644942</v>
      </c>
      <c r="S32" s="189">
        <f t="shared" si="3"/>
        <v>60307.824388644935</v>
      </c>
      <c r="T32" s="188">
        <f t="shared" si="16"/>
        <v>0</v>
      </c>
      <c r="U32" s="189">
        <f t="shared" si="17"/>
        <v>60307.824388644935</v>
      </c>
      <c r="V32" s="189">
        <f t="shared" si="4"/>
        <v>60307.824388644942</v>
      </c>
      <c r="W32" s="180">
        <f t="shared" si="18"/>
        <v>60307.824388644942</v>
      </c>
      <c r="X32" s="129">
        <f t="shared" si="5"/>
        <v>7.4612873008100856E-3</v>
      </c>
    </row>
    <row r="33" spans="2:24" x14ac:dyDescent="0.25">
      <c r="B33" s="156">
        <f t="shared" si="6"/>
        <v>13</v>
      </c>
      <c r="C33" s="127" t="str">
        <f>'קיזוזים- החלטות ועדה'!C43</f>
        <v>איריס ארז</v>
      </c>
      <c r="D33" s="190">
        <f>IF(C33="","",'הגבלה לסכום מבוקש (1)'!D33)</f>
        <v>295000</v>
      </c>
      <c r="E33" s="190">
        <f>IF(C33="","",'קיזוזים בגין איחורים'!F43+'קיזוזים- החלטות ועדה'!E43)</f>
        <v>0</v>
      </c>
      <c r="F33" s="181">
        <f t="shared" si="7"/>
        <v>295000</v>
      </c>
      <c r="G33" s="181">
        <f>'קיזוזים- החלטות ועדה'!G43</f>
        <v>178616.29437415113</v>
      </c>
      <c r="H33" s="140">
        <f t="shared" si="8"/>
        <v>0</v>
      </c>
      <c r="I33" s="181">
        <f t="shared" si="9"/>
        <v>178616.29437415113</v>
      </c>
      <c r="J33" s="181">
        <f t="shared" si="0"/>
        <v>178616.29437415116</v>
      </c>
      <c r="K33" s="188">
        <f t="shared" si="10"/>
        <v>0</v>
      </c>
      <c r="L33" s="189">
        <f t="shared" si="11"/>
        <v>178616.29437415116</v>
      </c>
      <c r="M33" s="189">
        <f t="shared" si="1"/>
        <v>178616.29437415113</v>
      </c>
      <c r="N33" s="188">
        <f t="shared" si="12"/>
        <v>0</v>
      </c>
      <c r="O33" s="189">
        <f t="shared" si="13"/>
        <v>178616.29437415113</v>
      </c>
      <c r="P33" s="189">
        <f t="shared" si="2"/>
        <v>178616.29437415116</v>
      </c>
      <c r="Q33" s="188">
        <f t="shared" si="14"/>
        <v>0</v>
      </c>
      <c r="R33" s="189">
        <f t="shared" si="15"/>
        <v>178616.29437415116</v>
      </c>
      <c r="S33" s="189">
        <f t="shared" si="3"/>
        <v>178616.29437415113</v>
      </c>
      <c r="T33" s="188">
        <f t="shared" si="16"/>
        <v>0</v>
      </c>
      <c r="U33" s="189">
        <f t="shared" si="17"/>
        <v>178616.29437415113</v>
      </c>
      <c r="V33" s="189">
        <f t="shared" si="4"/>
        <v>178616.29437415116</v>
      </c>
      <c r="W33" s="180">
        <f t="shared" si="18"/>
        <v>178616.29437415116</v>
      </c>
      <c r="X33" s="129">
        <f t="shared" si="5"/>
        <v>2.2098417617309019E-2</v>
      </c>
    </row>
    <row r="34" spans="2:24" x14ac:dyDescent="0.25">
      <c r="B34" s="156" t="str">
        <f t="shared" si="6"/>
        <v/>
      </c>
      <c r="C34" s="127" t="str">
        <f>'קיזוזים- החלטות ועדה'!C44</f>
        <v/>
      </c>
      <c r="D34" s="190" t="str">
        <f>IF(C34="","",'הגבלה לסכום מבוקש (1)'!D34)</f>
        <v/>
      </c>
      <c r="E34" s="190" t="str">
        <f>IF(C34="","",'קיזוזים בגין איחורים'!F44+'קיזוזים- החלטות ועדה'!E44)</f>
        <v/>
      </c>
      <c r="F34" s="181" t="str">
        <f t="shared" si="7"/>
        <v/>
      </c>
      <c r="G34" s="181" t="str">
        <f>'קיזוזים- החלטות ועדה'!G44</f>
        <v/>
      </c>
      <c r="H34" s="140" t="str">
        <f t="shared" si="8"/>
        <v/>
      </c>
      <c r="I34" s="181" t="str">
        <f t="shared" si="9"/>
        <v/>
      </c>
      <c r="J34" s="181" t="str">
        <f t="shared" si="0"/>
        <v/>
      </c>
      <c r="K34" s="188">
        <f t="shared" si="10"/>
        <v>0</v>
      </c>
      <c r="L34" s="189" t="str">
        <f t="shared" si="11"/>
        <v/>
      </c>
      <c r="M34" s="189" t="str">
        <f t="shared" si="1"/>
        <v/>
      </c>
      <c r="N34" s="188">
        <f t="shared" si="12"/>
        <v>0</v>
      </c>
      <c r="O34" s="189" t="str">
        <f t="shared" si="13"/>
        <v/>
      </c>
      <c r="P34" s="189" t="str">
        <f t="shared" si="2"/>
        <v/>
      </c>
      <c r="Q34" s="188">
        <f t="shared" si="14"/>
        <v>0</v>
      </c>
      <c r="R34" s="189" t="str">
        <f t="shared" si="15"/>
        <v/>
      </c>
      <c r="S34" s="189" t="str">
        <f t="shared" si="3"/>
        <v/>
      </c>
      <c r="T34" s="188">
        <f t="shared" si="16"/>
        <v>0</v>
      </c>
      <c r="U34" s="189" t="str">
        <f t="shared" si="17"/>
        <v/>
      </c>
      <c r="V34" s="189" t="str">
        <f t="shared" si="4"/>
        <v/>
      </c>
      <c r="W34" s="180" t="str">
        <f t="shared" si="18"/>
        <v/>
      </c>
      <c r="X34" s="129" t="str">
        <f t="shared" si="5"/>
        <v/>
      </c>
    </row>
    <row r="35" spans="2:24" x14ac:dyDescent="0.25">
      <c r="B35" s="156">
        <f t="shared" si="6"/>
        <v>15</v>
      </c>
      <c r="C35" s="127" t="str">
        <f>'קיזוזים- החלטות ועדה'!C45</f>
        <v>ענבל אושמן</v>
      </c>
      <c r="D35" s="190">
        <f>IF(C35="","",'הגבלה לסכום מבוקש (1)'!D35)</f>
        <v>295000</v>
      </c>
      <c r="E35" s="190">
        <f>IF(C35="","",'קיזוזים בגין איחורים'!F45+'קיזוזים- החלטות ועדה'!E45)</f>
        <v>0</v>
      </c>
      <c r="F35" s="181">
        <f t="shared" si="7"/>
        <v>295000</v>
      </c>
      <c r="G35" s="181">
        <f>'קיזוזים- החלטות ועדה'!G45</f>
        <v>72687.542690752671</v>
      </c>
      <c r="H35" s="140">
        <f t="shared" si="8"/>
        <v>0</v>
      </c>
      <c r="I35" s="181">
        <f t="shared" si="9"/>
        <v>72687.542690752671</v>
      </c>
      <c r="J35" s="181">
        <f t="shared" si="0"/>
        <v>72687.542690752685</v>
      </c>
      <c r="K35" s="188">
        <f t="shared" si="10"/>
        <v>0</v>
      </c>
      <c r="L35" s="189">
        <f t="shared" si="11"/>
        <v>72687.542690752685</v>
      </c>
      <c r="M35" s="189">
        <f t="shared" si="1"/>
        <v>72687.542690752671</v>
      </c>
      <c r="N35" s="188">
        <f t="shared" si="12"/>
        <v>0</v>
      </c>
      <c r="O35" s="189">
        <f t="shared" si="13"/>
        <v>72687.542690752671</v>
      </c>
      <c r="P35" s="189">
        <f t="shared" si="2"/>
        <v>72687.542690752685</v>
      </c>
      <c r="Q35" s="188">
        <f t="shared" si="14"/>
        <v>0</v>
      </c>
      <c r="R35" s="189">
        <f t="shared" si="15"/>
        <v>72687.542690752685</v>
      </c>
      <c r="S35" s="189">
        <f t="shared" si="3"/>
        <v>72687.542690752671</v>
      </c>
      <c r="T35" s="188">
        <f t="shared" si="16"/>
        <v>0</v>
      </c>
      <c r="U35" s="189">
        <f t="shared" si="17"/>
        <v>72687.542690752671</v>
      </c>
      <c r="V35" s="189">
        <f t="shared" si="4"/>
        <v>72687.542690752685</v>
      </c>
      <c r="W35" s="180">
        <f t="shared" si="18"/>
        <v>72687.542690752685</v>
      </c>
      <c r="X35" s="129">
        <f t="shared" si="5"/>
        <v>8.9929067198736314E-3</v>
      </c>
    </row>
    <row r="36" spans="2:24" x14ac:dyDescent="0.25">
      <c r="B36" s="156">
        <f t="shared" si="6"/>
        <v>16</v>
      </c>
      <c r="C36" s="127" t="str">
        <f>'קיזוזים- החלטות ועדה'!C46</f>
        <v>אנדריאה מרטיני</v>
      </c>
      <c r="D36" s="190">
        <f>IF(C36="","",'הגבלה לסכום מבוקש (1)'!D36)</f>
        <v>295000</v>
      </c>
      <c r="E36" s="190">
        <f>IF(C36="","",'קיזוזים בגין איחורים'!F46+'קיזוזים- החלטות ועדה'!E46)</f>
        <v>0</v>
      </c>
      <c r="F36" s="181">
        <f t="shared" si="7"/>
        <v>295000</v>
      </c>
      <c r="G36" s="181">
        <f>'קיזוזים- החלטות ועדה'!G46</f>
        <v>88493.252872254627</v>
      </c>
      <c r="H36" s="140">
        <f t="shared" si="8"/>
        <v>0</v>
      </c>
      <c r="I36" s="181">
        <f t="shared" si="9"/>
        <v>88493.252872254627</v>
      </c>
      <c r="J36" s="181">
        <f t="shared" si="0"/>
        <v>88493.252872254641</v>
      </c>
      <c r="K36" s="188">
        <f t="shared" si="10"/>
        <v>0</v>
      </c>
      <c r="L36" s="189">
        <f t="shared" si="11"/>
        <v>88493.252872254641</v>
      </c>
      <c r="M36" s="189">
        <f t="shared" si="1"/>
        <v>88493.252872254612</v>
      </c>
      <c r="N36" s="188">
        <f t="shared" si="12"/>
        <v>0</v>
      </c>
      <c r="O36" s="189">
        <f t="shared" si="13"/>
        <v>88493.252872254612</v>
      </c>
      <c r="P36" s="189">
        <f t="shared" si="2"/>
        <v>88493.252872254627</v>
      </c>
      <c r="Q36" s="188">
        <f t="shared" si="14"/>
        <v>0</v>
      </c>
      <c r="R36" s="189">
        <f t="shared" si="15"/>
        <v>88493.252872254627</v>
      </c>
      <c r="S36" s="189">
        <f t="shared" si="3"/>
        <v>88493.252872254598</v>
      </c>
      <c r="T36" s="188">
        <f t="shared" si="16"/>
        <v>0</v>
      </c>
      <c r="U36" s="189">
        <f t="shared" si="17"/>
        <v>88493.252872254598</v>
      </c>
      <c r="V36" s="189">
        <f t="shared" si="4"/>
        <v>88493.252872254612</v>
      </c>
      <c r="W36" s="180">
        <f t="shared" si="18"/>
        <v>88493.252872254612</v>
      </c>
      <c r="X36" s="129">
        <f t="shared" si="5"/>
        <v>1.0948390039874304E-2</v>
      </c>
    </row>
    <row r="37" spans="2:24" x14ac:dyDescent="0.25">
      <c r="B37" s="156">
        <f t="shared" si="6"/>
        <v>17</v>
      </c>
      <c r="C37" s="127" t="str">
        <f>'קיזוזים- החלטות ועדה'!C47</f>
        <v>אפרת רובין</v>
      </c>
      <c r="D37" s="190">
        <f>IF(C37="","",'הגבלה לסכום מבוקש (1)'!D37)</f>
        <v>295000</v>
      </c>
      <c r="E37" s="190">
        <f>IF(C37="","",'קיזוזים בגין איחורים'!F47+'קיזוזים- החלטות ועדה'!E47)</f>
        <v>0</v>
      </c>
      <c r="F37" s="181">
        <f t="shared" si="7"/>
        <v>295000</v>
      </c>
      <c r="G37" s="181">
        <f>'קיזוזים- החלטות ועדה'!G47</f>
        <v>53850.497509441266</v>
      </c>
      <c r="H37" s="140">
        <f t="shared" si="8"/>
        <v>0</v>
      </c>
      <c r="I37" s="181">
        <f t="shared" si="9"/>
        <v>53850.497509441266</v>
      </c>
      <c r="J37" s="181">
        <f t="shared" si="0"/>
        <v>53850.49750944128</v>
      </c>
      <c r="K37" s="188">
        <f t="shared" si="10"/>
        <v>0</v>
      </c>
      <c r="L37" s="189">
        <f t="shared" si="11"/>
        <v>53850.49750944128</v>
      </c>
      <c r="M37" s="189">
        <f t="shared" si="1"/>
        <v>53850.497509441266</v>
      </c>
      <c r="N37" s="188">
        <f t="shared" si="12"/>
        <v>0</v>
      </c>
      <c r="O37" s="189">
        <f t="shared" si="13"/>
        <v>53850.497509441266</v>
      </c>
      <c r="P37" s="189">
        <f t="shared" si="2"/>
        <v>53850.49750944128</v>
      </c>
      <c r="Q37" s="188">
        <f t="shared" si="14"/>
        <v>0</v>
      </c>
      <c r="R37" s="189">
        <f t="shared" si="15"/>
        <v>53850.49750944128</v>
      </c>
      <c r="S37" s="189">
        <f t="shared" si="3"/>
        <v>53850.497509441266</v>
      </c>
      <c r="T37" s="188">
        <f t="shared" si="16"/>
        <v>0</v>
      </c>
      <c r="U37" s="189">
        <f t="shared" si="17"/>
        <v>53850.497509441266</v>
      </c>
      <c r="V37" s="189">
        <f t="shared" si="4"/>
        <v>53850.49750944128</v>
      </c>
      <c r="W37" s="180">
        <f t="shared" si="18"/>
        <v>53850.49750944128</v>
      </c>
      <c r="X37" s="129">
        <f t="shared" si="5"/>
        <v>6.6623864694603562E-3</v>
      </c>
    </row>
    <row r="38" spans="2:24" x14ac:dyDescent="0.25">
      <c r="B38" s="156">
        <f t="shared" si="6"/>
        <v>18</v>
      </c>
      <c r="C38" s="127" t="str">
        <f>'קיזוזים- החלטות ועדה'!C48</f>
        <v>שרון צוקרמן</v>
      </c>
      <c r="D38" s="190">
        <f>IF(C38="","",'הגבלה לסכום מבוקש (1)'!D38)</f>
        <v>295000</v>
      </c>
      <c r="E38" s="190">
        <f>IF(C38="","",'קיזוזים בגין איחורים'!F48+'קיזוזים- החלטות ועדה'!E48)</f>
        <v>0</v>
      </c>
      <c r="F38" s="181">
        <f t="shared" si="7"/>
        <v>295000</v>
      </c>
      <c r="G38" s="181">
        <f>'קיזוזים- החלטות ועדה'!G48</f>
        <v>57029.991314677951</v>
      </c>
      <c r="H38" s="140">
        <f t="shared" si="8"/>
        <v>0</v>
      </c>
      <c r="I38" s="181">
        <f t="shared" si="9"/>
        <v>57029.991314677951</v>
      </c>
      <c r="J38" s="181">
        <f t="shared" si="0"/>
        <v>57029.991314677958</v>
      </c>
      <c r="K38" s="188">
        <f t="shared" si="10"/>
        <v>0</v>
      </c>
      <c r="L38" s="189">
        <f t="shared" si="11"/>
        <v>57029.991314677958</v>
      </c>
      <c r="M38" s="189">
        <f t="shared" si="1"/>
        <v>57029.991314677951</v>
      </c>
      <c r="N38" s="188">
        <f t="shared" si="12"/>
        <v>0</v>
      </c>
      <c r="O38" s="189">
        <f t="shared" si="13"/>
        <v>57029.991314677951</v>
      </c>
      <c r="P38" s="189">
        <f t="shared" si="2"/>
        <v>57029.991314677958</v>
      </c>
      <c r="Q38" s="188">
        <f t="shared" si="14"/>
        <v>0</v>
      </c>
      <c r="R38" s="189">
        <f t="shared" si="15"/>
        <v>57029.991314677958</v>
      </c>
      <c r="S38" s="189">
        <f t="shared" si="3"/>
        <v>57029.991314677951</v>
      </c>
      <c r="T38" s="188">
        <f t="shared" si="16"/>
        <v>0</v>
      </c>
      <c r="U38" s="189">
        <f t="shared" si="17"/>
        <v>57029.991314677951</v>
      </c>
      <c r="V38" s="189">
        <f t="shared" si="4"/>
        <v>57029.991314677958</v>
      </c>
      <c r="W38" s="180">
        <f t="shared" si="18"/>
        <v>57029.991314677958</v>
      </c>
      <c r="X38" s="129">
        <f t="shared" si="5"/>
        <v>7.0557536153075789E-3</v>
      </c>
    </row>
    <row r="39" spans="2:24" x14ac:dyDescent="0.25">
      <c r="B39" s="156">
        <f t="shared" si="6"/>
        <v>19</v>
      </c>
      <c r="C39" s="127" t="str">
        <f>'קיזוזים- החלטות ועדה'!C49</f>
        <v>בשמת נוסן</v>
      </c>
      <c r="D39" s="190">
        <f>IF(C39="","",'הגבלה לסכום מבוקש (1)'!D39)</f>
        <v>295000</v>
      </c>
      <c r="E39" s="190">
        <f>IF(C39="","",'קיזוזים בגין איחורים'!F49+'קיזוזים- החלטות ועדה'!E49)</f>
        <v>0</v>
      </c>
      <c r="F39" s="181">
        <f t="shared" si="7"/>
        <v>295000</v>
      </c>
      <c r="G39" s="181">
        <f>'קיזוזים- החלטות ועדה'!G49</f>
        <v>86004.112791956315</v>
      </c>
      <c r="H39" s="140">
        <f t="shared" si="8"/>
        <v>0</v>
      </c>
      <c r="I39" s="181">
        <f t="shared" si="9"/>
        <v>86004.112791956315</v>
      </c>
      <c r="J39" s="181">
        <f t="shared" si="0"/>
        <v>86004.11279195633</v>
      </c>
      <c r="K39" s="188">
        <f t="shared" si="10"/>
        <v>0</v>
      </c>
      <c r="L39" s="189">
        <f t="shared" si="11"/>
        <v>86004.11279195633</v>
      </c>
      <c r="M39" s="189">
        <f t="shared" si="1"/>
        <v>86004.112791956315</v>
      </c>
      <c r="N39" s="188">
        <f t="shared" si="12"/>
        <v>0</v>
      </c>
      <c r="O39" s="189">
        <f t="shared" si="13"/>
        <v>86004.112791956315</v>
      </c>
      <c r="P39" s="189">
        <f t="shared" si="2"/>
        <v>86004.11279195633</v>
      </c>
      <c r="Q39" s="188">
        <f t="shared" si="14"/>
        <v>0</v>
      </c>
      <c r="R39" s="189">
        <f t="shared" si="15"/>
        <v>86004.11279195633</v>
      </c>
      <c r="S39" s="189">
        <f t="shared" si="3"/>
        <v>86004.112791956315</v>
      </c>
      <c r="T39" s="188">
        <f t="shared" si="16"/>
        <v>0</v>
      </c>
      <c r="U39" s="189">
        <f t="shared" si="17"/>
        <v>86004.112791956315</v>
      </c>
      <c r="V39" s="189">
        <f t="shared" si="4"/>
        <v>86004.11279195633</v>
      </c>
      <c r="W39" s="180">
        <f t="shared" si="18"/>
        <v>86004.11279195633</v>
      </c>
      <c r="X39" s="129">
        <f t="shared" si="5"/>
        <v>1.0640433494279471E-2</v>
      </c>
    </row>
    <row r="40" spans="2:24" x14ac:dyDescent="0.25">
      <c r="B40" s="156">
        <f t="shared" si="6"/>
        <v>20</v>
      </c>
      <c r="C40" s="127" t="str">
        <f>'קיזוזים- החלטות ועדה'!C50</f>
        <v>גיל קרר</v>
      </c>
      <c r="D40" s="190">
        <f>IF(C40="","",'הגבלה לסכום מבוקש (1)'!D40)</f>
        <v>295000</v>
      </c>
      <c r="E40" s="190">
        <f>IF(C40="","",'קיזוזים בגין איחורים'!F50+'קיזוזים- החלטות ועדה'!E50)</f>
        <v>0</v>
      </c>
      <c r="F40" s="181">
        <f t="shared" si="7"/>
        <v>295000</v>
      </c>
      <c r="G40" s="181">
        <f>'קיזוזים- החלטות ועדה'!G50</f>
        <v>113536.81610402498</v>
      </c>
      <c r="H40" s="140">
        <f t="shared" si="8"/>
        <v>0</v>
      </c>
      <c r="I40" s="181">
        <f t="shared" si="9"/>
        <v>113536.81610402498</v>
      </c>
      <c r="J40" s="181">
        <f t="shared" si="0"/>
        <v>113536.81610402501</v>
      </c>
      <c r="K40" s="188">
        <f t="shared" si="10"/>
        <v>0</v>
      </c>
      <c r="L40" s="189">
        <f t="shared" si="11"/>
        <v>113536.81610402501</v>
      </c>
      <c r="M40" s="189">
        <f t="shared" si="1"/>
        <v>113536.81610402498</v>
      </c>
      <c r="N40" s="188">
        <f t="shared" si="12"/>
        <v>0</v>
      </c>
      <c r="O40" s="189">
        <f t="shared" si="13"/>
        <v>113536.81610402498</v>
      </c>
      <c r="P40" s="189">
        <f t="shared" si="2"/>
        <v>113536.81610402501</v>
      </c>
      <c r="Q40" s="188">
        <f t="shared" si="14"/>
        <v>0</v>
      </c>
      <c r="R40" s="189">
        <f t="shared" si="15"/>
        <v>113536.81610402501</v>
      </c>
      <c r="S40" s="189">
        <f t="shared" si="3"/>
        <v>113536.81610402498</v>
      </c>
      <c r="T40" s="188">
        <f t="shared" si="16"/>
        <v>0</v>
      </c>
      <c r="U40" s="189">
        <f t="shared" si="17"/>
        <v>113536.81610402498</v>
      </c>
      <c r="V40" s="189">
        <f t="shared" si="4"/>
        <v>113536.81610402501</v>
      </c>
      <c r="W40" s="180">
        <f t="shared" si="18"/>
        <v>113536.81610402501</v>
      </c>
      <c r="X40" s="129">
        <f t="shared" si="5"/>
        <v>1.4046781039756324E-2</v>
      </c>
    </row>
    <row r="41" spans="2:24" x14ac:dyDescent="0.25">
      <c r="B41" s="156">
        <f t="shared" si="6"/>
        <v>21</v>
      </c>
      <c r="C41" s="127" t="str">
        <f>'קיזוזים- החלטות ועדה'!C51</f>
        <v>דינה תלם</v>
      </c>
      <c r="D41" s="190">
        <f>IF(C41="","",'הגבלה לסכום מבוקש (1)'!D41)</f>
        <v>295000</v>
      </c>
      <c r="E41" s="190">
        <f>IF(C41="","",'קיזוזים בגין איחורים'!F51+'קיזוזים- החלטות ועדה'!E51)</f>
        <v>0</v>
      </c>
      <c r="F41" s="181">
        <f t="shared" si="7"/>
        <v>295000</v>
      </c>
      <c r="G41" s="181">
        <f>'קיזוזים- החלטות ועדה'!G51</f>
        <v>100979.40156809468</v>
      </c>
      <c r="H41" s="140">
        <f t="shared" si="8"/>
        <v>0</v>
      </c>
      <c r="I41" s="181">
        <f t="shared" si="9"/>
        <v>100979.40156809468</v>
      </c>
      <c r="J41" s="181">
        <f t="shared" si="0"/>
        <v>100979.4015680947</v>
      </c>
      <c r="K41" s="188">
        <f t="shared" si="10"/>
        <v>0</v>
      </c>
      <c r="L41" s="189">
        <f t="shared" si="11"/>
        <v>100979.4015680947</v>
      </c>
      <c r="M41" s="189">
        <f t="shared" si="1"/>
        <v>100979.40156809469</v>
      </c>
      <c r="N41" s="188">
        <f t="shared" si="12"/>
        <v>0</v>
      </c>
      <c r="O41" s="189">
        <f t="shared" si="13"/>
        <v>100979.40156809469</v>
      </c>
      <c r="P41" s="189">
        <f t="shared" si="2"/>
        <v>100979.4015680947</v>
      </c>
      <c r="Q41" s="188">
        <f t="shared" si="14"/>
        <v>0</v>
      </c>
      <c r="R41" s="189">
        <f t="shared" si="15"/>
        <v>100979.4015680947</v>
      </c>
      <c r="S41" s="189">
        <f t="shared" si="3"/>
        <v>100979.40156809469</v>
      </c>
      <c r="T41" s="188">
        <f t="shared" si="16"/>
        <v>0</v>
      </c>
      <c r="U41" s="189">
        <f t="shared" si="17"/>
        <v>100979.40156809469</v>
      </c>
      <c r="V41" s="189">
        <f t="shared" si="4"/>
        <v>100979.4015680947</v>
      </c>
      <c r="W41" s="180">
        <f t="shared" si="18"/>
        <v>100979.4015680947</v>
      </c>
      <c r="X41" s="129">
        <f t="shared" si="5"/>
        <v>1.2493177033016761E-2</v>
      </c>
    </row>
    <row r="42" spans="2:24" x14ac:dyDescent="0.25">
      <c r="B42" s="156">
        <f t="shared" si="6"/>
        <v>22</v>
      </c>
      <c r="C42" s="127" t="str">
        <f>'קיזוזים- החלטות ועדה'!C52</f>
        <v>דנה יהלומי</v>
      </c>
      <c r="D42" s="190">
        <f>IF(C42="","",'הגבלה לסכום מבוקש (1)'!D42)</f>
        <v>295000</v>
      </c>
      <c r="E42" s="190">
        <f>IF(C42="","",'קיזוזים בגין איחורים'!F52+'קיזוזים- החלטות ועדה'!E52)</f>
        <v>0</v>
      </c>
      <c r="F42" s="181">
        <f t="shared" si="7"/>
        <v>295000</v>
      </c>
      <c r="G42" s="181">
        <f>'קיזוזים- החלטות ועדה'!G52</f>
        <v>110933.21754130145</v>
      </c>
      <c r="H42" s="140">
        <f t="shared" si="8"/>
        <v>0</v>
      </c>
      <c r="I42" s="181">
        <f t="shared" si="9"/>
        <v>110933.21754130145</v>
      </c>
      <c r="J42" s="181">
        <f t="shared" si="0"/>
        <v>110933.21754130146</v>
      </c>
      <c r="K42" s="188">
        <f t="shared" si="10"/>
        <v>0</v>
      </c>
      <c r="L42" s="189">
        <f t="shared" si="11"/>
        <v>110933.21754130146</v>
      </c>
      <c r="M42" s="189">
        <f t="shared" si="1"/>
        <v>110933.21754130145</v>
      </c>
      <c r="N42" s="188">
        <f t="shared" si="12"/>
        <v>0</v>
      </c>
      <c r="O42" s="189">
        <f t="shared" si="13"/>
        <v>110933.21754130145</v>
      </c>
      <c r="P42" s="189">
        <f t="shared" si="2"/>
        <v>110933.21754130146</v>
      </c>
      <c r="Q42" s="188">
        <f t="shared" si="14"/>
        <v>0</v>
      </c>
      <c r="R42" s="189">
        <f t="shared" si="15"/>
        <v>110933.21754130146</v>
      </c>
      <c r="S42" s="189">
        <f t="shared" si="3"/>
        <v>110933.21754130145</v>
      </c>
      <c r="T42" s="188">
        <f t="shared" si="16"/>
        <v>0</v>
      </c>
      <c r="U42" s="189">
        <f t="shared" si="17"/>
        <v>110933.21754130145</v>
      </c>
      <c r="V42" s="189">
        <f t="shared" si="4"/>
        <v>110933.21754130146</v>
      </c>
      <c r="W42" s="180">
        <f t="shared" si="18"/>
        <v>110933.21754130146</v>
      </c>
      <c r="X42" s="129">
        <f t="shared" si="5"/>
        <v>1.3724663684514535E-2</v>
      </c>
    </row>
    <row r="43" spans="2:24" x14ac:dyDescent="0.25">
      <c r="B43" s="156">
        <f t="shared" si="6"/>
        <v>23</v>
      </c>
      <c r="C43" s="127" t="str">
        <f>'קיזוזים- החלטות ועדה'!C53</f>
        <v>דנה רוטנברג</v>
      </c>
      <c r="D43" s="190">
        <f>IF(C43="","",'הגבלה לסכום מבוקש (1)'!D43)</f>
        <v>295000</v>
      </c>
      <c r="E43" s="190">
        <f>IF(C43="","",'קיזוזים בגין איחורים'!F53+'קיזוזים- החלטות ועדה'!E53)</f>
        <v>0</v>
      </c>
      <c r="F43" s="181">
        <f t="shared" si="7"/>
        <v>295000</v>
      </c>
      <c r="G43" s="181">
        <f>'קיזוזים- החלטות ועדה'!G53</f>
        <v>109729.57884510509</v>
      </c>
      <c r="H43" s="140">
        <f t="shared" si="8"/>
        <v>0</v>
      </c>
      <c r="I43" s="181">
        <f t="shared" si="9"/>
        <v>109729.57884510509</v>
      </c>
      <c r="J43" s="181">
        <f t="shared" si="0"/>
        <v>109729.5788451051</v>
      </c>
      <c r="K43" s="188">
        <f t="shared" si="10"/>
        <v>0</v>
      </c>
      <c r="L43" s="189">
        <f t="shared" si="11"/>
        <v>109729.5788451051</v>
      </c>
      <c r="M43" s="189">
        <f t="shared" si="1"/>
        <v>109729.57884510509</v>
      </c>
      <c r="N43" s="188">
        <f t="shared" si="12"/>
        <v>0</v>
      </c>
      <c r="O43" s="189">
        <f t="shared" si="13"/>
        <v>109729.57884510509</v>
      </c>
      <c r="P43" s="189">
        <f t="shared" si="2"/>
        <v>109729.5788451051</v>
      </c>
      <c r="Q43" s="188">
        <f t="shared" si="14"/>
        <v>0</v>
      </c>
      <c r="R43" s="189">
        <f t="shared" si="15"/>
        <v>109729.5788451051</v>
      </c>
      <c r="S43" s="189">
        <f t="shared" si="3"/>
        <v>109729.57884510509</v>
      </c>
      <c r="T43" s="188">
        <f t="shared" si="16"/>
        <v>0</v>
      </c>
      <c r="U43" s="189">
        <f t="shared" si="17"/>
        <v>109729.57884510509</v>
      </c>
      <c r="V43" s="189">
        <f t="shared" si="4"/>
        <v>109729.5788451051</v>
      </c>
      <c r="W43" s="180">
        <f t="shared" si="18"/>
        <v>109729.5788451051</v>
      </c>
      <c r="X43" s="129">
        <f t="shared" si="5"/>
        <v>1.3575749439808596E-2</v>
      </c>
    </row>
    <row r="44" spans="2:24" x14ac:dyDescent="0.25">
      <c r="B44" s="156">
        <f t="shared" si="6"/>
        <v>24</v>
      </c>
      <c r="C44" s="127" t="str">
        <f>'קיזוזים- החלטות ועדה'!C54</f>
        <v>דפי אלטבב</v>
      </c>
      <c r="D44" s="190">
        <f>IF(C44="","",'הגבלה לסכום מבוקש (1)'!D44)</f>
        <v>295000</v>
      </c>
      <c r="E44" s="190">
        <f>IF(C44="","",'קיזוזים בגין איחורים'!F54+'קיזוזים- החלטות ועדה'!E54)</f>
        <v>0</v>
      </c>
      <c r="F44" s="181">
        <f t="shared" si="7"/>
        <v>295000</v>
      </c>
      <c r="G44" s="181">
        <f>'קיזוזים- החלטות ועדה'!G54</f>
        <v>109025.45395516041</v>
      </c>
      <c r="H44" s="140">
        <f t="shared" si="8"/>
        <v>0</v>
      </c>
      <c r="I44" s="181">
        <f t="shared" si="9"/>
        <v>109025.45395516041</v>
      </c>
      <c r="J44" s="181">
        <f t="shared" si="0"/>
        <v>109025.45395516042</v>
      </c>
      <c r="K44" s="188">
        <f t="shared" si="10"/>
        <v>0</v>
      </c>
      <c r="L44" s="189">
        <f t="shared" si="11"/>
        <v>109025.45395516042</v>
      </c>
      <c r="M44" s="189">
        <f t="shared" si="1"/>
        <v>109025.45395516041</v>
      </c>
      <c r="N44" s="188">
        <f t="shared" si="12"/>
        <v>0</v>
      </c>
      <c r="O44" s="189">
        <f t="shared" si="13"/>
        <v>109025.45395516041</v>
      </c>
      <c r="P44" s="189">
        <f t="shared" si="2"/>
        <v>109025.45395516042</v>
      </c>
      <c r="Q44" s="188">
        <f t="shared" si="14"/>
        <v>0</v>
      </c>
      <c r="R44" s="189">
        <f t="shared" si="15"/>
        <v>109025.45395516042</v>
      </c>
      <c r="S44" s="189">
        <f t="shared" si="3"/>
        <v>109025.45395516041</v>
      </c>
      <c r="T44" s="188">
        <f t="shared" si="16"/>
        <v>0</v>
      </c>
      <c r="U44" s="189">
        <f t="shared" si="17"/>
        <v>109025.45395516041</v>
      </c>
      <c r="V44" s="189">
        <f t="shared" si="4"/>
        <v>109025.45395516042</v>
      </c>
      <c r="W44" s="180">
        <f t="shared" si="18"/>
        <v>109025.45395516042</v>
      </c>
      <c r="X44" s="129">
        <f t="shared" si="5"/>
        <v>1.3488635070275515E-2</v>
      </c>
    </row>
    <row r="45" spans="2:24" x14ac:dyDescent="0.25">
      <c r="B45" s="156">
        <f t="shared" si="6"/>
        <v>25</v>
      </c>
      <c r="C45" s="127" t="str">
        <f>'קיזוזים- החלטות ועדה'!C55</f>
        <v>הלל קוגן</v>
      </c>
      <c r="D45" s="190">
        <f>IF(C45="","",'הגבלה לסכום מבוקש (1)'!D45)</f>
        <v>295000</v>
      </c>
      <c r="E45" s="190">
        <f>IF(C45="","",'קיזוזים בגין איחורים'!F55+'קיזוזים- החלטות ועדה'!E55)</f>
        <v>0</v>
      </c>
      <c r="F45" s="181">
        <f t="shared" si="7"/>
        <v>295000</v>
      </c>
      <c r="G45" s="181">
        <f>'קיזוזים- החלטות ועדה'!G55</f>
        <v>112702.3520601965</v>
      </c>
      <c r="H45" s="140">
        <f t="shared" si="8"/>
        <v>0</v>
      </c>
      <c r="I45" s="181">
        <f t="shared" si="9"/>
        <v>112702.3520601965</v>
      </c>
      <c r="J45" s="181">
        <f t="shared" si="0"/>
        <v>112702.35206019653</v>
      </c>
      <c r="K45" s="188">
        <f t="shared" si="10"/>
        <v>0</v>
      </c>
      <c r="L45" s="189">
        <f t="shared" si="11"/>
        <v>112702.35206019653</v>
      </c>
      <c r="M45" s="189">
        <f t="shared" si="1"/>
        <v>112702.3520601965</v>
      </c>
      <c r="N45" s="188">
        <f t="shared" si="12"/>
        <v>0</v>
      </c>
      <c r="O45" s="189">
        <f t="shared" si="13"/>
        <v>112702.3520601965</v>
      </c>
      <c r="P45" s="189">
        <f t="shared" si="2"/>
        <v>112702.35206019653</v>
      </c>
      <c r="Q45" s="188">
        <f t="shared" si="14"/>
        <v>0</v>
      </c>
      <c r="R45" s="189">
        <f t="shared" si="15"/>
        <v>112702.35206019653</v>
      </c>
      <c r="S45" s="189">
        <f t="shared" si="3"/>
        <v>112702.3520601965</v>
      </c>
      <c r="T45" s="188">
        <f t="shared" si="16"/>
        <v>0</v>
      </c>
      <c r="U45" s="189">
        <f t="shared" si="17"/>
        <v>112702.3520601965</v>
      </c>
      <c r="V45" s="189">
        <f t="shared" si="4"/>
        <v>112702.35206019653</v>
      </c>
      <c r="W45" s="180">
        <f t="shared" si="18"/>
        <v>112702.35206019653</v>
      </c>
      <c r="X45" s="129">
        <f t="shared" si="5"/>
        <v>1.3943541103043031E-2</v>
      </c>
    </row>
    <row r="46" spans="2:24" x14ac:dyDescent="0.25">
      <c r="B46" s="156">
        <f t="shared" si="6"/>
        <v>26</v>
      </c>
      <c r="C46" s="127" t="str">
        <f>'קיזוזים- החלטות ועדה'!C56</f>
        <v>אנאבל דביר</v>
      </c>
      <c r="D46" s="190">
        <f>IF(C46="","",'הגבלה לסכום מבוקש (1)'!D46)</f>
        <v>295000</v>
      </c>
      <c r="E46" s="190">
        <f>IF(C46="","",'קיזוזים בגין איחורים'!F56+'קיזוזים- החלטות ועדה'!E56)</f>
        <v>0</v>
      </c>
      <c r="F46" s="181">
        <f t="shared" si="7"/>
        <v>295000</v>
      </c>
      <c r="G46" s="181">
        <f>'קיזוזים- החלטות ועדה'!G56</f>
        <v>116980.91648142903</v>
      </c>
      <c r="H46" s="140">
        <f t="shared" si="8"/>
        <v>0</v>
      </c>
      <c r="I46" s="181">
        <f t="shared" si="9"/>
        <v>116980.91648142903</v>
      </c>
      <c r="J46" s="181">
        <f t="shared" si="0"/>
        <v>116980.91648142906</v>
      </c>
      <c r="K46" s="188">
        <f t="shared" si="10"/>
        <v>0</v>
      </c>
      <c r="L46" s="189">
        <f t="shared" si="11"/>
        <v>116980.91648142906</v>
      </c>
      <c r="M46" s="189">
        <f t="shared" si="1"/>
        <v>116980.91648142903</v>
      </c>
      <c r="N46" s="188">
        <f t="shared" si="12"/>
        <v>0</v>
      </c>
      <c r="O46" s="189">
        <f t="shared" si="13"/>
        <v>116980.91648142903</v>
      </c>
      <c r="P46" s="189">
        <f t="shared" si="2"/>
        <v>116980.91648142906</v>
      </c>
      <c r="Q46" s="188">
        <f t="shared" si="14"/>
        <v>0</v>
      </c>
      <c r="R46" s="189">
        <f t="shared" si="15"/>
        <v>116980.91648142906</v>
      </c>
      <c r="S46" s="189">
        <f t="shared" si="3"/>
        <v>116980.91648142903</v>
      </c>
      <c r="T46" s="188">
        <f t="shared" si="16"/>
        <v>0</v>
      </c>
      <c r="U46" s="189">
        <f t="shared" si="17"/>
        <v>116980.91648142903</v>
      </c>
      <c r="V46" s="189">
        <f t="shared" si="4"/>
        <v>116980.91648142906</v>
      </c>
      <c r="W46" s="180">
        <f t="shared" si="18"/>
        <v>116980.91648142906</v>
      </c>
      <c r="X46" s="129">
        <f t="shared" si="5"/>
        <v>1.447288532504834E-2</v>
      </c>
    </row>
    <row r="47" spans="2:24" x14ac:dyDescent="0.25">
      <c r="B47" s="156">
        <f t="shared" si="6"/>
        <v>27</v>
      </c>
      <c r="C47" s="127" t="str">
        <f>'קיזוזים- החלטות ועדה'!C57</f>
        <v>יוסי ברג ועודד גרף</v>
      </c>
      <c r="D47" s="190">
        <f>IF(C47="","",'הגבלה לסכום מבוקש (1)'!D47)</f>
        <v>400000</v>
      </c>
      <c r="E47" s="190">
        <f>IF(C47="","",'קיזוזים בגין איחורים'!F57+'קיזוזים- החלטות ועדה'!E57)</f>
        <v>0</v>
      </c>
      <c r="F47" s="181">
        <f t="shared" si="7"/>
        <v>400000</v>
      </c>
      <c r="G47" s="181">
        <f>'קיזוזים- החלטות ועדה'!G57</f>
        <v>173067.58694812746</v>
      </c>
      <c r="H47" s="140">
        <f t="shared" si="8"/>
        <v>0</v>
      </c>
      <c r="I47" s="181">
        <f t="shared" si="9"/>
        <v>173067.58694812746</v>
      </c>
      <c r="J47" s="181">
        <f t="shared" si="0"/>
        <v>173067.58694812749</v>
      </c>
      <c r="K47" s="188">
        <f t="shared" si="10"/>
        <v>0</v>
      </c>
      <c r="L47" s="189">
        <f t="shared" si="11"/>
        <v>173067.58694812749</v>
      </c>
      <c r="M47" s="189">
        <f t="shared" si="1"/>
        <v>173067.58694812746</v>
      </c>
      <c r="N47" s="188">
        <f t="shared" si="12"/>
        <v>0</v>
      </c>
      <c r="O47" s="189">
        <f t="shared" si="13"/>
        <v>173067.58694812746</v>
      </c>
      <c r="P47" s="189">
        <f t="shared" si="2"/>
        <v>173067.58694812749</v>
      </c>
      <c r="Q47" s="188">
        <f t="shared" si="14"/>
        <v>0</v>
      </c>
      <c r="R47" s="189">
        <f t="shared" si="15"/>
        <v>173067.58694812749</v>
      </c>
      <c r="S47" s="189">
        <f t="shared" si="3"/>
        <v>173067.58694812746</v>
      </c>
      <c r="T47" s="188">
        <f t="shared" si="16"/>
        <v>0</v>
      </c>
      <c r="U47" s="189">
        <f t="shared" si="17"/>
        <v>173067.58694812746</v>
      </c>
      <c r="V47" s="189">
        <f t="shared" si="4"/>
        <v>173067.58694812749</v>
      </c>
      <c r="W47" s="180">
        <f t="shared" si="18"/>
        <v>173067.58694812749</v>
      </c>
      <c r="X47" s="129">
        <f t="shared" si="5"/>
        <v>2.1411931233935255E-2</v>
      </c>
    </row>
    <row r="48" spans="2:24" x14ac:dyDescent="0.25">
      <c r="B48" s="156">
        <f t="shared" si="6"/>
        <v>28</v>
      </c>
      <c r="C48" s="127" t="str">
        <f>'קיזוזים- החלטות ועדה'!C58</f>
        <v>נדין בומר</v>
      </c>
      <c r="D48" s="190">
        <f>IF(C48="","",'הגבלה לסכום מבוקש (1)'!D48)</f>
        <v>295000</v>
      </c>
      <c r="E48" s="190">
        <f>IF(C48="","",'קיזוזים בגין איחורים'!F58+'קיזוזים- החלטות ועדה'!E58)</f>
        <v>0</v>
      </c>
      <c r="F48" s="181">
        <f t="shared" si="7"/>
        <v>295000</v>
      </c>
      <c r="G48" s="181">
        <f>'קיזוזים- החלטות ועדה'!G58</f>
        <v>103990.76163574668</v>
      </c>
      <c r="H48" s="140">
        <f t="shared" si="8"/>
        <v>0</v>
      </c>
      <c r="I48" s="181">
        <f t="shared" si="9"/>
        <v>103990.76163574668</v>
      </c>
      <c r="J48" s="181">
        <f t="shared" si="0"/>
        <v>103990.7616357467</v>
      </c>
      <c r="K48" s="188">
        <f t="shared" si="10"/>
        <v>0</v>
      </c>
      <c r="L48" s="189">
        <f t="shared" si="11"/>
        <v>103990.7616357467</v>
      </c>
      <c r="M48" s="189">
        <f t="shared" si="1"/>
        <v>103990.76163574669</v>
      </c>
      <c r="N48" s="188">
        <f t="shared" si="12"/>
        <v>0</v>
      </c>
      <c r="O48" s="189">
        <f t="shared" si="13"/>
        <v>103990.76163574669</v>
      </c>
      <c r="P48" s="189">
        <f t="shared" si="2"/>
        <v>103990.7616357467</v>
      </c>
      <c r="Q48" s="188">
        <f t="shared" si="14"/>
        <v>0</v>
      </c>
      <c r="R48" s="189">
        <f t="shared" si="15"/>
        <v>103990.7616357467</v>
      </c>
      <c r="S48" s="189">
        <f t="shared" si="3"/>
        <v>103990.76163574669</v>
      </c>
      <c r="T48" s="188">
        <f t="shared" si="16"/>
        <v>0</v>
      </c>
      <c r="U48" s="189">
        <f t="shared" si="17"/>
        <v>103990.76163574669</v>
      </c>
      <c r="V48" s="189">
        <f t="shared" si="4"/>
        <v>103990.7616357467</v>
      </c>
      <c r="W48" s="180">
        <f t="shared" si="18"/>
        <v>103990.7616357467</v>
      </c>
      <c r="X48" s="129">
        <f t="shared" si="5"/>
        <v>1.2865742663740607E-2</v>
      </c>
    </row>
    <row r="49" spans="2:24" x14ac:dyDescent="0.25">
      <c r="B49" s="156">
        <f t="shared" si="6"/>
        <v>29</v>
      </c>
      <c r="C49" s="127" t="str">
        <f>'קיזוזים- החלטות ועדה'!C59</f>
        <v xml:space="preserve">להקת בלט פאנוב </v>
      </c>
      <c r="D49" s="190">
        <f>IF(C49="","",'הגבלה לסכום מבוקש (1)'!D49)</f>
        <v>800000</v>
      </c>
      <c r="E49" s="190">
        <f>IF(C49="","",'קיזוזים בגין איחורים'!F59+'קיזוזים- החלטות ועדה'!E59)</f>
        <v>0</v>
      </c>
      <c r="F49" s="181">
        <f t="shared" si="7"/>
        <v>800000</v>
      </c>
      <c r="G49" s="181">
        <f>'קיזוזים- החלטות ועדה'!G59</f>
        <v>298202.27934444277</v>
      </c>
      <c r="H49" s="140">
        <f t="shared" si="8"/>
        <v>0</v>
      </c>
      <c r="I49" s="181">
        <f t="shared" si="9"/>
        <v>298202.27934444277</v>
      </c>
      <c r="J49" s="181">
        <f t="shared" si="0"/>
        <v>298202.27934444282</v>
      </c>
      <c r="K49" s="188">
        <f t="shared" si="10"/>
        <v>0</v>
      </c>
      <c r="L49" s="189">
        <f t="shared" si="11"/>
        <v>298202.27934444282</v>
      </c>
      <c r="M49" s="189">
        <f t="shared" si="1"/>
        <v>298202.27934444277</v>
      </c>
      <c r="N49" s="188">
        <f t="shared" si="12"/>
        <v>0</v>
      </c>
      <c r="O49" s="189">
        <f t="shared" si="13"/>
        <v>298202.27934444277</v>
      </c>
      <c r="P49" s="189">
        <f t="shared" si="2"/>
        <v>298202.27934444282</v>
      </c>
      <c r="Q49" s="188">
        <f t="shared" si="14"/>
        <v>0</v>
      </c>
      <c r="R49" s="189">
        <f t="shared" si="15"/>
        <v>298202.27934444282</v>
      </c>
      <c r="S49" s="189">
        <f t="shared" si="3"/>
        <v>298202.27934444277</v>
      </c>
      <c r="T49" s="188">
        <f t="shared" si="16"/>
        <v>0</v>
      </c>
      <c r="U49" s="189">
        <f t="shared" si="17"/>
        <v>298202.27934444277</v>
      </c>
      <c r="V49" s="189">
        <f t="shared" si="4"/>
        <v>298202.27934444282</v>
      </c>
      <c r="W49" s="180">
        <f t="shared" si="18"/>
        <v>298202.27934444282</v>
      </c>
      <c r="X49" s="129">
        <f t="shared" si="5"/>
        <v>3.6893602156940715E-2</v>
      </c>
    </row>
    <row r="50" spans="2:24" x14ac:dyDescent="0.25">
      <c r="B50" s="156" t="str">
        <f t="shared" si="6"/>
        <v/>
      </c>
      <c r="C50" s="127" t="str">
        <f>'קיזוזים- החלטות ועדה'!C60</f>
        <v/>
      </c>
      <c r="D50" s="190" t="str">
        <f>IF(C50="","",'הגבלה לסכום מבוקש (1)'!D50)</f>
        <v/>
      </c>
      <c r="E50" s="190" t="str">
        <f>IF(C50="","",'קיזוזים בגין איחורים'!F60+'קיזוזים- החלטות ועדה'!E60)</f>
        <v/>
      </c>
      <c r="F50" s="181" t="str">
        <f t="shared" si="7"/>
        <v/>
      </c>
      <c r="G50" s="181" t="str">
        <f>'קיזוזים- החלטות ועדה'!G60</f>
        <v/>
      </c>
      <c r="H50" s="140" t="str">
        <f t="shared" si="8"/>
        <v/>
      </c>
      <c r="I50" s="181" t="str">
        <f t="shared" si="9"/>
        <v/>
      </c>
      <c r="J50" s="181" t="str">
        <f t="shared" si="0"/>
        <v/>
      </c>
      <c r="K50" s="188">
        <f t="shared" si="10"/>
        <v>0</v>
      </c>
      <c r="L50" s="189" t="str">
        <f t="shared" si="11"/>
        <v/>
      </c>
      <c r="M50" s="189" t="str">
        <f t="shared" si="1"/>
        <v/>
      </c>
      <c r="N50" s="188">
        <f t="shared" si="12"/>
        <v>0</v>
      </c>
      <c r="O50" s="189" t="str">
        <f t="shared" si="13"/>
        <v/>
      </c>
      <c r="P50" s="189" t="str">
        <f t="shared" si="2"/>
        <v/>
      </c>
      <c r="Q50" s="188">
        <f t="shared" si="14"/>
        <v>0</v>
      </c>
      <c r="R50" s="189" t="str">
        <f t="shared" si="15"/>
        <v/>
      </c>
      <c r="S50" s="189" t="str">
        <f t="shared" si="3"/>
        <v/>
      </c>
      <c r="T50" s="188">
        <f t="shared" si="16"/>
        <v>0</v>
      </c>
      <c r="U50" s="189" t="str">
        <f t="shared" si="17"/>
        <v/>
      </c>
      <c r="V50" s="189" t="str">
        <f t="shared" si="4"/>
        <v/>
      </c>
      <c r="W50" s="180" t="str">
        <f t="shared" si="18"/>
        <v/>
      </c>
      <c r="X50" s="129" t="str">
        <f t="shared" si="5"/>
        <v/>
      </c>
    </row>
    <row r="51" spans="2:24" x14ac:dyDescent="0.25">
      <c r="B51" s="156" t="str">
        <f t="shared" si="6"/>
        <v/>
      </c>
      <c r="C51" s="127" t="str">
        <f>'קיזוזים- החלטות ועדה'!C61</f>
        <v/>
      </c>
      <c r="D51" s="190" t="str">
        <f>IF(C51="","",'הגבלה לסכום מבוקש (1)'!D51)</f>
        <v/>
      </c>
      <c r="E51" s="190" t="str">
        <f>IF(C51="","",'קיזוזים בגין איחורים'!F61+'קיזוזים- החלטות ועדה'!E61)</f>
        <v/>
      </c>
      <c r="F51" s="181" t="str">
        <f t="shared" si="7"/>
        <v/>
      </c>
      <c r="G51" s="181" t="str">
        <f>'קיזוזים- החלטות ועדה'!G61</f>
        <v/>
      </c>
      <c r="H51" s="140" t="str">
        <f t="shared" si="8"/>
        <v/>
      </c>
      <c r="I51" s="181" t="str">
        <f t="shared" si="9"/>
        <v/>
      </c>
      <c r="J51" s="181" t="str">
        <f t="shared" si="0"/>
        <v/>
      </c>
      <c r="K51" s="188">
        <f t="shared" si="10"/>
        <v>0</v>
      </c>
      <c r="L51" s="189" t="str">
        <f t="shared" si="11"/>
        <v/>
      </c>
      <c r="M51" s="189" t="str">
        <f t="shared" si="1"/>
        <v/>
      </c>
      <c r="N51" s="188">
        <f t="shared" si="12"/>
        <v>0</v>
      </c>
      <c r="O51" s="189" t="str">
        <f t="shared" si="13"/>
        <v/>
      </c>
      <c r="P51" s="189" t="str">
        <f t="shared" si="2"/>
        <v/>
      </c>
      <c r="Q51" s="188">
        <f t="shared" si="14"/>
        <v>0</v>
      </c>
      <c r="R51" s="189" t="str">
        <f t="shared" si="15"/>
        <v/>
      </c>
      <c r="S51" s="189" t="str">
        <f t="shared" si="3"/>
        <v/>
      </c>
      <c r="T51" s="188">
        <f t="shared" si="16"/>
        <v>0</v>
      </c>
      <c r="U51" s="189" t="str">
        <f t="shared" si="17"/>
        <v/>
      </c>
      <c r="V51" s="189" t="str">
        <f t="shared" si="4"/>
        <v/>
      </c>
      <c r="W51" s="180" t="str">
        <f t="shared" si="18"/>
        <v/>
      </c>
      <c r="X51" s="129" t="str">
        <f t="shared" si="5"/>
        <v/>
      </c>
    </row>
    <row r="52" spans="2:24" x14ac:dyDescent="0.25">
      <c r="B52" s="156">
        <f t="shared" si="6"/>
        <v>32</v>
      </c>
      <c r="C52" s="127" t="str">
        <f>'קיזוזים- החלטות ועדה'!C62</f>
        <v>מיכל סממה</v>
      </c>
      <c r="D52" s="190">
        <f>IF(C52="","",'הגבלה לסכום מבוקש (1)'!D52)</f>
        <v>295000</v>
      </c>
      <c r="E52" s="190">
        <f>IF(C52="","",'קיזוזים בגין איחורים'!F62+'קיזוזים- החלטות ועדה'!E62)</f>
        <v>0</v>
      </c>
      <c r="F52" s="181">
        <f t="shared" si="7"/>
        <v>295000</v>
      </c>
      <c r="G52" s="181">
        <f>'קיזוזים- החלטות ועדה'!G62</f>
        <v>57262.444126778522</v>
      </c>
      <c r="H52" s="140">
        <f t="shared" si="8"/>
        <v>0</v>
      </c>
      <c r="I52" s="181">
        <f t="shared" si="9"/>
        <v>57262.444126778522</v>
      </c>
      <c r="J52" s="181">
        <f t="shared" si="0"/>
        <v>57262.444126778537</v>
      </c>
      <c r="K52" s="188">
        <f t="shared" si="10"/>
        <v>0</v>
      </c>
      <c r="L52" s="189">
        <f t="shared" si="11"/>
        <v>57262.444126778537</v>
      </c>
      <c r="M52" s="189">
        <f t="shared" si="1"/>
        <v>57262.444126778522</v>
      </c>
      <c r="N52" s="188">
        <f t="shared" si="12"/>
        <v>0</v>
      </c>
      <c r="O52" s="189">
        <f t="shared" si="13"/>
        <v>57262.444126778522</v>
      </c>
      <c r="P52" s="189">
        <f t="shared" si="2"/>
        <v>57262.444126778537</v>
      </c>
      <c r="Q52" s="188">
        <f t="shared" si="14"/>
        <v>0</v>
      </c>
      <c r="R52" s="189">
        <f t="shared" si="15"/>
        <v>57262.444126778537</v>
      </c>
      <c r="S52" s="189">
        <f t="shared" si="3"/>
        <v>57262.444126778522</v>
      </c>
      <c r="T52" s="188">
        <f t="shared" si="16"/>
        <v>0</v>
      </c>
      <c r="U52" s="189">
        <f t="shared" si="17"/>
        <v>57262.444126778522</v>
      </c>
      <c r="V52" s="189">
        <f t="shared" si="4"/>
        <v>57262.444126778537</v>
      </c>
      <c r="W52" s="180">
        <f t="shared" si="18"/>
        <v>57262.444126778537</v>
      </c>
      <c r="X52" s="129">
        <f t="shared" si="5"/>
        <v>7.0845126898148357E-3</v>
      </c>
    </row>
    <row r="53" spans="2:24" x14ac:dyDescent="0.25">
      <c r="B53" s="156">
        <f t="shared" si="6"/>
        <v>33</v>
      </c>
      <c r="C53" s="127" t="str">
        <f>'קיזוזים- החלטות ועדה'!C63</f>
        <v>מאיה ברינר</v>
      </c>
      <c r="D53" s="190">
        <f>IF(C53="","",'הגבלה לסכום מבוקש (1)'!D53)</f>
        <v>295000</v>
      </c>
      <c r="E53" s="190">
        <f>IF(C53="","",'קיזוזים בגין איחורים'!F63+'קיזוזים- החלטות ועדה'!E63)</f>
        <v>0</v>
      </c>
      <c r="F53" s="181">
        <f t="shared" si="7"/>
        <v>295000</v>
      </c>
      <c r="G53" s="181">
        <f>'קיזוזים- החלטות ועדה'!G63</f>
        <v>244337.08564938902</v>
      </c>
      <c r="H53" s="140">
        <f t="shared" si="8"/>
        <v>0</v>
      </c>
      <c r="I53" s="181">
        <f t="shared" si="9"/>
        <v>244337.08564938902</v>
      </c>
      <c r="J53" s="181">
        <f t="shared" ref="J53:J84" si="19">IF($C53="","",IF(H53=1,I53,I53/SUMIF(H$21:H$132,0,I$21:I$132)*($C$2-SUMIF(H$21:H$132,1,I$21:I$132))))</f>
        <v>244337.08564938908</v>
      </c>
      <c r="K53" s="188">
        <f t="shared" si="10"/>
        <v>0</v>
      </c>
      <c r="L53" s="189">
        <f t="shared" si="11"/>
        <v>244337.08564938908</v>
      </c>
      <c r="M53" s="189">
        <f t="shared" ref="M53:M84" si="20">IF($C53="","",IF(K53=1,L53,L53/SUMIF(K$21:K$132,0,L$21:L$132)*($C$2-SUMIF(K$21:K$132,1,L$21:L$132))))</f>
        <v>244337.08564938902</v>
      </c>
      <c r="N53" s="188">
        <f t="shared" si="12"/>
        <v>0</v>
      </c>
      <c r="O53" s="189">
        <f t="shared" si="13"/>
        <v>244337.08564938902</v>
      </c>
      <c r="P53" s="189">
        <f t="shared" ref="P53:P84" si="21">IF($C53="","",IF(N53=1,O53,O53/SUMIF(N$21:N$132,0,O$21:O$132)*($C$2-SUMIF(N$21:N$132,1,O$21:O$132))))</f>
        <v>244337.08564938908</v>
      </c>
      <c r="Q53" s="188">
        <f t="shared" si="14"/>
        <v>0</v>
      </c>
      <c r="R53" s="189">
        <f t="shared" si="15"/>
        <v>244337.08564938908</v>
      </c>
      <c r="S53" s="189">
        <f t="shared" ref="S53:S84" si="22">IF($C53="","",IF(Q53=2,R53,IF(Q53=1,R53,R53/SUMIF(Q$21:Q$132,0,R$21:R$132)*($C$2-SUMIF(Q$21:Q$132,1,R$21:R$132)-SUMIF(Q$21:Q$132,2,R$21:R$132)))))</f>
        <v>244337.08564938902</v>
      </c>
      <c r="T53" s="188">
        <f t="shared" si="16"/>
        <v>0</v>
      </c>
      <c r="U53" s="189">
        <f t="shared" si="17"/>
        <v>244337.08564938902</v>
      </c>
      <c r="V53" s="189">
        <f t="shared" ref="V53:V84" si="23">IF($C53="","",IF(T53=2,U53,IF(T53=1,U53,U53/SUMIF(T$21:T$132,0,U$21:U$132)*($C$2-SUMIF(T$21:T$132,1,U$21:U$132)-SUMIF(T$21:T$132,2,U$21:U$132)))))</f>
        <v>244337.08564938908</v>
      </c>
      <c r="W53" s="180">
        <f t="shared" si="18"/>
        <v>244337.08564938908</v>
      </c>
      <c r="X53" s="129">
        <f t="shared" ref="X53:X84" si="24">IF(F53="","",IFERROR(W53/SUMIF($W$21:$W$132,"&lt;&gt;#DIV/0!"),0))</f>
        <v>3.0229397474600152E-2</v>
      </c>
    </row>
    <row r="54" spans="2:24" x14ac:dyDescent="0.25">
      <c r="B54" s="156">
        <f t="shared" si="6"/>
        <v>34</v>
      </c>
      <c r="C54" s="127" t="str">
        <f>'קיזוזים- החלטות ועדה'!C64</f>
        <v>מאיה מכלל גלפנד</v>
      </c>
      <c r="D54" s="190">
        <f>IF(C54="","",'הגבלה לסכום מבוקש (1)'!D54)</f>
        <v>295000</v>
      </c>
      <c r="E54" s="190">
        <f>IF(C54="","",'קיזוזים בגין איחורים'!F64+'קיזוזים- החלטות ועדה'!E64)</f>
        <v>0</v>
      </c>
      <c r="F54" s="181">
        <f t="shared" si="7"/>
        <v>295000</v>
      </c>
      <c r="G54" s="181">
        <f>'קיזוזים- החלטות ועדה'!G64</f>
        <v>47793.416642515156</v>
      </c>
      <c r="H54" s="140">
        <f t="shared" si="8"/>
        <v>0</v>
      </c>
      <c r="I54" s="181">
        <f t="shared" si="9"/>
        <v>47793.416642515156</v>
      </c>
      <c r="J54" s="181">
        <f t="shared" si="19"/>
        <v>47793.416642515163</v>
      </c>
      <c r="K54" s="188">
        <f t="shared" si="10"/>
        <v>0</v>
      </c>
      <c r="L54" s="189">
        <f t="shared" si="11"/>
        <v>47793.416642515163</v>
      </c>
      <c r="M54" s="189">
        <f t="shared" si="20"/>
        <v>47793.416642515156</v>
      </c>
      <c r="N54" s="188">
        <f t="shared" si="12"/>
        <v>0</v>
      </c>
      <c r="O54" s="189">
        <f t="shared" si="13"/>
        <v>47793.416642515156</v>
      </c>
      <c r="P54" s="189">
        <f t="shared" si="21"/>
        <v>47793.416642515163</v>
      </c>
      <c r="Q54" s="188">
        <f t="shared" si="14"/>
        <v>0</v>
      </c>
      <c r="R54" s="189">
        <f t="shared" si="15"/>
        <v>47793.416642515163</v>
      </c>
      <c r="S54" s="189">
        <f t="shared" si="22"/>
        <v>47793.416642515156</v>
      </c>
      <c r="T54" s="188">
        <f t="shared" si="16"/>
        <v>0</v>
      </c>
      <c r="U54" s="189">
        <f t="shared" si="17"/>
        <v>47793.416642515156</v>
      </c>
      <c r="V54" s="189">
        <f t="shared" si="23"/>
        <v>47793.416642515163</v>
      </c>
      <c r="W54" s="180">
        <f t="shared" si="18"/>
        <v>47793.416642515163</v>
      </c>
      <c r="X54" s="129">
        <f t="shared" si="24"/>
        <v>5.9130040964347286E-3</v>
      </c>
    </row>
    <row r="55" spans="2:24" x14ac:dyDescent="0.25">
      <c r="B55" s="156">
        <f t="shared" si="6"/>
        <v>35</v>
      </c>
      <c r="C55" s="127" t="str">
        <f>'קיזוזים- החלטות ועדה'!C65</f>
        <v>מיה שטרן ותומר שרעבי</v>
      </c>
      <c r="D55" s="190">
        <f>IF(C55="","",'הגבלה לסכום מבוקש (1)'!D55)</f>
        <v>295000</v>
      </c>
      <c r="E55" s="190">
        <f>IF(C55="","",'קיזוזים בגין איחורים'!F65+'קיזוזים- החלטות ועדה'!E65)</f>
        <v>0</v>
      </c>
      <c r="F55" s="181">
        <f t="shared" si="7"/>
        <v>295000</v>
      </c>
      <c r="G55" s="181">
        <f>'קיזוזים- החלטות ועדה'!G65</f>
        <v>57779.608282467852</v>
      </c>
      <c r="H55" s="140">
        <f t="shared" si="8"/>
        <v>0</v>
      </c>
      <c r="I55" s="181">
        <f t="shared" si="9"/>
        <v>57779.608282467852</v>
      </c>
      <c r="J55" s="181">
        <f t="shared" si="19"/>
        <v>57779.60828246786</v>
      </c>
      <c r="K55" s="188">
        <f t="shared" si="10"/>
        <v>0</v>
      </c>
      <c r="L55" s="189">
        <f t="shared" si="11"/>
        <v>57779.60828246786</v>
      </c>
      <c r="M55" s="189">
        <f t="shared" si="20"/>
        <v>57779.608282467852</v>
      </c>
      <c r="N55" s="188">
        <f t="shared" si="12"/>
        <v>0</v>
      </c>
      <c r="O55" s="189">
        <f t="shared" si="13"/>
        <v>57779.608282467852</v>
      </c>
      <c r="P55" s="189">
        <f t="shared" si="21"/>
        <v>57779.60828246786</v>
      </c>
      <c r="Q55" s="188">
        <f t="shared" si="14"/>
        <v>0</v>
      </c>
      <c r="R55" s="189">
        <f t="shared" si="15"/>
        <v>57779.60828246786</v>
      </c>
      <c r="S55" s="189">
        <f t="shared" si="22"/>
        <v>57779.608282467852</v>
      </c>
      <c r="T55" s="188">
        <f t="shared" si="16"/>
        <v>0</v>
      </c>
      <c r="U55" s="189">
        <f t="shared" si="17"/>
        <v>57779.608282467852</v>
      </c>
      <c r="V55" s="189">
        <f t="shared" si="23"/>
        <v>57779.60828246786</v>
      </c>
      <c r="W55" s="180">
        <f t="shared" si="18"/>
        <v>57779.60828246786</v>
      </c>
      <c r="X55" s="129">
        <f t="shared" si="24"/>
        <v>7.1484962671764076E-3</v>
      </c>
    </row>
    <row r="56" spans="2:24" x14ac:dyDescent="0.25">
      <c r="B56" s="156">
        <f t="shared" si="6"/>
        <v>36</v>
      </c>
      <c r="C56" s="127" t="str">
        <f>'קיזוזים- החלטות ועדה'!C66</f>
        <v>מיכאל גטמן</v>
      </c>
      <c r="D56" s="190">
        <f>IF(C56="","",'הגבלה לסכום מבוקש (1)'!D56)</f>
        <v>295000</v>
      </c>
      <c r="E56" s="190">
        <f>IF(C56="","",'קיזוזים בגין איחורים'!F66+'קיזוזים- החלטות ועדה'!E66)</f>
        <v>0</v>
      </c>
      <c r="F56" s="181">
        <f t="shared" si="7"/>
        <v>295000</v>
      </c>
      <c r="G56" s="181">
        <f>'קיזוזים- החלטות ועדה'!G66</f>
        <v>121187.52481657029</v>
      </c>
      <c r="H56" s="140">
        <f t="shared" si="8"/>
        <v>0</v>
      </c>
      <c r="I56" s="181">
        <f t="shared" si="9"/>
        <v>121187.52481657029</v>
      </c>
      <c r="J56" s="181">
        <f t="shared" si="19"/>
        <v>121187.52481657032</v>
      </c>
      <c r="K56" s="188">
        <f t="shared" si="10"/>
        <v>0</v>
      </c>
      <c r="L56" s="189">
        <f t="shared" si="11"/>
        <v>121187.52481657032</v>
      </c>
      <c r="M56" s="189">
        <f t="shared" si="20"/>
        <v>121187.52481657029</v>
      </c>
      <c r="N56" s="188">
        <f t="shared" si="12"/>
        <v>0</v>
      </c>
      <c r="O56" s="189">
        <f t="shared" si="13"/>
        <v>121187.52481657029</v>
      </c>
      <c r="P56" s="189">
        <f t="shared" si="21"/>
        <v>121187.52481657032</v>
      </c>
      <c r="Q56" s="188">
        <f t="shared" si="14"/>
        <v>0</v>
      </c>
      <c r="R56" s="189">
        <f t="shared" si="15"/>
        <v>121187.52481657032</v>
      </c>
      <c r="S56" s="189">
        <f t="shared" si="22"/>
        <v>121187.52481657029</v>
      </c>
      <c r="T56" s="188">
        <f t="shared" si="16"/>
        <v>0</v>
      </c>
      <c r="U56" s="189">
        <f t="shared" si="17"/>
        <v>121187.52481657029</v>
      </c>
      <c r="V56" s="189">
        <f t="shared" si="23"/>
        <v>121187.52481657032</v>
      </c>
      <c r="W56" s="180">
        <f t="shared" si="18"/>
        <v>121187.52481657032</v>
      </c>
      <c r="X56" s="129">
        <f t="shared" si="24"/>
        <v>1.4993327136183896E-2</v>
      </c>
    </row>
    <row r="57" spans="2:24" x14ac:dyDescent="0.25">
      <c r="B57" s="156">
        <f t="shared" si="6"/>
        <v>37</v>
      </c>
      <c r="C57" s="127" t="str">
        <f>'קיזוזים- החלטות ועדה'!C67</f>
        <v>מיכל הרמן</v>
      </c>
      <c r="D57" s="190">
        <f>IF(C57="","",'הגבלה לסכום מבוקש (1)'!D57)</f>
        <v>295000</v>
      </c>
      <c r="E57" s="190">
        <f>IF(C57="","",'קיזוזים בגין איחורים'!F67+'קיזוזים- החלטות ועדה'!E67)</f>
        <v>0</v>
      </c>
      <c r="F57" s="181">
        <f t="shared" si="7"/>
        <v>295000</v>
      </c>
      <c r="G57" s="181">
        <f>'קיזוזים- החלטות ועדה'!G67</f>
        <v>47100.992027626431</v>
      </c>
      <c r="H57" s="140">
        <f t="shared" si="8"/>
        <v>0</v>
      </c>
      <c r="I57" s="181">
        <f t="shared" si="9"/>
        <v>47100.992027626431</v>
      </c>
      <c r="J57" s="181">
        <f t="shared" si="19"/>
        <v>47100.992027626438</v>
      </c>
      <c r="K57" s="188">
        <f t="shared" si="10"/>
        <v>0</v>
      </c>
      <c r="L57" s="189">
        <f t="shared" si="11"/>
        <v>47100.992027626438</v>
      </c>
      <c r="M57" s="189">
        <f t="shared" si="20"/>
        <v>47100.992027626424</v>
      </c>
      <c r="N57" s="188">
        <f t="shared" si="12"/>
        <v>0</v>
      </c>
      <c r="O57" s="189">
        <f t="shared" si="13"/>
        <v>47100.992027626424</v>
      </c>
      <c r="P57" s="189">
        <f t="shared" si="21"/>
        <v>47100.992027626431</v>
      </c>
      <c r="Q57" s="188">
        <f t="shared" si="14"/>
        <v>0</v>
      </c>
      <c r="R57" s="189">
        <f t="shared" si="15"/>
        <v>47100.992027626431</v>
      </c>
      <c r="S57" s="189">
        <f t="shared" si="22"/>
        <v>47100.992027626417</v>
      </c>
      <c r="T57" s="188">
        <f t="shared" si="16"/>
        <v>0</v>
      </c>
      <c r="U57" s="189">
        <f t="shared" si="17"/>
        <v>47100.992027626417</v>
      </c>
      <c r="V57" s="189">
        <f t="shared" si="23"/>
        <v>47100.992027626424</v>
      </c>
      <c r="W57" s="180">
        <f t="shared" si="18"/>
        <v>47100.992027626424</v>
      </c>
      <c r="X57" s="129">
        <f t="shared" si="24"/>
        <v>5.8273372855654837E-3</v>
      </c>
    </row>
    <row r="58" spans="2:24" x14ac:dyDescent="0.25">
      <c r="B58" s="156">
        <f t="shared" si="6"/>
        <v>38</v>
      </c>
      <c r="C58" s="127" t="str">
        <f>'קיזוזים- החלטות ועדה'!C68</f>
        <v>מירב דגן</v>
      </c>
      <c r="D58" s="190">
        <f>IF(C58="","",'הגבלה לסכום מבוקש (1)'!D58)</f>
        <v>295000</v>
      </c>
      <c r="E58" s="190">
        <f>IF(C58="","",'קיזוזים בגין איחורים'!F68+'קיזוזים- החלטות ועדה'!E68)</f>
        <v>0</v>
      </c>
      <c r="F58" s="181">
        <f t="shared" si="7"/>
        <v>295000</v>
      </c>
      <c r="G58" s="181">
        <f>'קיזוזים- החלטות ועדה'!G68</f>
        <v>76204.97842413919</v>
      </c>
      <c r="H58" s="140">
        <f t="shared" si="8"/>
        <v>0</v>
      </c>
      <c r="I58" s="181">
        <f t="shared" si="9"/>
        <v>76204.97842413919</v>
      </c>
      <c r="J58" s="181">
        <f t="shared" si="19"/>
        <v>76204.978424139204</v>
      </c>
      <c r="K58" s="188">
        <f t="shared" si="10"/>
        <v>0</v>
      </c>
      <c r="L58" s="189">
        <f t="shared" si="11"/>
        <v>76204.978424139204</v>
      </c>
      <c r="M58" s="189">
        <f t="shared" si="20"/>
        <v>76204.97842413919</v>
      </c>
      <c r="N58" s="188">
        <f t="shared" si="12"/>
        <v>0</v>
      </c>
      <c r="O58" s="189">
        <f t="shared" si="13"/>
        <v>76204.97842413919</v>
      </c>
      <c r="P58" s="189">
        <f t="shared" si="21"/>
        <v>76204.978424139204</v>
      </c>
      <c r="Q58" s="188">
        <f t="shared" si="14"/>
        <v>0</v>
      </c>
      <c r="R58" s="189">
        <f t="shared" si="15"/>
        <v>76204.978424139204</v>
      </c>
      <c r="S58" s="189">
        <f t="shared" si="22"/>
        <v>76204.97842413919</v>
      </c>
      <c r="T58" s="188">
        <f t="shared" si="16"/>
        <v>0</v>
      </c>
      <c r="U58" s="189">
        <f t="shared" si="17"/>
        <v>76204.97842413919</v>
      </c>
      <c r="V58" s="189">
        <f t="shared" si="23"/>
        <v>76204.978424139204</v>
      </c>
      <c r="W58" s="180">
        <f t="shared" si="18"/>
        <v>76204.978424139204</v>
      </c>
      <c r="X58" s="129">
        <f t="shared" si="24"/>
        <v>9.428084059381071E-3</v>
      </c>
    </row>
    <row r="59" spans="2:24" x14ac:dyDescent="0.25">
      <c r="B59" s="156">
        <f t="shared" si="6"/>
        <v>39</v>
      </c>
      <c r="C59" s="127" t="str">
        <f>'קיזוזים- החלטות ועדה'!C69</f>
        <v>תמר לם ודיוויד קרן</v>
      </c>
      <c r="D59" s="190">
        <f>IF(C59="","",'הגבלה לסכום מבוקש (1)'!D59)</f>
        <v>295000</v>
      </c>
      <c r="E59" s="190">
        <f>IF(C59="","",'קיזוזים בגין איחורים'!F69+'קיזוזים- החלטות ועדה'!E69)</f>
        <v>0</v>
      </c>
      <c r="F59" s="181">
        <f t="shared" si="7"/>
        <v>295000</v>
      </c>
      <c r="G59" s="181">
        <f>'קיזוזים- החלטות ועדה'!G69</f>
        <v>50172.318265900591</v>
      </c>
      <c r="H59" s="140">
        <f t="shared" si="8"/>
        <v>0</v>
      </c>
      <c r="I59" s="181">
        <f t="shared" si="9"/>
        <v>50172.318265900591</v>
      </c>
      <c r="J59" s="181">
        <f t="shared" si="19"/>
        <v>50172.318265900605</v>
      </c>
      <c r="K59" s="188">
        <f t="shared" si="10"/>
        <v>0</v>
      </c>
      <c r="L59" s="189">
        <f t="shared" si="11"/>
        <v>50172.318265900605</v>
      </c>
      <c r="M59" s="189">
        <f t="shared" si="20"/>
        <v>50172.318265900591</v>
      </c>
      <c r="N59" s="188">
        <f t="shared" si="12"/>
        <v>0</v>
      </c>
      <c r="O59" s="189">
        <f t="shared" si="13"/>
        <v>50172.318265900591</v>
      </c>
      <c r="P59" s="189">
        <f t="shared" si="21"/>
        <v>50172.318265900605</v>
      </c>
      <c r="Q59" s="188">
        <f t="shared" si="14"/>
        <v>0</v>
      </c>
      <c r="R59" s="189">
        <f t="shared" si="15"/>
        <v>50172.318265900605</v>
      </c>
      <c r="S59" s="189">
        <f t="shared" si="22"/>
        <v>50172.318265900591</v>
      </c>
      <c r="T59" s="188">
        <f t="shared" si="16"/>
        <v>0</v>
      </c>
      <c r="U59" s="189">
        <f t="shared" si="17"/>
        <v>50172.318265900591</v>
      </c>
      <c r="V59" s="189">
        <f t="shared" si="23"/>
        <v>50172.318265900605</v>
      </c>
      <c r="W59" s="180">
        <f t="shared" si="18"/>
        <v>50172.318265900605</v>
      </c>
      <c r="X59" s="129">
        <f t="shared" si="24"/>
        <v>6.2073219341676426E-3</v>
      </c>
    </row>
    <row r="60" spans="2:24" x14ac:dyDescent="0.25">
      <c r="B60" s="156">
        <f t="shared" si="6"/>
        <v>40</v>
      </c>
      <c r="C60" s="127" t="str">
        <f>'קיזוזים- החלטות ועדה'!C70</f>
        <v>סיגל ברגמן</v>
      </c>
      <c r="D60" s="190">
        <f>IF(C60="","",'הגבלה לסכום מבוקש (1)'!D60)</f>
        <v>295000</v>
      </c>
      <c r="E60" s="190">
        <f>IF(C60="","",'קיזוזים בגין איחורים'!F70+'קיזוזים- החלטות ועדה'!E70)</f>
        <v>0</v>
      </c>
      <c r="F60" s="181">
        <f t="shared" si="7"/>
        <v>295000</v>
      </c>
      <c r="G60" s="181">
        <f>'קיזוזים- החלטות ועדה'!G70</f>
        <v>71654.836597695656</v>
      </c>
      <c r="H60" s="140">
        <f t="shared" si="8"/>
        <v>0</v>
      </c>
      <c r="I60" s="181">
        <f t="shared" si="9"/>
        <v>71654.836597695656</v>
      </c>
      <c r="J60" s="181">
        <f t="shared" si="19"/>
        <v>71654.83659769567</v>
      </c>
      <c r="K60" s="188">
        <f t="shared" si="10"/>
        <v>0</v>
      </c>
      <c r="L60" s="189">
        <f t="shared" si="11"/>
        <v>71654.83659769567</v>
      </c>
      <c r="M60" s="189">
        <f t="shared" si="20"/>
        <v>71654.836597695656</v>
      </c>
      <c r="N60" s="188">
        <f t="shared" si="12"/>
        <v>0</v>
      </c>
      <c r="O60" s="189">
        <f t="shared" si="13"/>
        <v>71654.836597695656</v>
      </c>
      <c r="P60" s="189">
        <f t="shared" si="21"/>
        <v>71654.83659769567</v>
      </c>
      <c r="Q60" s="188">
        <f t="shared" si="14"/>
        <v>0</v>
      </c>
      <c r="R60" s="189">
        <f t="shared" si="15"/>
        <v>71654.83659769567</v>
      </c>
      <c r="S60" s="189">
        <f t="shared" si="22"/>
        <v>71654.836597695656</v>
      </c>
      <c r="T60" s="188">
        <f t="shared" si="16"/>
        <v>0</v>
      </c>
      <c r="U60" s="189">
        <f t="shared" si="17"/>
        <v>71654.836597695656</v>
      </c>
      <c r="V60" s="189">
        <f t="shared" si="23"/>
        <v>71654.83659769567</v>
      </c>
      <c r="W60" s="180">
        <f t="shared" si="18"/>
        <v>71654.83659769567</v>
      </c>
      <c r="X60" s="129">
        <f t="shared" si="24"/>
        <v>8.8651402660891322E-3</v>
      </c>
    </row>
    <row r="61" spans="2:24" x14ac:dyDescent="0.25">
      <c r="B61" s="156">
        <f t="shared" si="6"/>
        <v>41</v>
      </c>
      <c r="C61" s="127" t="str">
        <f>'קיזוזים- החלטות ועדה'!C71</f>
        <v>מעין ליבמן שרון</v>
      </c>
      <c r="D61" s="190">
        <f>IF(C61="","",'הגבלה לסכום מבוקש (1)'!D61)</f>
        <v>295000</v>
      </c>
      <c r="E61" s="190">
        <f>IF(C61="","",'קיזוזים בגין איחורים'!F71+'קיזוזים- החלטות ועדה'!E71)</f>
        <v>0</v>
      </c>
      <c r="F61" s="181">
        <f t="shared" si="7"/>
        <v>295000</v>
      </c>
      <c r="G61" s="181">
        <f>'קיזוזים- החלטות ועדה'!G71</f>
        <v>85780.74494806923</v>
      </c>
      <c r="H61" s="140">
        <f t="shared" si="8"/>
        <v>0</v>
      </c>
      <c r="I61" s="181">
        <f t="shared" si="9"/>
        <v>85780.74494806923</v>
      </c>
      <c r="J61" s="181">
        <f t="shared" si="19"/>
        <v>85780.744948069259</v>
      </c>
      <c r="K61" s="188">
        <f t="shared" si="10"/>
        <v>0</v>
      </c>
      <c r="L61" s="189">
        <f t="shared" si="11"/>
        <v>85780.744948069259</v>
      </c>
      <c r="M61" s="189">
        <f t="shared" si="20"/>
        <v>85780.744948069245</v>
      </c>
      <c r="N61" s="188">
        <f t="shared" si="12"/>
        <v>0</v>
      </c>
      <c r="O61" s="189">
        <f t="shared" si="13"/>
        <v>85780.744948069245</v>
      </c>
      <c r="P61" s="189">
        <f t="shared" si="21"/>
        <v>85780.744948069259</v>
      </c>
      <c r="Q61" s="188">
        <f t="shared" si="14"/>
        <v>0</v>
      </c>
      <c r="R61" s="189">
        <f t="shared" si="15"/>
        <v>85780.744948069259</v>
      </c>
      <c r="S61" s="189">
        <f t="shared" si="22"/>
        <v>85780.744948069245</v>
      </c>
      <c r="T61" s="188">
        <f t="shared" si="16"/>
        <v>0</v>
      </c>
      <c r="U61" s="189">
        <f t="shared" si="17"/>
        <v>85780.744948069245</v>
      </c>
      <c r="V61" s="189">
        <f t="shared" si="23"/>
        <v>85780.744948069259</v>
      </c>
      <c r="W61" s="180">
        <f t="shared" si="18"/>
        <v>85780.744948069259</v>
      </c>
      <c r="X61" s="129">
        <f t="shared" si="24"/>
        <v>1.0612798412531807E-2</v>
      </c>
    </row>
    <row r="62" spans="2:24" x14ac:dyDescent="0.25">
      <c r="B62" s="156">
        <f t="shared" si="6"/>
        <v>42</v>
      </c>
      <c r="C62" s="127" t="str">
        <f>'קיזוזים- החלטות ועדה'!C72</f>
        <v>אודליה קופרברג</v>
      </c>
      <c r="D62" s="190">
        <f>IF(C62="","",'הגבלה לסכום מבוקש (1)'!D62)</f>
        <v>295000</v>
      </c>
      <c r="E62" s="190">
        <f>IF(C62="","",'קיזוזים בגין איחורים'!F72+'קיזוזים- החלטות ועדה'!E72)</f>
        <v>0</v>
      </c>
      <c r="F62" s="181">
        <f t="shared" si="7"/>
        <v>295000</v>
      </c>
      <c r="G62" s="181">
        <f>'קיזוזים- החלטות ועדה'!G72</f>
        <v>54901.509227587921</v>
      </c>
      <c r="H62" s="140">
        <f t="shared" si="8"/>
        <v>0</v>
      </c>
      <c r="I62" s="181">
        <f t="shared" si="9"/>
        <v>54901.509227587921</v>
      </c>
      <c r="J62" s="181">
        <f t="shared" si="19"/>
        <v>54901.509227587936</v>
      </c>
      <c r="K62" s="188">
        <f t="shared" si="10"/>
        <v>0</v>
      </c>
      <c r="L62" s="189">
        <f t="shared" si="11"/>
        <v>54901.509227587936</v>
      </c>
      <c r="M62" s="189">
        <f t="shared" si="20"/>
        <v>54901.509227587921</v>
      </c>
      <c r="N62" s="188">
        <f t="shared" si="12"/>
        <v>0</v>
      </c>
      <c r="O62" s="189">
        <f t="shared" si="13"/>
        <v>54901.509227587921</v>
      </c>
      <c r="P62" s="189">
        <f t="shared" si="21"/>
        <v>54901.509227587936</v>
      </c>
      <c r="Q62" s="188">
        <f t="shared" si="14"/>
        <v>0</v>
      </c>
      <c r="R62" s="189">
        <f t="shared" si="15"/>
        <v>54901.509227587936</v>
      </c>
      <c r="S62" s="189">
        <f t="shared" si="22"/>
        <v>54901.509227587921</v>
      </c>
      <c r="T62" s="188">
        <f t="shared" si="16"/>
        <v>0</v>
      </c>
      <c r="U62" s="189">
        <f t="shared" si="17"/>
        <v>54901.509227587921</v>
      </c>
      <c r="V62" s="189">
        <f t="shared" si="23"/>
        <v>54901.509227587936</v>
      </c>
      <c r="W62" s="180">
        <f t="shared" si="18"/>
        <v>54901.509227587936</v>
      </c>
      <c r="X62" s="129">
        <f t="shared" si="24"/>
        <v>6.7924176961727352E-3</v>
      </c>
    </row>
    <row r="63" spans="2:24" x14ac:dyDescent="0.25">
      <c r="B63" s="156">
        <f t="shared" si="6"/>
        <v>43</v>
      </c>
      <c r="C63" s="127" t="str">
        <f>'קיזוזים- החלטות ועדה'!C73</f>
        <v>נועה צוק</v>
      </c>
      <c r="D63" s="190">
        <f>IF(C63="","",'הגבלה לסכום מבוקש (1)'!D63)</f>
        <v>295000</v>
      </c>
      <c r="E63" s="190">
        <f>IF(C63="","",'קיזוזים בגין איחורים'!F73+'קיזוזים- החלטות ועדה'!E73)</f>
        <v>0</v>
      </c>
      <c r="F63" s="181">
        <f t="shared" si="7"/>
        <v>295000</v>
      </c>
      <c r="G63" s="181">
        <f>'קיזוזים- החלטות ועדה'!G73</f>
        <v>87659.146440685217</v>
      </c>
      <c r="H63" s="140">
        <f t="shared" si="8"/>
        <v>0</v>
      </c>
      <c r="I63" s="181">
        <f t="shared" si="9"/>
        <v>87659.146440685217</v>
      </c>
      <c r="J63" s="181">
        <f t="shared" si="19"/>
        <v>87659.146440685232</v>
      </c>
      <c r="K63" s="188">
        <f t="shared" si="10"/>
        <v>0</v>
      </c>
      <c r="L63" s="189">
        <f t="shared" si="11"/>
        <v>87659.146440685232</v>
      </c>
      <c r="M63" s="189">
        <f t="shared" si="20"/>
        <v>87659.146440685217</v>
      </c>
      <c r="N63" s="188">
        <f t="shared" si="12"/>
        <v>0</v>
      </c>
      <c r="O63" s="189">
        <f t="shared" si="13"/>
        <v>87659.146440685217</v>
      </c>
      <c r="P63" s="189">
        <f t="shared" si="21"/>
        <v>87659.146440685232</v>
      </c>
      <c r="Q63" s="188">
        <f t="shared" si="14"/>
        <v>0</v>
      </c>
      <c r="R63" s="189">
        <f t="shared" si="15"/>
        <v>87659.146440685232</v>
      </c>
      <c r="S63" s="189">
        <f t="shared" si="22"/>
        <v>87659.146440685217</v>
      </c>
      <c r="T63" s="188">
        <f t="shared" si="16"/>
        <v>0</v>
      </c>
      <c r="U63" s="189">
        <f t="shared" si="17"/>
        <v>87659.146440685217</v>
      </c>
      <c r="V63" s="189">
        <f t="shared" si="23"/>
        <v>87659.146440685232</v>
      </c>
      <c r="W63" s="180">
        <f t="shared" si="18"/>
        <v>87659.146440685232</v>
      </c>
      <c r="X63" s="129">
        <f t="shared" si="24"/>
        <v>1.0845194346969083E-2</v>
      </c>
    </row>
    <row r="64" spans="2:24" x14ac:dyDescent="0.25">
      <c r="B64" s="156">
        <f t="shared" si="6"/>
        <v>44</v>
      </c>
      <c r="C64" s="127" t="str">
        <f>'קיזוזים- החלטות ועדה'!C74</f>
        <v>נטע פולברמכר</v>
      </c>
      <c r="D64" s="190">
        <f>IF(C64="","",'הגבלה לסכום מבוקש (1)'!D64)</f>
        <v>295000</v>
      </c>
      <c r="E64" s="190">
        <f>IF(C64="","",'קיזוזים בגין איחורים'!F74+'קיזוזים- החלטות ועדה'!E74)</f>
        <v>0</v>
      </c>
      <c r="F64" s="181">
        <f t="shared" si="7"/>
        <v>295000</v>
      </c>
      <c r="G64" s="181">
        <f>'קיזוזים- החלטות ועדה'!G74</f>
        <v>87692.594136023778</v>
      </c>
      <c r="H64" s="140">
        <f t="shared" si="8"/>
        <v>0</v>
      </c>
      <c r="I64" s="181">
        <f t="shared" si="9"/>
        <v>87692.594136023778</v>
      </c>
      <c r="J64" s="181">
        <f t="shared" si="19"/>
        <v>87692.594136023807</v>
      </c>
      <c r="K64" s="188">
        <f t="shared" si="10"/>
        <v>0</v>
      </c>
      <c r="L64" s="189">
        <f t="shared" si="11"/>
        <v>87692.594136023807</v>
      </c>
      <c r="M64" s="189">
        <f t="shared" si="20"/>
        <v>87692.594136023792</v>
      </c>
      <c r="N64" s="188">
        <f t="shared" si="12"/>
        <v>0</v>
      </c>
      <c r="O64" s="189">
        <f t="shared" si="13"/>
        <v>87692.594136023792</v>
      </c>
      <c r="P64" s="189">
        <f t="shared" si="21"/>
        <v>87692.594136023821</v>
      </c>
      <c r="Q64" s="188">
        <f t="shared" si="14"/>
        <v>0</v>
      </c>
      <c r="R64" s="189">
        <f t="shared" si="15"/>
        <v>87692.594136023821</v>
      </c>
      <c r="S64" s="189">
        <f t="shared" si="22"/>
        <v>87692.594136023807</v>
      </c>
      <c r="T64" s="188">
        <f t="shared" si="16"/>
        <v>0</v>
      </c>
      <c r="U64" s="189">
        <f t="shared" si="17"/>
        <v>87692.594136023807</v>
      </c>
      <c r="V64" s="189">
        <f t="shared" si="23"/>
        <v>87692.594136023836</v>
      </c>
      <c r="W64" s="180">
        <f t="shared" si="18"/>
        <v>87692.594136023836</v>
      </c>
      <c r="X64" s="129">
        <f t="shared" si="24"/>
        <v>1.0849332497648554E-2</v>
      </c>
    </row>
    <row r="65" spans="2:24" x14ac:dyDescent="0.25">
      <c r="B65" s="156">
        <f t="shared" si="6"/>
        <v>45</v>
      </c>
      <c r="C65" s="127" t="str">
        <f>'קיזוזים- החלטות ועדה'!C75</f>
        <v>ניב שינפלד ואורן לאור</v>
      </c>
      <c r="D65" s="190">
        <f>IF(C65="","",'הגבלה לסכום מבוקש (1)'!D65)</f>
        <v>360000</v>
      </c>
      <c r="E65" s="190">
        <f>IF(C65="","",'קיזוזים בגין איחורים'!F75+'קיזוזים- החלטות ועדה'!E75)</f>
        <v>0</v>
      </c>
      <c r="F65" s="181">
        <f t="shared" si="7"/>
        <v>360000</v>
      </c>
      <c r="G65" s="181">
        <f>'קיזוזים- החלטות ועדה'!G75</f>
        <v>230514.79311682348</v>
      </c>
      <c r="H65" s="140">
        <f t="shared" si="8"/>
        <v>0</v>
      </c>
      <c r="I65" s="181">
        <f t="shared" si="9"/>
        <v>230514.79311682348</v>
      </c>
      <c r="J65" s="181">
        <f t="shared" si="19"/>
        <v>230514.79311682351</v>
      </c>
      <c r="K65" s="188">
        <f t="shared" si="10"/>
        <v>0</v>
      </c>
      <c r="L65" s="189">
        <f t="shared" si="11"/>
        <v>230514.79311682351</v>
      </c>
      <c r="M65" s="189">
        <f t="shared" si="20"/>
        <v>230514.79311682348</v>
      </c>
      <c r="N65" s="188">
        <f t="shared" si="12"/>
        <v>0</v>
      </c>
      <c r="O65" s="189">
        <f t="shared" si="13"/>
        <v>230514.79311682348</v>
      </c>
      <c r="P65" s="189">
        <f t="shared" si="21"/>
        <v>230514.79311682351</v>
      </c>
      <c r="Q65" s="188">
        <f t="shared" si="14"/>
        <v>0</v>
      </c>
      <c r="R65" s="189">
        <f t="shared" si="15"/>
        <v>230514.79311682351</v>
      </c>
      <c r="S65" s="189">
        <f t="shared" si="22"/>
        <v>230514.79311682348</v>
      </c>
      <c r="T65" s="188">
        <f t="shared" si="16"/>
        <v>0</v>
      </c>
      <c r="U65" s="189">
        <f t="shared" si="17"/>
        <v>230514.79311682348</v>
      </c>
      <c r="V65" s="189">
        <f t="shared" si="23"/>
        <v>230514.79311682351</v>
      </c>
      <c r="W65" s="180">
        <f t="shared" si="18"/>
        <v>230514.79311682351</v>
      </c>
      <c r="X65" s="129">
        <f t="shared" si="24"/>
        <v>2.8519302693586435E-2</v>
      </c>
    </row>
    <row r="66" spans="2:24" x14ac:dyDescent="0.25">
      <c r="B66" s="156">
        <f t="shared" si="6"/>
        <v>46</v>
      </c>
      <c r="C66" s="127" t="str">
        <f>'קיזוזים- החלטות ועדה'!C76</f>
        <v>נימה יעקובי</v>
      </c>
      <c r="D66" s="190">
        <f>IF(C66="","",'הגבלה לסכום מבוקש (1)'!D66)</f>
        <v>295000</v>
      </c>
      <c r="E66" s="190">
        <f>IF(C66="","",'קיזוזים בגין איחורים'!F76+'קיזוזים- החלטות ועדה'!E76)</f>
        <v>0</v>
      </c>
      <c r="F66" s="181">
        <f t="shared" si="7"/>
        <v>295000</v>
      </c>
      <c r="G66" s="181">
        <f>'קיזוזים- החלטות ועדה'!G76</f>
        <v>177627.24083110233</v>
      </c>
      <c r="H66" s="140">
        <f t="shared" si="8"/>
        <v>0</v>
      </c>
      <c r="I66" s="181">
        <f t="shared" si="9"/>
        <v>177627.24083110233</v>
      </c>
      <c r="J66" s="181">
        <f t="shared" si="19"/>
        <v>177627.24083110236</v>
      </c>
      <c r="K66" s="188">
        <f t="shared" si="10"/>
        <v>0</v>
      </c>
      <c r="L66" s="189">
        <f t="shared" si="11"/>
        <v>177627.24083110236</v>
      </c>
      <c r="M66" s="189">
        <f t="shared" si="20"/>
        <v>177627.2408311023</v>
      </c>
      <c r="N66" s="188">
        <f t="shared" si="12"/>
        <v>0</v>
      </c>
      <c r="O66" s="189">
        <f t="shared" si="13"/>
        <v>177627.2408311023</v>
      </c>
      <c r="P66" s="189">
        <f t="shared" si="21"/>
        <v>177627.24083110233</v>
      </c>
      <c r="Q66" s="188">
        <f t="shared" si="14"/>
        <v>0</v>
      </c>
      <c r="R66" s="189">
        <f t="shared" si="15"/>
        <v>177627.24083110233</v>
      </c>
      <c r="S66" s="189">
        <f t="shared" si="22"/>
        <v>177627.24083110227</v>
      </c>
      <c r="T66" s="188">
        <f t="shared" si="16"/>
        <v>0</v>
      </c>
      <c r="U66" s="189">
        <f t="shared" si="17"/>
        <v>177627.24083110227</v>
      </c>
      <c r="V66" s="189">
        <f t="shared" si="23"/>
        <v>177627.2408311023</v>
      </c>
      <c r="W66" s="180">
        <f t="shared" si="18"/>
        <v>177627.2408311023</v>
      </c>
      <c r="X66" s="129">
        <f t="shared" si="24"/>
        <v>2.1976051859376601E-2</v>
      </c>
    </row>
    <row r="67" spans="2:24" x14ac:dyDescent="0.25">
      <c r="B67" s="156">
        <f t="shared" si="6"/>
        <v>47</v>
      </c>
      <c r="C67" s="127" t="str">
        <f>'קיזוזים- החלטות ועדה'!C77</f>
        <v>נמרוד פריד</v>
      </c>
      <c r="D67" s="190">
        <f>IF(C67="","",'הגבלה לסכום מבוקש (1)'!D67)</f>
        <v>295000</v>
      </c>
      <c r="E67" s="190">
        <f>IF(C67="","",'קיזוזים בגין איחורים'!F77+'קיזוזים- החלטות ועדה'!E77)</f>
        <v>0</v>
      </c>
      <c r="F67" s="181">
        <f t="shared" si="7"/>
        <v>295000</v>
      </c>
      <c r="G67" s="181">
        <f>'קיזוזים- החלטות ועדה'!G77</f>
        <v>57317.825615401824</v>
      </c>
      <c r="H67" s="140">
        <f t="shared" si="8"/>
        <v>0</v>
      </c>
      <c r="I67" s="181">
        <f t="shared" si="9"/>
        <v>57317.825615401824</v>
      </c>
      <c r="J67" s="181">
        <f t="shared" si="19"/>
        <v>57317.825615401831</v>
      </c>
      <c r="K67" s="188">
        <f t="shared" si="10"/>
        <v>0</v>
      </c>
      <c r="L67" s="189">
        <f t="shared" si="11"/>
        <v>57317.825615401831</v>
      </c>
      <c r="M67" s="189">
        <f t="shared" si="20"/>
        <v>57317.825615401824</v>
      </c>
      <c r="N67" s="188">
        <f t="shared" si="12"/>
        <v>0</v>
      </c>
      <c r="O67" s="189">
        <f t="shared" si="13"/>
        <v>57317.825615401824</v>
      </c>
      <c r="P67" s="189">
        <f t="shared" si="21"/>
        <v>57317.825615401831</v>
      </c>
      <c r="Q67" s="188">
        <f t="shared" si="14"/>
        <v>0</v>
      </c>
      <c r="R67" s="189">
        <f t="shared" si="15"/>
        <v>57317.825615401831</v>
      </c>
      <c r="S67" s="189">
        <f t="shared" si="22"/>
        <v>57317.825615401824</v>
      </c>
      <c r="T67" s="188">
        <f t="shared" si="16"/>
        <v>0</v>
      </c>
      <c r="U67" s="189">
        <f t="shared" si="17"/>
        <v>57317.825615401824</v>
      </c>
      <c r="V67" s="189">
        <f t="shared" si="23"/>
        <v>57317.825615401831</v>
      </c>
      <c r="W67" s="180">
        <f t="shared" si="18"/>
        <v>57317.825615401831</v>
      </c>
      <c r="X67" s="129">
        <f t="shared" si="24"/>
        <v>7.0913644905878509E-3</v>
      </c>
    </row>
    <row r="68" spans="2:24" x14ac:dyDescent="0.25">
      <c r="B68" s="156">
        <f t="shared" si="6"/>
        <v>48</v>
      </c>
      <c r="C68" s="127" t="str">
        <f>'קיזוזים- החלטות ועדה'!C78</f>
        <v>נעה דר</v>
      </c>
      <c r="D68" s="190">
        <f>IF(C68="","",'הגבלה לסכום מבוקש (1)'!D68)</f>
        <v>295000</v>
      </c>
      <c r="E68" s="190">
        <f>IF(C68="","",'קיזוזים בגין איחורים'!F78+'קיזוזים- החלטות ועדה'!E78)</f>
        <v>0</v>
      </c>
      <c r="F68" s="181">
        <f t="shared" si="7"/>
        <v>295000</v>
      </c>
      <c r="G68" s="181">
        <f>'קיזוזים- החלטות ועדה'!G78</f>
        <v>108324.59493064167</v>
      </c>
      <c r="H68" s="140">
        <f t="shared" si="8"/>
        <v>0</v>
      </c>
      <c r="I68" s="181">
        <f t="shared" si="9"/>
        <v>108324.59493064167</v>
      </c>
      <c r="J68" s="181">
        <f t="shared" si="19"/>
        <v>108324.59493064169</v>
      </c>
      <c r="K68" s="188">
        <f t="shared" si="10"/>
        <v>0</v>
      </c>
      <c r="L68" s="189">
        <f t="shared" si="11"/>
        <v>108324.59493064169</v>
      </c>
      <c r="M68" s="189">
        <f t="shared" si="20"/>
        <v>108324.59493064166</v>
      </c>
      <c r="N68" s="188">
        <f t="shared" si="12"/>
        <v>0</v>
      </c>
      <c r="O68" s="189">
        <f t="shared" si="13"/>
        <v>108324.59493064166</v>
      </c>
      <c r="P68" s="189">
        <f t="shared" si="21"/>
        <v>108324.59493064167</v>
      </c>
      <c r="Q68" s="188">
        <f t="shared" si="14"/>
        <v>0</v>
      </c>
      <c r="R68" s="189">
        <f t="shared" si="15"/>
        <v>108324.59493064167</v>
      </c>
      <c r="S68" s="189">
        <f t="shared" si="22"/>
        <v>108324.59493064166</v>
      </c>
      <c r="T68" s="188">
        <f t="shared" si="16"/>
        <v>0</v>
      </c>
      <c r="U68" s="189">
        <f t="shared" si="17"/>
        <v>108324.59493064166</v>
      </c>
      <c r="V68" s="189">
        <f t="shared" si="23"/>
        <v>108324.59493064167</v>
      </c>
      <c r="W68" s="180">
        <f t="shared" si="18"/>
        <v>108324.59493064167</v>
      </c>
      <c r="X68" s="129">
        <f t="shared" si="24"/>
        <v>1.3401924753789873E-2</v>
      </c>
    </row>
    <row r="69" spans="2:24" x14ac:dyDescent="0.25">
      <c r="B69" s="156">
        <f t="shared" si="6"/>
        <v>49</v>
      </c>
      <c r="C69" s="127" t="str">
        <f>'קיזוזים- החלטות ועדה'!C79</f>
        <v>נעה שדור</v>
      </c>
      <c r="D69" s="190">
        <f>IF(C69="","",'הגבלה לסכום מבוקש (1)'!D69)</f>
        <v>295000</v>
      </c>
      <c r="E69" s="190">
        <f>IF(C69="","",'קיזוזים בגין איחורים'!F79+'קיזוזים- החלטות ועדה'!E79)</f>
        <v>0</v>
      </c>
      <c r="F69" s="181">
        <f t="shared" si="7"/>
        <v>295000</v>
      </c>
      <c r="G69" s="181">
        <f>'קיזוזים- החלטות ועדה'!G79</f>
        <v>45664.255160527457</v>
      </c>
      <c r="H69" s="140">
        <f t="shared" si="8"/>
        <v>0</v>
      </c>
      <c r="I69" s="181">
        <f t="shared" si="9"/>
        <v>45664.255160527457</v>
      </c>
      <c r="J69" s="181">
        <f t="shared" si="19"/>
        <v>45664.255160527464</v>
      </c>
      <c r="K69" s="188">
        <f t="shared" si="10"/>
        <v>0</v>
      </c>
      <c r="L69" s="189">
        <f t="shared" si="11"/>
        <v>45664.255160527464</v>
      </c>
      <c r="M69" s="189">
        <f t="shared" si="20"/>
        <v>45664.255160527457</v>
      </c>
      <c r="N69" s="188">
        <f t="shared" si="12"/>
        <v>0</v>
      </c>
      <c r="O69" s="189">
        <f t="shared" si="13"/>
        <v>45664.255160527457</v>
      </c>
      <c r="P69" s="189">
        <f t="shared" si="21"/>
        <v>45664.255160527464</v>
      </c>
      <c r="Q69" s="188">
        <f t="shared" si="14"/>
        <v>0</v>
      </c>
      <c r="R69" s="189">
        <f t="shared" si="15"/>
        <v>45664.255160527464</v>
      </c>
      <c r="S69" s="189">
        <f t="shared" si="22"/>
        <v>45664.255160527457</v>
      </c>
      <c r="T69" s="188">
        <f t="shared" si="16"/>
        <v>0</v>
      </c>
      <c r="U69" s="189">
        <f t="shared" si="17"/>
        <v>45664.255160527457</v>
      </c>
      <c r="V69" s="189">
        <f t="shared" si="23"/>
        <v>45664.255160527464</v>
      </c>
      <c r="W69" s="180">
        <f t="shared" si="18"/>
        <v>45664.255160527464</v>
      </c>
      <c r="X69" s="129">
        <f t="shared" si="24"/>
        <v>5.6495841225263355E-3</v>
      </c>
    </row>
    <row r="70" spans="2:24" x14ac:dyDescent="0.25">
      <c r="B70" s="156">
        <f t="shared" si="6"/>
        <v>50</v>
      </c>
      <c r="C70" s="127" t="str">
        <f>'קיזוזים- החלטות ועדה'!C80</f>
        <v>סאלי אן פרילנד</v>
      </c>
      <c r="D70" s="190">
        <f>IF(C70="","",'הגבלה לסכום מבוקש (1)'!D70)</f>
        <v>295000</v>
      </c>
      <c r="E70" s="190">
        <f>IF(C70="","",'קיזוזים בגין איחורים'!F80+'קיזוזים- החלטות ועדה'!E80)</f>
        <v>0</v>
      </c>
      <c r="F70" s="181">
        <f t="shared" si="7"/>
        <v>295000</v>
      </c>
      <c r="G70" s="181">
        <f>'קיזוזים- החלטות ועדה'!G80</f>
        <v>57408.280918846685</v>
      </c>
      <c r="H70" s="140">
        <f t="shared" si="8"/>
        <v>0</v>
      </c>
      <c r="I70" s="181">
        <f t="shared" si="9"/>
        <v>57408.280918846685</v>
      </c>
      <c r="J70" s="181">
        <f t="shared" si="19"/>
        <v>57408.2809188467</v>
      </c>
      <c r="K70" s="188">
        <f t="shared" si="10"/>
        <v>0</v>
      </c>
      <c r="L70" s="189">
        <f t="shared" si="11"/>
        <v>57408.2809188467</v>
      </c>
      <c r="M70" s="189">
        <f t="shared" si="20"/>
        <v>57408.280918846685</v>
      </c>
      <c r="N70" s="188">
        <f t="shared" si="12"/>
        <v>0</v>
      </c>
      <c r="O70" s="189">
        <f t="shared" si="13"/>
        <v>57408.280918846685</v>
      </c>
      <c r="P70" s="189">
        <f t="shared" si="21"/>
        <v>57408.2809188467</v>
      </c>
      <c r="Q70" s="188">
        <f t="shared" si="14"/>
        <v>0</v>
      </c>
      <c r="R70" s="189">
        <f t="shared" si="15"/>
        <v>57408.2809188467</v>
      </c>
      <c r="S70" s="189">
        <f t="shared" si="22"/>
        <v>57408.280918846685</v>
      </c>
      <c r="T70" s="188">
        <f t="shared" si="16"/>
        <v>0</v>
      </c>
      <c r="U70" s="189">
        <f t="shared" si="17"/>
        <v>57408.280918846685</v>
      </c>
      <c r="V70" s="189">
        <f t="shared" si="23"/>
        <v>57408.2809188467</v>
      </c>
      <c r="W70" s="180">
        <f t="shared" si="18"/>
        <v>57408.2809188467</v>
      </c>
      <c r="X70" s="129">
        <f t="shared" si="24"/>
        <v>7.1025556256308717E-3</v>
      </c>
    </row>
    <row r="71" spans="2:24" x14ac:dyDescent="0.25">
      <c r="B71" s="156">
        <f t="shared" si="6"/>
        <v>51</v>
      </c>
      <c r="C71" s="127" t="str">
        <f>'קיזוזים- החלטות ועדה'!C81</f>
        <v>סהר עזימי</v>
      </c>
      <c r="D71" s="190">
        <f>IF(C71="","",'הגבלה לסכום מבוקש (1)'!D71)</f>
        <v>295000</v>
      </c>
      <c r="E71" s="190">
        <f>IF(C71="","",'קיזוזים בגין איחורים'!F81+'קיזוזים- החלטות ועדה'!E81)</f>
        <v>0</v>
      </c>
      <c r="F71" s="181">
        <f t="shared" si="7"/>
        <v>295000</v>
      </c>
      <c r="G71" s="181">
        <f>'קיזוזים- החלטות ועדה'!G81</f>
        <v>72648.154513605958</v>
      </c>
      <c r="H71" s="140">
        <f t="shared" si="8"/>
        <v>0</v>
      </c>
      <c r="I71" s="181">
        <f t="shared" si="9"/>
        <v>72648.154513605958</v>
      </c>
      <c r="J71" s="181">
        <f t="shared" si="19"/>
        <v>72648.154513605972</v>
      </c>
      <c r="K71" s="188">
        <f t="shared" si="10"/>
        <v>0</v>
      </c>
      <c r="L71" s="189">
        <f t="shared" si="11"/>
        <v>72648.154513605972</v>
      </c>
      <c r="M71" s="189">
        <f t="shared" si="20"/>
        <v>72648.154513605958</v>
      </c>
      <c r="N71" s="188">
        <f t="shared" si="12"/>
        <v>0</v>
      </c>
      <c r="O71" s="189">
        <f t="shared" si="13"/>
        <v>72648.154513605958</v>
      </c>
      <c r="P71" s="189">
        <f t="shared" si="21"/>
        <v>72648.154513605972</v>
      </c>
      <c r="Q71" s="188">
        <f t="shared" si="14"/>
        <v>0</v>
      </c>
      <c r="R71" s="189">
        <f t="shared" si="15"/>
        <v>72648.154513605972</v>
      </c>
      <c r="S71" s="189">
        <f t="shared" si="22"/>
        <v>72648.154513605958</v>
      </c>
      <c r="T71" s="188">
        <f t="shared" si="16"/>
        <v>0</v>
      </c>
      <c r="U71" s="189">
        <f t="shared" si="17"/>
        <v>72648.154513605958</v>
      </c>
      <c r="V71" s="189">
        <f t="shared" si="23"/>
        <v>72648.154513605972</v>
      </c>
      <c r="W71" s="180">
        <f t="shared" si="18"/>
        <v>72648.154513605972</v>
      </c>
      <c r="X71" s="129">
        <f t="shared" si="24"/>
        <v>8.9880336124630086E-3</v>
      </c>
    </row>
    <row r="72" spans="2:24" x14ac:dyDescent="0.25">
      <c r="B72" s="156">
        <f t="shared" si="6"/>
        <v>52</v>
      </c>
      <c r="C72" s="127" t="str">
        <f>'קיזוזים- החלטות ועדה'!C82</f>
        <v>עדו פדר</v>
      </c>
      <c r="D72" s="190">
        <f>IF(C72="","",'הגבלה לסכום מבוקש (1)'!D72)</f>
        <v>295000</v>
      </c>
      <c r="E72" s="190">
        <f>IF(C72="","",'קיזוזים בגין איחורים'!F82+'קיזוזים- החלטות ועדה'!E82)</f>
        <v>0</v>
      </c>
      <c r="F72" s="181">
        <f t="shared" si="7"/>
        <v>295000</v>
      </c>
      <c r="G72" s="181">
        <f>'קיזוזים- החלטות ועדה'!G82</f>
        <v>58935.978887936559</v>
      </c>
      <c r="H72" s="140">
        <f t="shared" si="8"/>
        <v>0</v>
      </c>
      <c r="I72" s="181">
        <f t="shared" si="9"/>
        <v>58935.978887936559</v>
      </c>
      <c r="J72" s="181">
        <f t="shared" si="19"/>
        <v>58935.978887936573</v>
      </c>
      <c r="K72" s="188">
        <f t="shared" si="10"/>
        <v>0</v>
      </c>
      <c r="L72" s="189">
        <f t="shared" si="11"/>
        <v>58935.978887936573</v>
      </c>
      <c r="M72" s="189">
        <f t="shared" si="20"/>
        <v>58935.978887936559</v>
      </c>
      <c r="N72" s="188">
        <f t="shared" si="12"/>
        <v>0</v>
      </c>
      <c r="O72" s="189">
        <f t="shared" si="13"/>
        <v>58935.978887936559</v>
      </c>
      <c r="P72" s="189">
        <f t="shared" si="21"/>
        <v>58935.978887936573</v>
      </c>
      <c r="Q72" s="188">
        <f t="shared" si="14"/>
        <v>0</v>
      </c>
      <c r="R72" s="189">
        <f t="shared" si="15"/>
        <v>58935.978887936573</v>
      </c>
      <c r="S72" s="189">
        <f t="shared" si="22"/>
        <v>58935.978887936559</v>
      </c>
      <c r="T72" s="188">
        <f t="shared" si="16"/>
        <v>0</v>
      </c>
      <c r="U72" s="189">
        <f t="shared" si="17"/>
        <v>58935.978887936559</v>
      </c>
      <c r="V72" s="189">
        <f t="shared" si="23"/>
        <v>58935.978887936573</v>
      </c>
      <c r="W72" s="180">
        <f t="shared" si="18"/>
        <v>58935.978887936573</v>
      </c>
      <c r="X72" s="129">
        <f t="shared" si="24"/>
        <v>7.2915625011365616E-3</v>
      </c>
    </row>
    <row r="73" spans="2:24" x14ac:dyDescent="0.25">
      <c r="B73" s="156">
        <f t="shared" si="6"/>
        <v>53</v>
      </c>
      <c r="C73" s="127" t="str">
        <f>'קיזוזים- החלטות ועדה'!C83</f>
        <v>עודד רונן</v>
      </c>
      <c r="D73" s="190">
        <f>IF(C73="","",'הגבלה לסכום מבוקש (1)'!D73)</f>
        <v>295000</v>
      </c>
      <c r="E73" s="190">
        <f>IF(C73="","",'קיזוזים בגין איחורים'!F83+'קיזוזים- החלטות ועדה'!E83)</f>
        <v>0</v>
      </c>
      <c r="F73" s="181">
        <f t="shared" si="7"/>
        <v>295000</v>
      </c>
      <c r="G73" s="181">
        <f>'קיזוזים- החלטות ועדה'!G83</f>
        <v>56094.934202090641</v>
      </c>
      <c r="H73" s="140">
        <f t="shared" si="8"/>
        <v>0</v>
      </c>
      <c r="I73" s="181">
        <f t="shared" si="9"/>
        <v>56094.934202090641</v>
      </c>
      <c r="J73" s="181">
        <f t="shared" si="19"/>
        <v>56094.934202090648</v>
      </c>
      <c r="K73" s="188">
        <f t="shared" si="10"/>
        <v>0</v>
      </c>
      <c r="L73" s="189">
        <f t="shared" si="11"/>
        <v>56094.934202090648</v>
      </c>
      <c r="M73" s="189">
        <f t="shared" si="20"/>
        <v>56094.934202090641</v>
      </c>
      <c r="N73" s="188">
        <f t="shared" si="12"/>
        <v>0</v>
      </c>
      <c r="O73" s="189">
        <f t="shared" si="13"/>
        <v>56094.934202090641</v>
      </c>
      <c r="P73" s="189">
        <f t="shared" si="21"/>
        <v>56094.934202090648</v>
      </c>
      <c r="Q73" s="188">
        <f t="shared" si="14"/>
        <v>0</v>
      </c>
      <c r="R73" s="189">
        <f t="shared" si="15"/>
        <v>56094.934202090648</v>
      </c>
      <c r="S73" s="189">
        <f t="shared" si="22"/>
        <v>56094.934202090641</v>
      </c>
      <c r="T73" s="188">
        <f t="shared" si="16"/>
        <v>0</v>
      </c>
      <c r="U73" s="189">
        <f t="shared" si="17"/>
        <v>56094.934202090641</v>
      </c>
      <c r="V73" s="189">
        <f t="shared" si="23"/>
        <v>56094.934202090648</v>
      </c>
      <c r="W73" s="180">
        <f t="shared" si="18"/>
        <v>56094.934202090648</v>
      </c>
      <c r="X73" s="129">
        <f t="shared" si="24"/>
        <v>6.940068298677363E-3</v>
      </c>
    </row>
    <row r="74" spans="2:24" x14ac:dyDescent="0.25">
      <c r="B74" s="156">
        <f t="shared" si="6"/>
        <v>54</v>
      </c>
      <c r="C74" s="127" t="str">
        <f>'קיזוזים- החלטות ועדה'!C84</f>
        <v>עידן כהן</v>
      </c>
      <c r="D74" s="190">
        <f>IF(C74="","",'הגבלה לסכום מבוקש (1)'!D74)</f>
        <v>295000</v>
      </c>
      <c r="E74" s="190">
        <f>IF(C74="","",'קיזוזים בגין איחורים'!F84+'קיזוזים- החלטות ועדה'!E84)</f>
        <v>0</v>
      </c>
      <c r="F74" s="181">
        <f t="shared" si="7"/>
        <v>295000</v>
      </c>
      <c r="G74" s="181">
        <f>'קיזוזים- החלטות ועדה'!G84</f>
        <v>43588.702306967265</v>
      </c>
      <c r="H74" s="140">
        <f t="shared" si="8"/>
        <v>0</v>
      </c>
      <c r="I74" s="181">
        <f t="shared" si="9"/>
        <v>43588.702306967265</v>
      </c>
      <c r="J74" s="181">
        <f t="shared" si="19"/>
        <v>43588.702306967272</v>
      </c>
      <c r="K74" s="188">
        <f t="shared" si="10"/>
        <v>0</v>
      </c>
      <c r="L74" s="189">
        <f t="shared" si="11"/>
        <v>43588.702306967272</v>
      </c>
      <c r="M74" s="189">
        <f t="shared" si="20"/>
        <v>43588.702306967265</v>
      </c>
      <c r="N74" s="188">
        <f t="shared" si="12"/>
        <v>0</v>
      </c>
      <c r="O74" s="189">
        <f t="shared" si="13"/>
        <v>43588.702306967265</v>
      </c>
      <c r="P74" s="189">
        <f t="shared" si="21"/>
        <v>43588.702306967272</v>
      </c>
      <c r="Q74" s="188">
        <f t="shared" si="14"/>
        <v>0</v>
      </c>
      <c r="R74" s="189">
        <f t="shared" si="15"/>
        <v>43588.702306967272</v>
      </c>
      <c r="S74" s="189">
        <f t="shared" si="22"/>
        <v>43588.702306967265</v>
      </c>
      <c r="T74" s="188">
        <f t="shared" si="16"/>
        <v>0</v>
      </c>
      <c r="U74" s="189">
        <f t="shared" si="17"/>
        <v>43588.702306967265</v>
      </c>
      <c r="V74" s="189">
        <f t="shared" si="23"/>
        <v>43588.702306967272</v>
      </c>
      <c r="W74" s="180">
        <f t="shared" si="18"/>
        <v>43588.702306967272</v>
      </c>
      <c r="X74" s="129">
        <f t="shared" si="24"/>
        <v>5.3927966110314815E-3</v>
      </c>
    </row>
    <row r="75" spans="2:24" x14ac:dyDescent="0.25">
      <c r="B75" s="156">
        <f t="shared" si="6"/>
        <v>55</v>
      </c>
      <c r="C75" s="127" t="str">
        <f>'קיזוזים- החלטות ועדה'!C85</f>
        <v>עידן שרעבי</v>
      </c>
      <c r="D75" s="190">
        <f>IF(C75="","",'הגבלה לסכום מבוקש (1)'!D75)</f>
        <v>295000</v>
      </c>
      <c r="E75" s="190">
        <f>IF(C75="","",'קיזוזים בגין איחורים'!F85+'קיזוזים- החלטות ועדה'!E85)</f>
        <v>0</v>
      </c>
      <c r="F75" s="181">
        <f t="shared" si="7"/>
        <v>295000</v>
      </c>
      <c r="G75" s="181">
        <f>'קיזוזים- החלטות ועדה'!G85</f>
        <v>60524.126155340644</v>
      </c>
      <c r="H75" s="140">
        <f t="shared" si="8"/>
        <v>0</v>
      </c>
      <c r="I75" s="181">
        <f t="shared" si="9"/>
        <v>60524.126155340644</v>
      </c>
      <c r="J75" s="181">
        <f t="shared" si="19"/>
        <v>60524.126155340658</v>
      </c>
      <c r="K75" s="188">
        <f t="shared" si="10"/>
        <v>0</v>
      </c>
      <c r="L75" s="189">
        <f t="shared" si="11"/>
        <v>60524.126155340658</v>
      </c>
      <c r="M75" s="189">
        <f t="shared" si="20"/>
        <v>60524.126155340644</v>
      </c>
      <c r="N75" s="188">
        <f t="shared" si="12"/>
        <v>0</v>
      </c>
      <c r="O75" s="189">
        <f t="shared" si="13"/>
        <v>60524.126155340644</v>
      </c>
      <c r="P75" s="189">
        <f t="shared" si="21"/>
        <v>60524.126155340658</v>
      </c>
      <c r="Q75" s="188">
        <f t="shared" si="14"/>
        <v>0</v>
      </c>
      <c r="R75" s="189">
        <f t="shared" si="15"/>
        <v>60524.126155340658</v>
      </c>
      <c r="S75" s="189">
        <f t="shared" si="22"/>
        <v>60524.126155340644</v>
      </c>
      <c r="T75" s="188">
        <f t="shared" si="16"/>
        <v>0</v>
      </c>
      <c r="U75" s="189">
        <f t="shared" si="17"/>
        <v>60524.126155340644</v>
      </c>
      <c r="V75" s="189">
        <f t="shared" si="23"/>
        <v>60524.126155340658</v>
      </c>
      <c r="W75" s="180">
        <f t="shared" si="18"/>
        <v>60524.126155340658</v>
      </c>
      <c r="X75" s="129">
        <f t="shared" si="24"/>
        <v>7.4880481671047976E-3</v>
      </c>
    </row>
    <row r="76" spans="2:24" x14ac:dyDescent="0.25">
      <c r="B76" s="156">
        <f t="shared" si="6"/>
        <v>56</v>
      </c>
      <c r="C76" s="127" t="str">
        <f>'קיזוזים- החלטות ועדה'!C86</f>
        <v>ענת גריגוריו</v>
      </c>
      <c r="D76" s="190">
        <f>IF(C76="","",'הגבלה לסכום מבוקש (1)'!D76)</f>
        <v>295000</v>
      </c>
      <c r="E76" s="190">
        <f>IF(C76="","",'קיזוזים בגין איחורים'!F86+'קיזוזים- החלטות ועדה'!E86)</f>
        <v>0</v>
      </c>
      <c r="F76" s="181">
        <f t="shared" si="7"/>
        <v>295000</v>
      </c>
      <c r="G76" s="181">
        <f>'קיזוזים- החלטות ועדה'!G86</f>
        <v>64058.295208008603</v>
      </c>
      <c r="H76" s="140">
        <f t="shared" si="8"/>
        <v>0</v>
      </c>
      <c r="I76" s="181">
        <f t="shared" si="9"/>
        <v>64058.295208008603</v>
      </c>
      <c r="J76" s="181">
        <f t="shared" si="19"/>
        <v>64058.295208008618</v>
      </c>
      <c r="K76" s="188">
        <f t="shared" si="10"/>
        <v>0</v>
      </c>
      <c r="L76" s="189">
        <f t="shared" si="11"/>
        <v>64058.295208008618</v>
      </c>
      <c r="M76" s="189">
        <f t="shared" si="20"/>
        <v>64058.295208008603</v>
      </c>
      <c r="N76" s="188">
        <f t="shared" si="12"/>
        <v>0</v>
      </c>
      <c r="O76" s="189">
        <f t="shared" si="13"/>
        <v>64058.295208008603</v>
      </c>
      <c r="P76" s="189">
        <f t="shared" si="21"/>
        <v>64058.295208008618</v>
      </c>
      <c r="Q76" s="188">
        <f t="shared" si="14"/>
        <v>0</v>
      </c>
      <c r="R76" s="189">
        <f t="shared" si="15"/>
        <v>64058.295208008618</v>
      </c>
      <c r="S76" s="189">
        <f t="shared" si="22"/>
        <v>64058.295208008603</v>
      </c>
      <c r="T76" s="188">
        <f t="shared" si="16"/>
        <v>0</v>
      </c>
      <c r="U76" s="189">
        <f t="shared" si="17"/>
        <v>64058.295208008603</v>
      </c>
      <c r="V76" s="189">
        <f t="shared" si="23"/>
        <v>64058.295208008618</v>
      </c>
      <c r="W76" s="180">
        <f t="shared" si="18"/>
        <v>64058.295208008618</v>
      </c>
      <c r="X76" s="129">
        <f t="shared" si="24"/>
        <v>7.9252957537803408E-3</v>
      </c>
    </row>
    <row r="77" spans="2:24" x14ac:dyDescent="0.25">
      <c r="B77" s="156">
        <f t="shared" si="6"/>
        <v>57</v>
      </c>
      <c r="C77" s="127" t="str">
        <f>'קיזוזים- החלטות ועדה'!C87</f>
        <v>ענת דניאלי</v>
      </c>
      <c r="D77" s="190">
        <f>IF(C77="","",'הגבלה לסכום מבוקש (1)'!D77)</f>
        <v>295000</v>
      </c>
      <c r="E77" s="190">
        <f>IF(C77="","",'קיזוזים בגין איחורים'!F87+'קיזוזים- החלטות ועדה'!E87)</f>
        <v>0</v>
      </c>
      <c r="F77" s="181">
        <f t="shared" si="7"/>
        <v>295000</v>
      </c>
      <c r="G77" s="181">
        <f>'קיזוזים- החלטות ועדה'!G87</f>
        <v>86750.937940007483</v>
      </c>
      <c r="H77" s="140">
        <f t="shared" si="8"/>
        <v>0</v>
      </c>
      <c r="I77" s="181">
        <f t="shared" si="9"/>
        <v>86750.937940007483</v>
      </c>
      <c r="J77" s="181">
        <f t="shared" si="19"/>
        <v>86750.937940007498</v>
      </c>
      <c r="K77" s="188">
        <f t="shared" si="10"/>
        <v>0</v>
      </c>
      <c r="L77" s="189">
        <f t="shared" si="11"/>
        <v>86750.937940007498</v>
      </c>
      <c r="M77" s="189">
        <f t="shared" si="20"/>
        <v>86750.937940007469</v>
      </c>
      <c r="N77" s="188">
        <f t="shared" si="12"/>
        <v>0</v>
      </c>
      <c r="O77" s="189">
        <f t="shared" si="13"/>
        <v>86750.937940007469</v>
      </c>
      <c r="P77" s="189">
        <f t="shared" si="21"/>
        <v>86750.937940007483</v>
      </c>
      <c r="Q77" s="188">
        <f t="shared" si="14"/>
        <v>0</v>
      </c>
      <c r="R77" s="189">
        <f t="shared" si="15"/>
        <v>86750.937940007483</v>
      </c>
      <c r="S77" s="189">
        <f t="shared" si="22"/>
        <v>86750.937940007454</v>
      </c>
      <c r="T77" s="188">
        <f t="shared" si="16"/>
        <v>0</v>
      </c>
      <c r="U77" s="189">
        <f t="shared" si="17"/>
        <v>86750.937940007454</v>
      </c>
      <c r="V77" s="189">
        <f t="shared" si="23"/>
        <v>86750.937940007469</v>
      </c>
      <c r="W77" s="180">
        <f t="shared" si="18"/>
        <v>86750.937940007469</v>
      </c>
      <c r="X77" s="129">
        <f t="shared" si="24"/>
        <v>1.073283074205896E-2</v>
      </c>
    </row>
    <row r="78" spans="2:24" x14ac:dyDescent="0.25">
      <c r="B78" s="156">
        <f t="shared" si="6"/>
        <v>58</v>
      </c>
      <c r="C78" s="127" t="str">
        <f>'קיזוזים- החלטות ועדה'!C88</f>
        <v>ענת כץ וארז מעיין</v>
      </c>
      <c r="D78" s="190">
        <f>IF(C78="","",'הגבלה לסכום מבוקש (1)'!D78)</f>
        <v>295000</v>
      </c>
      <c r="E78" s="190">
        <f>IF(C78="","",'קיזוזים בגין איחורים'!F88+'קיזוזים- החלטות ועדה'!E88)</f>
        <v>0</v>
      </c>
      <c r="F78" s="181">
        <f t="shared" si="7"/>
        <v>295000</v>
      </c>
      <c r="G78" s="181">
        <f>'קיזוזים- החלטות ועדה'!G88</f>
        <v>56878.75395064542</v>
      </c>
      <c r="H78" s="140">
        <f t="shared" si="8"/>
        <v>0</v>
      </c>
      <c r="I78" s="181">
        <f t="shared" si="9"/>
        <v>56878.75395064542</v>
      </c>
      <c r="J78" s="181">
        <f t="shared" si="19"/>
        <v>56878.753950645434</v>
      </c>
      <c r="K78" s="188">
        <f t="shared" si="10"/>
        <v>0</v>
      </c>
      <c r="L78" s="189">
        <f t="shared" si="11"/>
        <v>56878.753950645434</v>
      </c>
      <c r="M78" s="189">
        <f t="shared" si="20"/>
        <v>56878.75395064542</v>
      </c>
      <c r="N78" s="188">
        <f t="shared" si="12"/>
        <v>0</v>
      </c>
      <c r="O78" s="189">
        <f t="shared" si="13"/>
        <v>56878.75395064542</v>
      </c>
      <c r="P78" s="189">
        <f t="shared" si="21"/>
        <v>56878.753950645434</v>
      </c>
      <c r="Q78" s="188">
        <f t="shared" si="14"/>
        <v>0</v>
      </c>
      <c r="R78" s="189">
        <f t="shared" si="15"/>
        <v>56878.753950645434</v>
      </c>
      <c r="S78" s="189">
        <f t="shared" si="22"/>
        <v>56878.75395064542</v>
      </c>
      <c r="T78" s="188">
        <f t="shared" si="16"/>
        <v>0</v>
      </c>
      <c r="U78" s="189">
        <f t="shared" si="17"/>
        <v>56878.75395064542</v>
      </c>
      <c r="V78" s="189">
        <f t="shared" si="23"/>
        <v>56878.753950645434</v>
      </c>
      <c r="W78" s="180">
        <f t="shared" si="18"/>
        <v>56878.753950645434</v>
      </c>
      <c r="X78" s="129">
        <f t="shared" si="24"/>
        <v>7.0370425204355118E-3</v>
      </c>
    </row>
    <row r="79" spans="2:24" x14ac:dyDescent="0.25">
      <c r="B79" s="156">
        <f t="shared" si="6"/>
        <v>59</v>
      </c>
      <c r="C79" s="127" t="str">
        <f>'קיזוזים- החלטות ועדה'!C89</f>
        <v>ענת שמגר</v>
      </c>
      <c r="D79" s="190">
        <f>IF(C79="","",'הגבלה לסכום מבוקש (1)'!D79)</f>
        <v>295000</v>
      </c>
      <c r="E79" s="190">
        <f>IF(C79="","",'קיזוזים בגין איחורים'!F89+'קיזוזים- החלטות ועדה'!E89)</f>
        <v>0</v>
      </c>
      <c r="F79" s="181">
        <f t="shared" si="7"/>
        <v>295000</v>
      </c>
      <c r="G79" s="181">
        <f>'קיזוזים- החלטות ועדה'!G89</f>
        <v>72709.721233874865</v>
      </c>
      <c r="H79" s="140">
        <f t="shared" si="8"/>
        <v>0</v>
      </c>
      <c r="I79" s="181">
        <f t="shared" si="9"/>
        <v>72709.721233874865</v>
      </c>
      <c r="J79" s="181">
        <f t="shared" si="19"/>
        <v>72709.72123387488</v>
      </c>
      <c r="K79" s="188">
        <f t="shared" si="10"/>
        <v>0</v>
      </c>
      <c r="L79" s="189">
        <f t="shared" si="11"/>
        <v>72709.72123387488</v>
      </c>
      <c r="M79" s="189">
        <f t="shared" si="20"/>
        <v>72709.721233874865</v>
      </c>
      <c r="N79" s="188">
        <f t="shared" si="12"/>
        <v>0</v>
      </c>
      <c r="O79" s="189">
        <f t="shared" si="13"/>
        <v>72709.721233874865</v>
      </c>
      <c r="P79" s="189">
        <f t="shared" si="21"/>
        <v>72709.72123387488</v>
      </c>
      <c r="Q79" s="188">
        <f t="shared" si="14"/>
        <v>0</v>
      </c>
      <c r="R79" s="189">
        <f t="shared" si="15"/>
        <v>72709.72123387488</v>
      </c>
      <c r="S79" s="189">
        <f t="shared" si="22"/>
        <v>72709.721233874865</v>
      </c>
      <c r="T79" s="188">
        <f t="shared" si="16"/>
        <v>0</v>
      </c>
      <c r="U79" s="189">
        <f t="shared" si="17"/>
        <v>72709.721233874865</v>
      </c>
      <c r="V79" s="189">
        <f t="shared" si="23"/>
        <v>72709.72123387488</v>
      </c>
      <c r="W79" s="180">
        <f t="shared" si="18"/>
        <v>72709.72123387488</v>
      </c>
      <c r="X79" s="129">
        <f t="shared" si="24"/>
        <v>8.9956506504303303E-3</v>
      </c>
    </row>
    <row r="80" spans="2:24" x14ac:dyDescent="0.25">
      <c r="B80" s="156">
        <f t="shared" si="6"/>
        <v>60</v>
      </c>
      <c r="C80" s="127" t="str">
        <f>'קיזוזים- החלטות ועדה'!C90</f>
        <v>ק.ט.מ.ו.ן קבוצת מחול בירושלים</v>
      </c>
      <c r="D80" s="190">
        <f>IF(C80="","",'הגבלה לסכום מבוקש (1)'!D80)</f>
        <v>300000</v>
      </c>
      <c r="E80" s="190">
        <f>IF(C80="","",'קיזוזים בגין איחורים'!F90+'קיזוזים- החלטות ועדה'!E90)</f>
        <v>0</v>
      </c>
      <c r="F80" s="181">
        <f t="shared" si="7"/>
        <v>300000</v>
      </c>
      <c r="G80" s="181">
        <f>'קיזוזים- החלטות ועדה'!G90</f>
        <v>114631.70594346907</v>
      </c>
      <c r="H80" s="140">
        <f t="shared" si="8"/>
        <v>0</v>
      </c>
      <c r="I80" s="181">
        <f t="shared" si="9"/>
        <v>114631.70594346907</v>
      </c>
      <c r="J80" s="181">
        <f t="shared" si="19"/>
        <v>114631.7059434691</v>
      </c>
      <c r="K80" s="188">
        <f t="shared" si="10"/>
        <v>0</v>
      </c>
      <c r="L80" s="189">
        <f t="shared" si="11"/>
        <v>114631.7059434691</v>
      </c>
      <c r="M80" s="189">
        <f t="shared" si="20"/>
        <v>114631.70594346907</v>
      </c>
      <c r="N80" s="188">
        <f t="shared" si="12"/>
        <v>0</v>
      </c>
      <c r="O80" s="189">
        <f t="shared" si="13"/>
        <v>114631.70594346907</v>
      </c>
      <c r="P80" s="189">
        <f t="shared" si="21"/>
        <v>114631.7059434691</v>
      </c>
      <c r="Q80" s="188">
        <f t="shared" si="14"/>
        <v>0</v>
      </c>
      <c r="R80" s="189">
        <f t="shared" si="15"/>
        <v>114631.7059434691</v>
      </c>
      <c r="S80" s="189">
        <f t="shared" si="22"/>
        <v>114631.70594346907</v>
      </c>
      <c r="T80" s="188">
        <f t="shared" si="16"/>
        <v>0</v>
      </c>
      <c r="U80" s="189">
        <f t="shared" si="17"/>
        <v>114631.70594346907</v>
      </c>
      <c r="V80" s="189">
        <f t="shared" si="23"/>
        <v>114631.7059434691</v>
      </c>
      <c r="W80" s="180">
        <f t="shared" si="18"/>
        <v>114631.7059434691</v>
      </c>
      <c r="X80" s="129">
        <f t="shared" si="24"/>
        <v>1.4182240870012916E-2</v>
      </c>
    </row>
    <row r="81" spans="2:24" x14ac:dyDescent="0.25">
      <c r="B81" s="156">
        <f t="shared" si="6"/>
        <v>61</v>
      </c>
      <c r="C81" s="127" t="str">
        <f>'קיזוזים- החלטות ועדה'!C91</f>
        <v>רונית זיו</v>
      </c>
      <c r="D81" s="190">
        <f>IF(C81="","",'הגבלה לסכום מבוקש (1)'!D81)</f>
        <v>295000</v>
      </c>
      <c r="E81" s="190">
        <f>IF(C81="","",'קיזוזים בגין איחורים'!F91+'קיזוזים- החלטות ועדה'!E91)</f>
        <v>0</v>
      </c>
      <c r="F81" s="181">
        <f t="shared" si="7"/>
        <v>295000</v>
      </c>
      <c r="G81" s="181">
        <f>'קיזוזים- החלטות ועדה'!G91</f>
        <v>85500.279110332296</v>
      </c>
      <c r="H81" s="140">
        <f t="shared" si="8"/>
        <v>0</v>
      </c>
      <c r="I81" s="181">
        <f t="shared" si="9"/>
        <v>85500.279110332296</v>
      </c>
      <c r="J81" s="181">
        <f t="shared" si="19"/>
        <v>85500.279110332311</v>
      </c>
      <c r="K81" s="188">
        <f t="shared" si="10"/>
        <v>0</v>
      </c>
      <c r="L81" s="189">
        <f t="shared" si="11"/>
        <v>85500.279110332311</v>
      </c>
      <c r="M81" s="189">
        <f t="shared" si="20"/>
        <v>85500.279110332282</v>
      </c>
      <c r="N81" s="188">
        <f t="shared" si="12"/>
        <v>0</v>
      </c>
      <c r="O81" s="189">
        <f t="shared" si="13"/>
        <v>85500.279110332282</v>
      </c>
      <c r="P81" s="189">
        <f t="shared" si="21"/>
        <v>85500.279110332296</v>
      </c>
      <c r="Q81" s="188">
        <f t="shared" si="14"/>
        <v>0</v>
      </c>
      <c r="R81" s="189">
        <f t="shared" si="15"/>
        <v>85500.279110332296</v>
      </c>
      <c r="S81" s="189">
        <f t="shared" si="22"/>
        <v>85500.279110332267</v>
      </c>
      <c r="T81" s="188">
        <f t="shared" si="16"/>
        <v>0</v>
      </c>
      <c r="U81" s="189">
        <f t="shared" si="17"/>
        <v>85500.279110332267</v>
      </c>
      <c r="V81" s="189">
        <f t="shared" si="23"/>
        <v>85500.279110332282</v>
      </c>
      <c r="W81" s="180">
        <f t="shared" si="18"/>
        <v>85500.279110332282</v>
      </c>
      <c r="X81" s="129">
        <f t="shared" si="24"/>
        <v>1.0578099163891493E-2</v>
      </c>
    </row>
    <row r="82" spans="2:24" x14ac:dyDescent="0.25">
      <c r="B82" s="156">
        <f t="shared" si="6"/>
        <v>62</v>
      </c>
      <c r="C82" s="127" t="str">
        <f>'קיזוזים- החלטות ועדה'!C92</f>
        <v>טלי זבילביץ</v>
      </c>
      <c r="D82" s="190">
        <f>IF(C82="","",'הגבלה לסכום מבוקש (1)'!D82)</f>
        <v>295000</v>
      </c>
      <c r="E82" s="190">
        <f>IF(C82="","",'קיזוזים בגין איחורים'!F92+'קיזוזים- החלטות ועדה'!E92)</f>
        <v>0</v>
      </c>
      <c r="F82" s="181">
        <f t="shared" si="7"/>
        <v>295000</v>
      </c>
      <c r="G82" s="181">
        <f>'קיזוזים- החלטות ועדה'!G92</f>
        <v>46241.165975372598</v>
      </c>
      <c r="H82" s="140">
        <f t="shared" si="8"/>
        <v>0</v>
      </c>
      <c r="I82" s="181">
        <f t="shared" si="9"/>
        <v>46241.165975372598</v>
      </c>
      <c r="J82" s="181">
        <f t="shared" si="19"/>
        <v>46241.165975372605</v>
      </c>
      <c r="K82" s="188">
        <f t="shared" si="10"/>
        <v>0</v>
      </c>
      <c r="L82" s="189">
        <f t="shared" si="11"/>
        <v>46241.165975372605</v>
      </c>
      <c r="M82" s="189">
        <f t="shared" si="20"/>
        <v>46241.165975372591</v>
      </c>
      <c r="N82" s="188">
        <f t="shared" si="12"/>
        <v>0</v>
      </c>
      <c r="O82" s="189">
        <f t="shared" si="13"/>
        <v>46241.165975372591</v>
      </c>
      <c r="P82" s="189">
        <f t="shared" si="21"/>
        <v>46241.165975372598</v>
      </c>
      <c r="Q82" s="188">
        <f t="shared" si="14"/>
        <v>0</v>
      </c>
      <c r="R82" s="189">
        <f t="shared" si="15"/>
        <v>46241.165975372598</v>
      </c>
      <c r="S82" s="189">
        <f t="shared" si="22"/>
        <v>46241.165975372583</v>
      </c>
      <c r="T82" s="188">
        <f t="shared" si="16"/>
        <v>0</v>
      </c>
      <c r="U82" s="189">
        <f t="shared" si="17"/>
        <v>46241.165975372583</v>
      </c>
      <c r="V82" s="189">
        <f t="shared" si="23"/>
        <v>46241.165975372591</v>
      </c>
      <c r="W82" s="180">
        <f t="shared" si="18"/>
        <v>46241.165975372591</v>
      </c>
      <c r="X82" s="129">
        <f t="shared" si="24"/>
        <v>5.7209595597957057E-3</v>
      </c>
    </row>
    <row r="83" spans="2:24" x14ac:dyDescent="0.25">
      <c r="B83" s="156">
        <f t="shared" si="6"/>
        <v>63</v>
      </c>
      <c r="C83" s="127" t="str">
        <f>'קיזוזים- החלטות ועדה'!C93</f>
        <v>רייצ'ל ארדוס</v>
      </c>
      <c r="D83" s="190">
        <f>IF(C83="","",'הגבלה לסכום מבוקש (1)'!D83)</f>
        <v>295000</v>
      </c>
      <c r="E83" s="190">
        <f>IF(C83="","",'קיזוזים בגין איחורים'!F93+'קיזוזים- החלטות ועדה'!E93)</f>
        <v>0</v>
      </c>
      <c r="F83" s="181">
        <f t="shared" si="7"/>
        <v>295000</v>
      </c>
      <c r="G83" s="181">
        <f>'קיזוזים- החלטות ועדה'!G93</f>
        <v>110559.00114140417</v>
      </c>
      <c r="H83" s="140">
        <f t="shared" si="8"/>
        <v>0</v>
      </c>
      <c r="I83" s="181">
        <f t="shared" si="9"/>
        <v>110559.00114140417</v>
      </c>
      <c r="J83" s="181">
        <f t="shared" si="19"/>
        <v>110559.00114140419</v>
      </c>
      <c r="K83" s="188">
        <f t="shared" si="10"/>
        <v>0</v>
      </c>
      <c r="L83" s="189">
        <f t="shared" si="11"/>
        <v>110559.00114140419</v>
      </c>
      <c r="M83" s="189">
        <f t="shared" si="20"/>
        <v>110559.00114140417</v>
      </c>
      <c r="N83" s="188">
        <f t="shared" si="12"/>
        <v>0</v>
      </c>
      <c r="O83" s="189">
        <f t="shared" si="13"/>
        <v>110559.00114140417</v>
      </c>
      <c r="P83" s="189">
        <f t="shared" si="21"/>
        <v>110559.00114140419</v>
      </c>
      <c r="Q83" s="188">
        <f t="shared" si="14"/>
        <v>0</v>
      </c>
      <c r="R83" s="189">
        <f t="shared" si="15"/>
        <v>110559.00114140419</v>
      </c>
      <c r="S83" s="189">
        <f t="shared" si="22"/>
        <v>110559.00114140417</v>
      </c>
      <c r="T83" s="188">
        <f t="shared" si="16"/>
        <v>0</v>
      </c>
      <c r="U83" s="189">
        <f t="shared" si="17"/>
        <v>110559.00114140417</v>
      </c>
      <c r="V83" s="189">
        <f t="shared" si="23"/>
        <v>110559.00114140419</v>
      </c>
      <c r="W83" s="180">
        <f t="shared" si="18"/>
        <v>110559.00114140419</v>
      </c>
      <c r="X83" s="129">
        <f t="shared" si="24"/>
        <v>1.3678365611244392E-2</v>
      </c>
    </row>
    <row r="84" spans="2:24" x14ac:dyDescent="0.25">
      <c r="B84" s="156">
        <f t="shared" si="6"/>
        <v>64</v>
      </c>
      <c r="C84" s="127" t="str">
        <f>'קיזוזים- החלטות ועדה'!C94</f>
        <v>שירה אביתר</v>
      </c>
      <c r="D84" s="190">
        <f>IF(C84="","",'הגבלה לסכום מבוקש (1)'!D84)</f>
        <v>295000</v>
      </c>
      <c r="E84" s="190">
        <f>IF(C84="","",'קיזוזים בגין איחורים'!F94+'קיזוזים- החלטות ועדה'!E94)</f>
        <v>0</v>
      </c>
      <c r="F84" s="181">
        <f t="shared" si="7"/>
        <v>295000</v>
      </c>
      <c r="G84" s="181">
        <f>'קיזוזים- החלטות ועדה'!G94</f>
        <v>49687.048553462104</v>
      </c>
      <c r="H84" s="140">
        <f t="shared" si="8"/>
        <v>0</v>
      </c>
      <c r="I84" s="181">
        <f t="shared" si="9"/>
        <v>49687.048553462104</v>
      </c>
      <c r="J84" s="181">
        <f t="shared" si="19"/>
        <v>49687.048553462111</v>
      </c>
      <c r="K84" s="188">
        <f t="shared" si="10"/>
        <v>0</v>
      </c>
      <c r="L84" s="189">
        <f t="shared" si="11"/>
        <v>49687.048553462111</v>
      </c>
      <c r="M84" s="189">
        <f t="shared" si="20"/>
        <v>49687.048553462104</v>
      </c>
      <c r="N84" s="188">
        <f t="shared" si="12"/>
        <v>0</v>
      </c>
      <c r="O84" s="189">
        <f t="shared" si="13"/>
        <v>49687.048553462104</v>
      </c>
      <c r="P84" s="189">
        <f t="shared" si="21"/>
        <v>49687.048553462111</v>
      </c>
      <c r="Q84" s="188">
        <f t="shared" si="14"/>
        <v>0</v>
      </c>
      <c r="R84" s="189">
        <f t="shared" si="15"/>
        <v>49687.048553462111</v>
      </c>
      <c r="S84" s="189">
        <f t="shared" si="22"/>
        <v>49687.048553462104</v>
      </c>
      <c r="T84" s="188">
        <f t="shared" si="16"/>
        <v>0</v>
      </c>
      <c r="U84" s="189">
        <f t="shared" si="17"/>
        <v>49687.048553462104</v>
      </c>
      <c r="V84" s="189">
        <f t="shared" si="23"/>
        <v>49687.048553462111</v>
      </c>
      <c r="W84" s="180">
        <f t="shared" si="18"/>
        <v>49687.048553462111</v>
      </c>
      <c r="X84" s="129">
        <f t="shared" si="24"/>
        <v>6.1472843390530888E-3</v>
      </c>
    </row>
    <row r="85" spans="2:24" x14ac:dyDescent="0.25">
      <c r="B85" s="156">
        <f t="shared" si="6"/>
        <v>65</v>
      </c>
      <c r="C85" s="127" t="str">
        <f>'קיזוזים- החלטות ועדה'!C95</f>
        <v>שלומית פונדמינסקי</v>
      </c>
      <c r="D85" s="190">
        <f>IF(C85="","",'הגבלה לסכום מבוקש (1)'!D85)</f>
        <v>295000</v>
      </c>
      <c r="E85" s="190">
        <f>IF(C85="","",'קיזוזים בגין איחורים'!F95+'קיזוזים- החלטות ועדה'!E95)</f>
        <v>0</v>
      </c>
      <c r="F85" s="181">
        <f t="shared" si="7"/>
        <v>295000</v>
      </c>
      <c r="G85" s="181">
        <f>'קיזוזים- החלטות ועדה'!G95</f>
        <v>137754.67302300173</v>
      </c>
      <c r="H85" s="140">
        <f t="shared" si="8"/>
        <v>0</v>
      </c>
      <c r="I85" s="181">
        <f t="shared" si="9"/>
        <v>137754.67302300173</v>
      </c>
      <c r="J85" s="181">
        <f t="shared" ref="J85:J116" si="25">IF($C85="","",IF(H85=1,I85,I85/SUMIF(H$21:H$132,0,I$21:I$132)*($C$2-SUMIF(H$21:H$132,1,I$21:I$132))))</f>
        <v>137754.67302300176</v>
      </c>
      <c r="K85" s="188">
        <f t="shared" si="10"/>
        <v>0</v>
      </c>
      <c r="L85" s="189">
        <f t="shared" si="11"/>
        <v>137754.67302300176</v>
      </c>
      <c r="M85" s="189">
        <f t="shared" ref="M85:M116" si="26">IF($C85="","",IF(K85=1,L85,L85/SUMIF(K$21:K$132,0,L$21:L$132)*($C$2-SUMIF(K$21:K$132,1,L$21:L$132))))</f>
        <v>137754.67302300173</v>
      </c>
      <c r="N85" s="188">
        <f t="shared" si="12"/>
        <v>0</v>
      </c>
      <c r="O85" s="189">
        <f t="shared" si="13"/>
        <v>137754.67302300173</v>
      </c>
      <c r="P85" s="189">
        <f t="shared" ref="P85:P116" si="27">IF($C85="","",IF(N85=1,O85,O85/SUMIF(N$21:N$132,0,O$21:O$132)*($C$2-SUMIF(N$21:N$132,1,O$21:O$132))))</f>
        <v>137754.67302300176</v>
      </c>
      <c r="Q85" s="188">
        <f t="shared" si="14"/>
        <v>0</v>
      </c>
      <c r="R85" s="189">
        <f t="shared" si="15"/>
        <v>137754.67302300176</v>
      </c>
      <c r="S85" s="189">
        <f t="shared" ref="S85:S116" si="28">IF($C85="","",IF(Q85=2,R85,IF(Q85=1,R85,R85/SUMIF(Q$21:Q$132,0,R$21:R$132)*($C$2-SUMIF(Q$21:Q$132,1,R$21:R$132)-SUMIF(Q$21:Q$132,2,R$21:R$132)))))</f>
        <v>137754.67302300173</v>
      </c>
      <c r="T85" s="188">
        <f t="shared" si="16"/>
        <v>0</v>
      </c>
      <c r="U85" s="189">
        <f t="shared" si="17"/>
        <v>137754.67302300173</v>
      </c>
      <c r="V85" s="189">
        <f t="shared" ref="V85:V116" si="29">IF($C85="","",IF(T85=2,U85,IF(T85=1,U85,U85/SUMIF(T$21:T$132,0,U$21:U$132)*($C$2-SUMIF(T$21:T$132,1,U$21:U$132)-SUMIF(T$21:T$132,2,U$21:U$132)))))</f>
        <v>137754.67302300176</v>
      </c>
      <c r="W85" s="180">
        <f t="shared" si="18"/>
        <v>137754.67302300176</v>
      </c>
      <c r="X85" s="129">
        <f t="shared" ref="X85:X116" si="30">IF(F85="","",IFERROR(W85/SUMIF($W$21:$W$132,"&lt;&gt;#DIV/0!"),0))</f>
        <v>1.704301560988317E-2</v>
      </c>
    </row>
    <row r="86" spans="2:24" x14ac:dyDescent="0.25">
      <c r="B86" s="156" t="str">
        <f t="shared" ref="B86:B118" si="31">IF(C86="","",ROW()-20)</f>
        <v/>
      </c>
      <c r="C86" s="127" t="str">
        <f>'קיזוזים- החלטות ועדה'!C96</f>
        <v/>
      </c>
      <c r="D86" s="190" t="str">
        <f>IF(C86="","",'הגבלה לסכום מבוקש (1)'!D86)</f>
        <v/>
      </c>
      <c r="E86" s="190" t="str">
        <f>IF(C86="","",'קיזוזים בגין איחורים'!F96+'קיזוזים- החלטות ועדה'!E96)</f>
        <v/>
      </c>
      <c r="F86" s="181" t="str">
        <f t="shared" ref="F86:F118" si="32">IF($C86="","",D86-E86)</f>
        <v/>
      </c>
      <c r="G86" s="181" t="str">
        <f>'קיזוזים- החלטות ועדה'!G96</f>
        <v/>
      </c>
      <c r="H86" s="140" t="str">
        <f t="shared" ref="H86:H118" si="33">IF(C86="","",IF(G86&gt;$F86,1,0))</f>
        <v/>
      </c>
      <c r="I86" s="181" t="str">
        <f t="shared" ref="I86:I118" si="34">IF($C86="","",MIN(F86:G86))</f>
        <v/>
      </c>
      <c r="J86" s="181" t="str">
        <f t="shared" si="25"/>
        <v/>
      </c>
      <c r="K86" s="188">
        <f t="shared" ref="K86:K118" si="35">IF(OR(J86&gt;$F86,$H86=1),1,0)</f>
        <v>0</v>
      </c>
      <c r="L86" s="189" t="str">
        <f t="shared" ref="L86:L118" si="36">IF($C86="","",MIN(J86,$F86))</f>
        <v/>
      </c>
      <c r="M86" s="189" t="str">
        <f t="shared" si="26"/>
        <v/>
      </c>
      <c r="N86" s="188">
        <f t="shared" ref="N86:N118" si="37">IF(OR(M86&gt;$F86,$H86=1,$K86=1),1,0)</f>
        <v>0</v>
      </c>
      <c r="O86" s="189" t="str">
        <f t="shared" ref="O86:O118" si="38">IF($C86="","",MIN(M86,$F86))</f>
        <v/>
      </c>
      <c r="P86" s="189" t="str">
        <f t="shared" si="27"/>
        <v/>
      </c>
      <c r="Q86" s="188">
        <f t="shared" ref="Q86:Q118" si="39">IF(OR(P86&gt;$F86,$H86=1,$K86=1,$N86=1),1,0)</f>
        <v>0</v>
      </c>
      <c r="R86" s="189" t="str">
        <f t="shared" ref="R86:R118" si="40">IF($C86="","",MIN(P86,$F86))</f>
        <v/>
      </c>
      <c r="S86" s="189" t="str">
        <f t="shared" si="28"/>
        <v/>
      </c>
      <c r="T86" s="188">
        <f t="shared" ref="T86:T118" si="41">IF(OR(S86&gt;$F86,$H86=1,$K86=1,$N86=1,$Q86=1),1,0)</f>
        <v>0</v>
      </c>
      <c r="U86" s="189" t="str">
        <f t="shared" ref="U86:U118" si="42">IF($C86="","",MIN(S86,$F86))</f>
        <v/>
      </c>
      <c r="V86" s="189" t="str">
        <f t="shared" si="29"/>
        <v/>
      </c>
      <c r="W86" s="180" t="str">
        <f t="shared" ref="W86:W118" si="43">IFERROR(V86,0)</f>
        <v/>
      </c>
      <c r="X86" s="129" t="str">
        <f t="shared" si="30"/>
        <v/>
      </c>
    </row>
    <row r="87" spans="2:24" x14ac:dyDescent="0.25">
      <c r="B87" s="156">
        <f t="shared" si="31"/>
        <v>67</v>
      </c>
      <c r="C87" s="127" t="str">
        <f>'קיזוזים- החלטות ועדה'!C97</f>
        <v>שרון וזנה</v>
      </c>
      <c r="D87" s="190">
        <f>IF(C87="","",'הגבלה לסכום מבוקש (1)'!D87)</f>
        <v>295000</v>
      </c>
      <c r="E87" s="190">
        <f>IF(C87="","",'קיזוזים בגין איחורים'!F97+'קיזוזים- החלטות ועדה'!E97)</f>
        <v>0</v>
      </c>
      <c r="F87" s="181">
        <f t="shared" si="32"/>
        <v>295000</v>
      </c>
      <c r="G87" s="181">
        <f>'קיזוזים- החלטות ועדה'!G97</f>
        <v>77347.798210162582</v>
      </c>
      <c r="H87" s="140">
        <f t="shared" si="33"/>
        <v>0</v>
      </c>
      <c r="I87" s="181">
        <f t="shared" si="34"/>
        <v>77347.798210162582</v>
      </c>
      <c r="J87" s="181">
        <f t="shared" si="25"/>
        <v>77347.798210162597</v>
      </c>
      <c r="K87" s="188">
        <f t="shared" si="35"/>
        <v>0</v>
      </c>
      <c r="L87" s="189">
        <f t="shared" si="36"/>
        <v>77347.798210162597</v>
      </c>
      <c r="M87" s="189">
        <f t="shared" si="26"/>
        <v>77347.798210162582</v>
      </c>
      <c r="N87" s="188">
        <f t="shared" si="37"/>
        <v>0</v>
      </c>
      <c r="O87" s="189">
        <f t="shared" si="38"/>
        <v>77347.798210162582</v>
      </c>
      <c r="P87" s="189">
        <f t="shared" si="27"/>
        <v>77347.798210162597</v>
      </c>
      <c r="Q87" s="188">
        <f t="shared" si="39"/>
        <v>0</v>
      </c>
      <c r="R87" s="189">
        <f t="shared" si="40"/>
        <v>77347.798210162597</v>
      </c>
      <c r="S87" s="189">
        <f t="shared" si="28"/>
        <v>77347.798210162582</v>
      </c>
      <c r="T87" s="188">
        <f t="shared" si="41"/>
        <v>0</v>
      </c>
      <c r="U87" s="189">
        <f t="shared" si="42"/>
        <v>77347.798210162582</v>
      </c>
      <c r="V87" s="189">
        <f t="shared" si="29"/>
        <v>77347.798210162597</v>
      </c>
      <c r="W87" s="180">
        <f t="shared" si="43"/>
        <v>77347.798210162597</v>
      </c>
      <c r="X87" s="129">
        <f t="shared" si="30"/>
        <v>9.5694737852252739E-3</v>
      </c>
    </row>
    <row r="88" spans="2:24" x14ac:dyDescent="0.25">
      <c r="B88" s="156">
        <f t="shared" si="31"/>
        <v>68</v>
      </c>
      <c r="C88" s="127" t="str">
        <f>'קיזוזים- החלטות ועדה'!C98</f>
        <v>שרונה פלורסהיים</v>
      </c>
      <c r="D88" s="190">
        <f>IF(C88="","",'הגבלה לסכום מבוקש (1)'!D88)</f>
        <v>295000</v>
      </c>
      <c r="E88" s="190">
        <f>IF(C88="","",'קיזוזים בגין איחורים'!F98+'קיזוזים- החלטות ועדה'!E98)</f>
        <v>0</v>
      </c>
      <c r="F88" s="181">
        <f t="shared" si="32"/>
        <v>295000</v>
      </c>
      <c r="G88" s="181">
        <f>'קיזוזים- החלטות ועדה'!G98</f>
        <v>142184.18015680066</v>
      </c>
      <c r="H88" s="140">
        <f t="shared" si="33"/>
        <v>0</v>
      </c>
      <c r="I88" s="181">
        <f t="shared" si="34"/>
        <v>142184.18015680066</v>
      </c>
      <c r="J88" s="181">
        <f t="shared" si="25"/>
        <v>142184.18015680069</v>
      </c>
      <c r="K88" s="188">
        <f t="shared" si="35"/>
        <v>0</v>
      </c>
      <c r="L88" s="189">
        <f t="shared" si="36"/>
        <v>142184.18015680069</v>
      </c>
      <c r="M88" s="189">
        <f t="shared" si="26"/>
        <v>142184.18015680066</v>
      </c>
      <c r="N88" s="188">
        <f t="shared" si="37"/>
        <v>0</v>
      </c>
      <c r="O88" s="189">
        <f t="shared" si="38"/>
        <v>142184.18015680066</v>
      </c>
      <c r="P88" s="189">
        <f t="shared" si="27"/>
        <v>142184.18015680069</v>
      </c>
      <c r="Q88" s="188">
        <f t="shared" si="39"/>
        <v>0</v>
      </c>
      <c r="R88" s="189">
        <f t="shared" si="40"/>
        <v>142184.18015680069</v>
      </c>
      <c r="S88" s="189">
        <f t="shared" si="28"/>
        <v>142184.18015680066</v>
      </c>
      <c r="T88" s="188">
        <f t="shared" si="41"/>
        <v>0</v>
      </c>
      <c r="U88" s="189">
        <f t="shared" si="42"/>
        <v>142184.18015680066</v>
      </c>
      <c r="V88" s="189">
        <f t="shared" si="29"/>
        <v>142184.18015680069</v>
      </c>
      <c r="W88" s="180">
        <f t="shared" si="43"/>
        <v>142184.18015680069</v>
      </c>
      <c r="X88" s="129">
        <f t="shared" si="30"/>
        <v>1.7591034472465194E-2</v>
      </c>
    </row>
    <row r="89" spans="2:24" x14ac:dyDescent="0.25">
      <c r="B89" s="156">
        <f t="shared" si="31"/>
        <v>69</v>
      </c>
      <c r="C89" s="127" t="str">
        <f>'קיזוזים- החלטות ועדה'!C99</f>
        <v>תמי ליבוביץ</v>
      </c>
      <c r="D89" s="190">
        <f>IF(C89="","",'הגבלה לסכום מבוקש (1)'!D89)</f>
        <v>295000</v>
      </c>
      <c r="E89" s="190">
        <f>IF(C89="","",'קיזוזים בגין איחורים'!F99+'קיזוזים- החלטות ועדה'!E99)</f>
        <v>0</v>
      </c>
      <c r="F89" s="181">
        <f t="shared" si="32"/>
        <v>295000</v>
      </c>
      <c r="G89" s="181">
        <f>'קיזוזים- החלטות ועדה'!G99</f>
        <v>60804.098046678839</v>
      </c>
      <c r="H89" s="140">
        <f t="shared" si="33"/>
        <v>0</v>
      </c>
      <c r="I89" s="181">
        <f t="shared" si="34"/>
        <v>60804.098046678839</v>
      </c>
      <c r="J89" s="181">
        <f t="shared" si="25"/>
        <v>60804.098046678853</v>
      </c>
      <c r="K89" s="188">
        <f t="shared" si="35"/>
        <v>0</v>
      </c>
      <c r="L89" s="189">
        <f t="shared" si="36"/>
        <v>60804.098046678853</v>
      </c>
      <c r="M89" s="189">
        <f t="shared" si="26"/>
        <v>60804.098046678839</v>
      </c>
      <c r="N89" s="188">
        <f t="shared" si="37"/>
        <v>0</v>
      </c>
      <c r="O89" s="189">
        <f t="shared" si="38"/>
        <v>60804.098046678839</v>
      </c>
      <c r="P89" s="189">
        <f t="shared" si="27"/>
        <v>60804.098046678853</v>
      </c>
      <c r="Q89" s="188">
        <f t="shared" si="39"/>
        <v>0</v>
      </c>
      <c r="R89" s="189">
        <f t="shared" si="40"/>
        <v>60804.098046678853</v>
      </c>
      <c r="S89" s="189">
        <f t="shared" si="28"/>
        <v>60804.098046678839</v>
      </c>
      <c r="T89" s="188">
        <f t="shared" si="41"/>
        <v>0</v>
      </c>
      <c r="U89" s="189">
        <f t="shared" si="42"/>
        <v>60804.098046678839</v>
      </c>
      <c r="V89" s="189">
        <f t="shared" si="29"/>
        <v>60804.098046678853</v>
      </c>
      <c r="W89" s="180">
        <f t="shared" si="43"/>
        <v>60804.098046678853</v>
      </c>
      <c r="X89" s="129">
        <f t="shared" si="30"/>
        <v>7.5226863046698924E-3</v>
      </c>
    </row>
    <row r="90" spans="2:24" x14ac:dyDescent="0.25">
      <c r="B90" s="156">
        <f t="shared" si="31"/>
        <v>70</v>
      </c>
      <c r="C90" s="127" t="str">
        <f>'קיזוזים- החלטות ועדה'!C100</f>
        <v>תמר בורר</v>
      </c>
      <c r="D90" s="190">
        <f>IF(C90="","",'הגבלה לסכום מבוקש (1)'!D90)</f>
        <v>295000</v>
      </c>
      <c r="E90" s="190">
        <f>IF(C90="","",'קיזוזים בגין איחורים'!F100+'קיזוזים- החלטות ועדה'!E100)</f>
        <v>0</v>
      </c>
      <c r="F90" s="181">
        <f t="shared" si="32"/>
        <v>295000</v>
      </c>
      <c r="G90" s="181">
        <f>'קיזוזים- החלטות ועדה'!G100</f>
        <v>70403.206666451661</v>
      </c>
      <c r="H90" s="140">
        <f t="shared" si="33"/>
        <v>0</v>
      </c>
      <c r="I90" s="181">
        <f t="shared" si="34"/>
        <v>70403.206666451661</v>
      </c>
      <c r="J90" s="181">
        <f t="shared" si="25"/>
        <v>70403.206666451675</v>
      </c>
      <c r="K90" s="188">
        <f t="shared" si="35"/>
        <v>0</v>
      </c>
      <c r="L90" s="189">
        <f t="shared" si="36"/>
        <v>70403.206666451675</v>
      </c>
      <c r="M90" s="189">
        <f t="shared" si="26"/>
        <v>70403.206666451661</v>
      </c>
      <c r="N90" s="188">
        <f t="shared" si="37"/>
        <v>0</v>
      </c>
      <c r="O90" s="189">
        <f t="shared" si="38"/>
        <v>70403.206666451661</v>
      </c>
      <c r="P90" s="189">
        <f t="shared" si="27"/>
        <v>70403.206666451675</v>
      </c>
      <c r="Q90" s="188">
        <f t="shared" si="39"/>
        <v>0</v>
      </c>
      <c r="R90" s="189">
        <f t="shared" si="40"/>
        <v>70403.206666451675</v>
      </c>
      <c r="S90" s="189">
        <f t="shared" si="28"/>
        <v>70403.206666451661</v>
      </c>
      <c r="T90" s="188">
        <f t="shared" si="41"/>
        <v>0</v>
      </c>
      <c r="U90" s="189">
        <f t="shared" si="42"/>
        <v>70403.206666451661</v>
      </c>
      <c r="V90" s="189">
        <f t="shared" si="29"/>
        <v>70403.206666451675</v>
      </c>
      <c r="W90" s="180">
        <f t="shared" si="43"/>
        <v>70403.206666451675</v>
      </c>
      <c r="X90" s="129">
        <f t="shared" si="30"/>
        <v>8.7102885431829587E-3</v>
      </c>
    </row>
    <row r="91" spans="2:24" x14ac:dyDescent="0.25">
      <c r="B91" s="156">
        <f t="shared" si="31"/>
        <v>71</v>
      </c>
      <c r="C91" s="127" t="str">
        <f>'קיזוזים- החלטות ועדה'!C101</f>
        <v>תמי ורונן יצחקי</v>
      </c>
      <c r="D91" s="190">
        <f>IF(C91="","",'הגבלה לסכום מבוקש (1)'!D91)</f>
        <v>295000</v>
      </c>
      <c r="E91" s="190">
        <f>IF(C91="","",'קיזוזים בגין איחורים'!F101+'קיזוזים- החלטות ועדה'!E101)</f>
        <v>0</v>
      </c>
      <c r="F91" s="181">
        <f t="shared" si="32"/>
        <v>295000</v>
      </c>
      <c r="G91" s="181">
        <f>'קיזוזים- החלטות ועדה'!G101</f>
        <v>93115.524924557219</v>
      </c>
      <c r="H91" s="140">
        <f t="shared" si="33"/>
        <v>0</v>
      </c>
      <c r="I91" s="181">
        <f t="shared" si="34"/>
        <v>93115.524924557219</v>
      </c>
      <c r="J91" s="181">
        <f t="shared" si="25"/>
        <v>93115.524924557234</v>
      </c>
      <c r="K91" s="188">
        <f t="shared" si="35"/>
        <v>0</v>
      </c>
      <c r="L91" s="189">
        <f t="shared" si="36"/>
        <v>93115.524924557234</v>
      </c>
      <c r="M91" s="189">
        <f t="shared" si="26"/>
        <v>93115.524924557205</v>
      </c>
      <c r="N91" s="188">
        <f t="shared" si="37"/>
        <v>0</v>
      </c>
      <c r="O91" s="189">
        <f t="shared" si="38"/>
        <v>93115.524924557205</v>
      </c>
      <c r="P91" s="189">
        <f t="shared" si="27"/>
        <v>93115.524924557219</v>
      </c>
      <c r="Q91" s="188">
        <f t="shared" si="39"/>
        <v>0</v>
      </c>
      <c r="R91" s="189">
        <f t="shared" si="40"/>
        <v>93115.524924557219</v>
      </c>
      <c r="S91" s="189">
        <f t="shared" si="28"/>
        <v>93115.52492455719</v>
      </c>
      <c r="T91" s="188">
        <f t="shared" si="41"/>
        <v>0</v>
      </c>
      <c r="U91" s="189">
        <f t="shared" si="42"/>
        <v>93115.52492455719</v>
      </c>
      <c r="V91" s="189">
        <f t="shared" si="29"/>
        <v>93115.524924557205</v>
      </c>
      <c r="W91" s="180">
        <f t="shared" si="43"/>
        <v>93115.524924557205</v>
      </c>
      <c r="X91" s="129">
        <f t="shared" si="30"/>
        <v>1.1520257788617505E-2</v>
      </c>
    </row>
    <row r="92" spans="2:24" x14ac:dyDescent="0.25">
      <c r="B92" s="156">
        <f t="shared" si="31"/>
        <v>72</v>
      </c>
      <c r="C92" s="127" t="str">
        <f>'קיזוזים- החלטות ועדה'!C102</f>
        <v>רננה רז</v>
      </c>
      <c r="D92" s="190">
        <f>IF(C92="","",'הגבלה לסכום מבוקש (1)'!D92)</f>
        <v>230000</v>
      </c>
      <c r="E92" s="190">
        <f>IF(C92="","",'קיזוזים בגין איחורים'!F102+'קיזוזים- החלטות ועדה'!E102)</f>
        <v>0</v>
      </c>
      <c r="F92" s="181">
        <f t="shared" si="32"/>
        <v>230000</v>
      </c>
      <c r="G92" s="181">
        <f>'קיזוזים- החלטות ועדה'!G102</f>
        <v>184349.44001703322</v>
      </c>
      <c r="H92" s="140">
        <f t="shared" si="33"/>
        <v>0</v>
      </c>
      <c r="I92" s="181">
        <f t="shared" si="34"/>
        <v>184349.44001703322</v>
      </c>
      <c r="J92" s="181">
        <f t="shared" si="25"/>
        <v>184349.44001703328</v>
      </c>
      <c r="K92" s="188">
        <f t="shared" si="35"/>
        <v>0</v>
      </c>
      <c r="L92" s="189">
        <f t="shared" si="36"/>
        <v>184349.44001703328</v>
      </c>
      <c r="M92" s="189">
        <f t="shared" si="26"/>
        <v>184349.44001703325</v>
      </c>
      <c r="N92" s="188">
        <f t="shared" si="37"/>
        <v>0</v>
      </c>
      <c r="O92" s="189">
        <f t="shared" si="38"/>
        <v>184349.44001703325</v>
      </c>
      <c r="P92" s="189">
        <f t="shared" si="27"/>
        <v>184349.44001703331</v>
      </c>
      <c r="Q92" s="188">
        <f t="shared" si="39"/>
        <v>0</v>
      </c>
      <c r="R92" s="189">
        <f t="shared" si="40"/>
        <v>184349.44001703331</v>
      </c>
      <c r="S92" s="189">
        <f t="shared" si="28"/>
        <v>184349.44001703328</v>
      </c>
      <c r="T92" s="188">
        <f t="shared" si="41"/>
        <v>0</v>
      </c>
      <c r="U92" s="189">
        <f t="shared" si="42"/>
        <v>184349.44001703328</v>
      </c>
      <c r="V92" s="189">
        <f t="shared" si="29"/>
        <v>184349.44001703334</v>
      </c>
      <c r="W92" s="180">
        <f t="shared" si="43"/>
        <v>184349.44001703334</v>
      </c>
      <c r="X92" s="129">
        <f t="shared" si="30"/>
        <v>2.2807722706865288E-2</v>
      </c>
    </row>
    <row r="93" spans="2:24" x14ac:dyDescent="0.25">
      <c r="B93" s="156">
        <f t="shared" si="31"/>
        <v>73</v>
      </c>
      <c r="C93" s="127" t="str">
        <f>'קיזוזים- החלטות ועדה'!C103</f>
        <v>רתם תשח</v>
      </c>
      <c r="D93" s="190">
        <f>IF(C93="","",'הגבלה לסכום מבוקש (1)'!D93)</f>
        <v>295000</v>
      </c>
      <c r="E93" s="190">
        <f>IF(C93="","",'קיזוזים בגין איחורים'!F103+'קיזוזים- החלטות ועדה'!E103)</f>
        <v>0</v>
      </c>
      <c r="F93" s="181">
        <f t="shared" si="32"/>
        <v>295000</v>
      </c>
      <c r="G93" s="181">
        <f>'קיזוזים- החלטות ועדה'!G103</f>
        <v>38037.776124086166</v>
      </c>
      <c r="H93" s="140">
        <f t="shared" si="33"/>
        <v>0</v>
      </c>
      <c r="I93" s="181">
        <f t="shared" si="34"/>
        <v>38037.776124086166</v>
      </c>
      <c r="J93" s="181">
        <f t="shared" si="25"/>
        <v>38037.776124086173</v>
      </c>
      <c r="K93" s="188">
        <f t="shared" si="35"/>
        <v>0</v>
      </c>
      <c r="L93" s="189">
        <f t="shared" si="36"/>
        <v>38037.776124086173</v>
      </c>
      <c r="M93" s="189">
        <f t="shared" si="26"/>
        <v>38037.776124086166</v>
      </c>
      <c r="N93" s="188">
        <f t="shared" si="37"/>
        <v>0</v>
      </c>
      <c r="O93" s="189">
        <f t="shared" si="38"/>
        <v>38037.776124086166</v>
      </c>
      <c r="P93" s="189">
        <f t="shared" si="27"/>
        <v>38037.776124086173</v>
      </c>
      <c r="Q93" s="188">
        <f t="shared" si="39"/>
        <v>0</v>
      </c>
      <c r="R93" s="189">
        <f t="shared" si="40"/>
        <v>38037.776124086173</v>
      </c>
      <c r="S93" s="189">
        <f t="shared" si="28"/>
        <v>38037.776124086166</v>
      </c>
      <c r="T93" s="188">
        <f t="shared" si="41"/>
        <v>0</v>
      </c>
      <c r="U93" s="189">
        <f t="shared" si="42"/>
        <v>38037.776124086166</v>
      </c>
      <c r="V93" s="189">
        <f t="shared" si="29"/>
        <v>38037.776124086173</v>
      </c>
      <c r="W93" s="180">
        <f t="shared" si="43"/>
        <v>38037.776124086173</v>
      </c>
      <c r="X93" s="129">
        <f t="shared" si="30"/>
        <v>4.7060357229391043E-3</v>
      </c>
    </row>
    <row r="94" spans="2:24" x14ac:dyDescent="0.25">
      <c r="B94" s="156" t="str">
        <f t="shared" si="31"/>
        <v/>
      </c>
      <c r="C94" s="127" t="str">
        <f>'קיזוזים- החלטות ועדה'!C104</f>
        <v/>
      </c>
      <c r="D94" s="190" t="str">
        <f>IF(C94="","",'הגבלה לסכום מבוקש (1)'!D94)</f>
        <v/>
      </c>
      <c r="E94" s="190" t="str">
        <f>IF(C94="","",'קיזוזים בגין איחורים'!F104+'קיזוזים- החלטות ועדה'!E104)</f>
        <v/>
      </c>
      <c r="F94" s="181" t="str">
        <f t="shared" si="32"/>
        <v/>
      </c>
      <c r="G94" s="181" t="str">
        <f>'קיזוזים- החלטות ועדה'!G104</f>
        <v/>
      </c>
      <c r="H94" s="140" t="str">
        <f t="shared" si="33"/>
        <v/>
      </c>
      <c r="I94" s="181" t="str">
        <f t="shared" si="34"/>
        <v/>
      </c>
      <c r="J94" s="181" t="str">
        <f t="shared" si="25"/>
        <v/>
      </c>
      <c r="K94" s="188">
        <f t="shared" si="35"/>
        <v>0</v>
      </c>
      <c r="L94" s="189" t="str">
        <f t="shared" si="36"/>
        <v/>
      </c>
      <c r="M94" s="189" t="str">
        <f t="shared" si="26"/>
        <v/>
      </c>
      <c r="N94" s="188">
        <f t="shared" si="37"/>
        <v>0</v>
      </c>
      <c r="O94" s="189" t="str">
        <f t="shared" si="38"/>
        <v/>
      </c>
      <c r="P94" s="189" t="str">
        <f t="shared" si="27"/>
        <v/>
      </c>
      <c r="Q94" s="188">
        <f t="shared" si="39"/>
        <v>0</v>
      </c>
      <c r="R94" s="189" t="str">
        <f t="shared" si="40"/>
        <v/>
      </c>
      <c r="S94" s="189" t="str">
        <f t="shared" si="28"/>
        <v/>
      </c>
      <c r="T94" s="188">
        <f t="shared" si="41"/>
        <v>0</v>
      </c>
      <c r="U94" s="189" t="str">
        <f t="shared" si="42"/>
        <v/>
      </c>
      <c r="V94" s="189" t="str">
        <f t="shared" si="29"/>
        <v/>
      </c>
      <c r="W94" s="180" t="str">
        <f t="shared" si="43"/>
        <v/>
      </c>
      <c r="X94" s="129" t="str">
        <f t="shared" si="30"/>
        <v/>
      </c>
    </row>
    <row r="95" spans="2:24" x14ac:dyDescent="0.25">
      <c r="B95" s="156" t="str">
        <f t="shared" si="31"/>
        <v/>
      </c>
      <c r="C95" s="127" t="str">
        <f>'קיזוזים- החלטות ועדה'!C105</f>
        <v/>
      </c>
      <c r="D95" s="190" t="str">
        <f>IF(C95="","",'הגבלה לסכום מבוקש (1)'!D95)</f>
        <v/>
      </c>
      <c r="E95" s="190" t="str">
        <f>IF(C95="","",'קיזוזים בגין איחורים'!F105+'קיזוזים- החלטות ועדה'!E105)</f>
        <v/>
      </c>
      <c r="F95" s="181" t="str">
        <f t="shared" si="32"/>
        <v/>
      </c>
      <c r="G95" s="181" t="str">
        <f>'קיזוזים- החלטות ועדה'!G105</f>
        <v/>
      </c>
      <c r="H95" s="140" t="str">
        <f t="shared" si="33"/>
        <v/>
      </c>
      <c r="I95" s="181" t="str">
        <f t="shared" si="34"/>
        <v/>
      </c>
      <c r="J95" s="181" t="str">
        <f t="shared" si="25"/>
        <v/>
      </c>
      <c r="K95" s="188">
        <f t="shared" si="35"/>
        <v>0</v>
      </c>
      <c r="L95" s="189" t="str">
        <f t="shared" si="36"/>
        <v/>
      </c>
      <c r="M95" s="189" t="str">
        <f t="shared" si="26"/>
        <v/>
      </c>
      <c r="N95" s="188">
        <f t="shared" si="37"/>
        <v>0</v>
      </c>
      <c r="O95" s="189" t="str">
        <f t="shared" si="38"/>
        <v/>
      </c>
      <c r="P95" s="189" t="str">
        <f t="shared" si="27"/>
        <v/>
      </c>
      <c r="Q95" s="188">
        <f t="shared" si="39"/>
        <v>0</v>
      </c>
      <c r="R95" s="189" t="str">
        <f t="shared" si="40"/>
        <v/>
      </c>
      <c r="S95" s="189" t="str">
        <f t="shared" si="28"/>
        <v/>
      </c>
      <c r="T95" s="188">
        <f t="shared" si="41"/>
        <v>0</v>
      </c>
      <c r="U95" s="189" t="str">
        <f t="shared" si="42"/>
        <v/>
      </c>
      <c r="V95" s="189" t="str">
        <f t="shared" si="29"/>
        <v/>
      </c>
      <c r="W95" s="180" t="str">
        <f t="shared" si="43"/>
        <v/>
      </c>
      <c r="X95" s="129" t="str">
        <f t="shared" si="30"/>
        <v/>
      </c>
    </row>
    <row r="96" spans="2:24" x14ac:dyDescent="0.25">
      <c r="B96" s="156">
        <f t="shared" si="31"/>
        <v>76</v>
      </c>
      <c r="C96" s="127" t="str">
        <f>'קיזוזים- החלטות ועדה'!C106</f>
        <v>שרון שגיא - פלמנקו</v>
      </c>
      <c r="D96" s="190">
        <f>IF(C96="","",'הגבלה לסכום מבוקש (1)'!D96)</f>
        <v>280000</v>
      </c>
      <c r="E96" s="190">
        <f>IF(C96="","",'קיזוזים בגין איחורים'!F106+'קיזוזים- החלטות ועדה'!E106)</f>
        <v>0</v>
      </c>
      <c r="F96" s="181">
        <f t="shared" si="32"/>
        <v>280000</v>
      </c>
      <c r="G96" s="181">
        <f>'קיזוזים- החלטות ועדה'!G106</f>
        <v>246451.76040490525</v>
      </c>
      <c r="H96" s="140">
        <f t="shared" si="33"/>
        <v>0</v>
      </c>
      <c r="I96" s="181">
        <f t="shared" si="34"/>
        <v>246451.76040490525</v>
      </c>
      <c r="J96" s="181">
        <f t="shared" si="25"/>
        <v>246451.7604049053</v>
      </c>
      <c r="K96" s="188">
        <f t="shared" si="35"/>
        <v>0</v>
      </c>
      <c r="L96" s="189">
        <f t="shared" si="36"/>
        <v>246451.7604049053</v>
      </c>
      <c r="M96" s="189">
        <f t="shared" si="26"/>
        <v>246451.76040490525</v>
      </c>
      <c r="N96" s="188">
        <f t="shared" si="37"/>
        <v>0</v>
      </c>
      <c r="O96" s="189">
        <f t="shared" si="38"/>
        <v>246451.76040490525</v>
      </c>
      <c r="P96" s="189">
        <f t="shared" si="27"/>
        <v>246451.7604049053</v>
      </c>
      <c r="Q96" s="188">
        <f t="shared" si="39"/>
        <v>0</v>
      </c>
      <c r="R96" s="189">
        <f t="shared" si="40"/>
        <v>246451.7604049053</v>
      </c>
      <c r="S96" s="189">
        <f t="shared" si="28"/>
        <v>246451.76040490525</v>
      </c>
      <c r="T96" s="188">
        <f t="shared" si="41"/>
        <v>0</v>
      </c>
      <c r="U96" s="189">
        <f t="shared" si="42"/>
        <v>246451.76040490525</v>
      </c>
      <c r="V96" s="189">
        <f t="shared" si="29"/>
        <v>246451.7604049053</v>
      </c>
      <c r="W96" s="180">
        <f t="shared" si="43"/>
        <v>246451.7604049053</v>
      </c>
      <c r="X96" s="129">
        <f t="shared" si="30"/>
        <v>3.0491025149924612E-2</v>
      </c>
    </row>
    <row r="97" spans="2:24" x14ac:dyDescent="0.25">
      <c r="B97" s="156" t="str">
        <f t="shared" si="31"/>
        <v/>
      </c>
      <c r="C97" s="127" t="str">
        <f>'קיזוזים- החלטות ועדה'!C107</f>
        <v/>
      </c>
      <c r="D97" s="190" t="str">
        <f>IF(C97="","",'הגבלה לסכום מבוקש (1)'!D97)</f>
        <v/>
      </c>
      <c r="E97" s="190" t="str">
        <f>IF(C97="","",'קיזוזים בגין איחורים'!F107+'קיזוזים- החלטות ועדה'!E107)</f>
        <v/>
      </c>
      <c r="F97" s="181" t="str">
        <f t="shared" si="32"/>
        <v/>
      </c>
      <c r="G97" s="181" t="str">
        <f>'קיזוזים- החלטות ועדה'!G107</f>
        <v/>
      </c>
      <c r="H97" s="140" t="str">
        <f t="shared" si="33"/>
        <v/>
      </c>
      <c r="I97" s="181" t="str">
        <f t="shared" si="34"/>
        <v/>
      </c>
      <c r="J97" s="181" t="str">
        <f t="shared" si="25"/>
        <v/>
      </c>
      <c r="K97" s="188">
        <f t="shared" si="35"/>
        <v>0</v>
      </c>
      <c r="L97" s="189" t="str">
        <f t="shared" si="36"/>
        <v/>
      </c>
      <c r="M97" s="189" t="str">
        <f t="shared" si="26"/>
        <v/>
      </c>
      <c r="N97" s="188">
        <f t="shared" si="37"/>
        <v>0</v>
      </c>
      <c r="O97" s="189" t="str">
        <f t="shared" si="38"/>
        <v/>
      </c>
      <c r="P97" s="189" t="str">
        <f t="shared" si="27"/>
        <v/>
      </c>
      <c r="Q97" s="188">
        <f t="shared" si="39"/>
        <v>0</v>
      </c>
      <c r="R97" s="189" t="str">
        <f t="shared" si="40"/>
        <v/>
      </c>
      <c r="S97" s="189" t="str">
        <f t="shared" si="28"/>
        <v/>
      </c>
      <c r="T97" s="188">
        <f t="shared" si="41"/>
        <v>0</v>
      </c>
      <c r="U97" s="189" t="str">
        <f t="shared" si="42"/>
        <v/>
      </c>
      <c r="V97" s="189" t="str">
        <f t="shared" si="29"/>
        <v/>
      </c>
      <c r="W97" s="180" t="str">
        <f t="shared" si="43"/>
        <v/>
      </c>
      <c r="X97" s="129" t="str">
        <f t="shared" si="30"/>
        <v/>
      </c>
    </row>
    <row r="98" spans="2:24" x14ac:dyDescent="0.25">
      <c r="B98" s="156">
        <f t="shared" si="31"/>
        <v>78</v>
      </c>
      <c r="C98" s="127" t="str">
        <f>'קיזוזים- החלטות ועדה'!C108</f>
        <v>אוליביה קורט מסה</v>
      </c>
      <c r="D98" s="190">
        <f>IF(C98="","",'הגבלה לסכום מבוקש (1)'!D98)</f>
        <v>295000</v>
      </c>
      <c r="E98" s="190">
        <f>IF(C98="","",'קיזוזים בגין איחורים'!F108+'קיזוזים- החלטות ועדה'!E108)</f>
        <v>0</v>
      </c>
      <c r="F98" s="181">
        <f t="shared" si="32"/>
        <v>295000</v>
      </c>
      <c r="G98" s="181">
        <f>'קיזוזים- החלטות ועדה'!G108</f>
        <v>98573.416263819207</v>
      </c>
      <c r="H98" s="140">
        <f t="shared" si="33"/>
        <v>0</v>
      </c>
      <c r="I98" s="181">
        <f t="shared" si="34"/>
        <v>98573.416263819207</v>
      </c>
      <c r="J98" s="181">
        <f t="shared" si="25"/>
        <v>98573.416263819221</v>
      </c>
      <c r="K98" s="188">
        <f t="shared" si="35"/>
        <v>0</v>
      </c>
      <c r="L98" s="189">
        <f t="shared" si="36"/>
        <v>98573.416263819221</v>
      </c>
      <c r="M98" s="189">
        <f t="shared" si="26"/>
        <v>98573.416263819207</v>
      </c>
      <c r="N98" s="188">
        <f t="shared" si="37"/>
        <v>0</v>
      </c>
      <c r="O98" s="189">
        <f t="shared" si="38"/>
        <v>98573.416263819207</v>
      </c>
      <c r="P98" s="189">
        <f t="shared" si="27"/>
        <v>98573.416263819221</v>
      </c>
      <c r="Q98" s="188">
        <f t="shared" si="39"/>
        <v>0</v>
      </c>
      <c r="R98" s="189">
        <f t="shared" si="40"/>
        <v>98573.416263819221</v>
      </c>
      <c r="S98" s="189">
        <f t="shared" si="28"/>
        <v>98573.416263819207</v>
      </c>
      <c r="T98" s="188">
        <f t="shared" si="41"/>
        <v>0</v>
      </c>
      <c r="U98" s="189">
        <f t="shared" si="42"/>
        <v>98573.416263819207</v>
      </c>
      <c r="V98" s="189">
        <f t="shared" si="29"/>
        <v>98573.416263819221</v>
      </c>
      <c r="W98" s="180">
        <f t="shared" si="43"/>
        <v>98573.416263819221</v>
      </c>
      <c r="X98" s="129">
        <f t="shared" si="30"/>
        <v>1.219550840081675E-2</v>
      </c>
    </row>
    <row r="99" spans="2:24" x14ac:dyDescent="0.25">
      <c r="B99" s="156" t="str">
        <f t="shared" si="31"/>
        <v/>
      </c>
      <c r="C99" s="127" t="str">
        <f>'קיזוזים- החלטות ועדה'!C109</f>
        <v/>
      </c>
      <c r="D99" s="190" t="str">
        <f>IF(C99="","",'הגבלה לסכום מבוקש (1)'!D99)</f>
        <v/>
      </c>
      <c r="E99" s="190" t="str">
        <f>IF(C99="","",'קיזוזים בגין איחורים'!F109+'קיזוזים- החלטות ועדה'!E109)</f>
        <v/>
      </c>
      <c r="F99" s="181" t="str">
        <f t="shared" si="32"/>
        <v/>
      </c>
      <c r="G99" s="181" t="str">
        <f>'קיזוזים- החלטות ועדה'!G109</f>
        <v/>
      </c>
      <c r="H99" s="140" t="str">
        <f t="shared" si="33"/>
        <v/>
      </c>
      <c r="I99" s="181" t="str">
        <f t="shared" si="34"/>
        <v/>
      </c>
      <c r="J99" s="181" t="str">
        <f t="shared" si="25"/>
        <v/>
      </c>
      <c r="K99" s="188">
        <f t="shared" si="35"/>
        <v>0</v>
      </c>
      <c r="L99" s="189" t="str">
        <f t="shared" si="36"/>
        <v/>
      </c>
      <c r="M99" s="189" t="str">
        <f t="shared" si="26"/>
        <v/>
      </c>
      <c r="N99" s="188">
        <f t="shared" si="37"/>
        <v>0</v>
      </c>
      <c r="O99" s="189" t="str">
        <f t="shared" si="38"/>
        <v/>
      </c>
      <c r="P99" s="189" t="str">
        <f t="shared" si="27"/>
        <v/>
      </c>
      <c r="Q99" s="188">
        <f t="shared" si="39"/>
        <v>0</v>
      </c>
      <c r="R99" s="189" t="str">
        <f t="shared" si="40"/>
        <v/>
      </c>
      <c r="S99" s="189" t="str">
        <f t="shared" si="28"/>
        <v/>
      </c>
      <c r="T99" s="188">
        <f t="shared" si="41"/>
        <v>0</v>
      </c>
      <c r="U99" s="189" t="str">
        <f t="shared" si="42"/>
        <v/>
      </c>
      <c r="V99" s="189" t="str">
        <f t="shared" si="29"/>
        <v/>
      </c>
      <c r="W99" s="180" t="str">
        <f t="shared" si="43"/>
        <v/>
      </c>
      <c r="X99" s="129" t="str">
        <f t="shared" si="30"/>
        <v/>
      </c>
    </row>
    <row r="100" spans="2:24" x14ac:dyDescent="0.25">
      <c r="B100" s="156" t="str">
        <f t="shared" si="31"/>
        <v/>
      </c>
      <c r="C100" s="127" t="str">
        <f>'קיזוזים- החלטות ועדה'!C110</f>
        <v/>
      </c>
      <c r="D100" s="190" t="str">
        <f>IF(C100="","",'הגבלה לסכום מבוקש (1)'!D100)</f>
        <v/>
      </c>
      <c r="E100" s="190" t="str">
        <f>IF(C100="","",'קיזוזים בגין איחורים'!F110+'קיזוזים- החלטות ועדה'!E110)</f>
        <v/>
      </c>
      <c r="F100" s="181" t="str">
        <f t="shared" si="32"/>
        <v/>
      </c>
      <c r="G100" s="181" t="str">
        <f>'קיזוזים- החלטות ועדה'!G110</f>
        <v/>
      </c>
      <c r="H100" s="140" t="str">
        <f t="shared" si="33"/>
        <v/>
      </c>
      <c r="I100" s="181" t="str">
        <f t="shared" si="34"/>
        <v/>
      </c>
      <c r="J100" s="181" t="str">
        <f t="shared" si="25"/>
        <v/>
      </c>
      <c r="K100" s="188">
        <f t="shared" si="35"/>
        <v>0</v>
      </c>
      <c r="L100" s="189" t="str">
        <f t="shared" si="36"/>
        <v/>
      </c>
      <c r="M100" s="189" t="str">
        <f t="shared" si="26"/>
        <v/>
      </c>
      <c r="N100" s="188">
        <f t="shared" si="37"/>
        <v>0</v>
      </c>
      <c r="O100" s="189" t="str">
        <f t="shared" si="38"/>
        <v/>
      </c>
      <c r="P100" s="189" t="str">
        <f t="shared" si="27"/>
        <v/>
      </c>
      <c r="Q100" s="188">
        <f t="shared" si="39"/>
        <v>0</v>
      </c>
      <c r="R100" s="189" t="str">
        <f t="shared" si="40"/>
        <v/>
      </c>
      <c r="S100" s="189" t="str">
        <f t="shared" si="28"/>
        <v/>
      </c>
      <c r="T100" s="188">
        <f t="shared" si="41"/>
        <v>0</v>
      </c>
      <c r="U100" s="189" t="str">
        <f t="shared" si="42"/>
        <v/>
      </c>
      <c r="V100" s="189" t="str">
        <f t="shared" si="29"/>
        <v/>
      </c>
      <c r="W100" s="180" t="str">
        <f t="shared" si="43"/>
        <v/>
      </c>
      <c r="X100" s="129" t="str">
        <f t="shared" si="30"/>
        <v/>
      </c>
    </row>
    <row r="101" spans="2:24" x14ac:dyDescent="0.25">
      <c r="B101" s="156">
        <f t="shared" si="31"/>
        <v>81</v>
      </c>
      <c r="C101" s="127" t="str">
        <f>'קיזוזים- החלטות ועדה'!C111</f>
        <v>דגה פדר</v>
      </c>
      <c r="D101" s="190">
        <f>IF(C101="","",'הגבלה לסכום מבוקש (1)'!D101)</f>
        <v>295000</v>
      </c>
      <c r="E101" s="190">
        <f>IF(C101="","",'קיזוזים בגין איחורים'!F111+'קיזוזים- החלטות ועדה'!E111)</f>
        <v>0</v>
      </c>
      <c r="F101" s="181">
        <f t="shared" si="32"/>
        <v>295000</v>
      </c>
      <c r="G101" s="181">
        <f>'קיזוזים- החלטות ועדה'!G111</f>
        <v>35122.323146623952</v>
      </c>
      <c r="H101" s="140">
        <f t="shared" si="33"/>
        <v>0</v>
      </c>
      <c r="I101" s="181">
        <f t="shared" si="34"/>
        <v>35122.323146623952</v>
      </c>
      <c r="J101" s="181">
        <f t="shared" si="25"/>
        <v>35122.323146623959</v>
      </c>
      <c r="K101" s="188">
        <f t="shared" si="35"/>
        <v>0</v>
      </c>
      <c r="L101" s="189">
        <f t="shared" si="36"/>
        <v>35122.323146623959</v>
      </c>
      <c r="M101" s="189">
        <f t="shared" si="26"/>
        <v>35122.323146623952</v>
      </c>
      <c r="N101" s="188">
        <f t="shared" si="37"/>
        <v>0</v>
      </c>
      <c r="O101" s="189">
        <f t="shared" si="38"/>
        <v>35122.323146623952</v>
      </c>
      <c r="P101" s="189">
        <f t="shared" si="27"/>
        <v>35122.323146623959</v>
      </c>
      <c r="Q101" s="188">
        <f t="shared" si="39"/>
        <v>0</v>
      </c>
      <c r="R101" s="189">
        <f t="shared" si="40"/>
        <v>35122.323146623959</v>
      </c>
      <c r="S101" s="189">
        <f t="shared" si="28"/>
        <v>35122.323146623952</v>
      </c>
      <c r="T101" s="188">
        <f t="shared" si="41"/>
        <v>0</v>
      </c>
      <c r="U101" s="189">
        <f t="shared" si="42"/>
        <v>35122.323146623952</v>
      </c>
      <c r="V101" s="189">
        <f t="shared" si="29"/>
        <v>35122.323146623959</v>
      </c>
      <c r="W101" s="180">
        <f t="shared" si="43"/>
        <v>35122.323146623959</v>
      </c>
      <c r="X101" s="129">
        <f t="shared" si="30"/>
        <v>4.3453357226097347E-3</v>
      </c>
    </row>
    <row r="102" spans="2:24" x14ac:dyDescent="0.25">
      <c r="B102" s="156">
        <f t="shared" si="31"/>
        <v>82</v>
      </c>
      <c r="C102" s="127" t="str">
        <f>'קיזוזים- החלטות ועדה'!C112</f>
        <v>דנה חפוטה</v>
      </c>
      <c r="D102" s="190">
        <f>IF(C102="","",'הגבלה לסכום מבוקש (1)'!D102)</f>
        <v>295000</v>
      </c>
      <c r="E102" s="190">
        <f>IF(C102="","",'קיזוזים בגין איחורים'!F112+'קיזוזים- החלטות ועדה'!E112)</f>
        <v>0</v>
      </c>
      <c r="F102" s="181">
        <f t="shared" si="32"/>
        <v>295000</v>
      </c>
      <c r="G102" s="181">
        <f>'קיזוזים- החלטות ועדה'!G112</f>
        <v>50641.641837943374</v>
      </c>
      <c r="H102" s="140">
        <f t="shared" si="33"/>
        <v>0</v>
      </c>
      <c r="I102" s="181">
        <f t="shared" si="34"/>
        <v>50641.641837943374</v>
      </c>
      <c r="J102" s="181">
        <f t="shared" si="25"/>
        <v>50641.641837943389</v>
      </c>
      <c r="K102" s="188">
        <f t="shared" si="35"/>
        <v>0</v>
      </c>
      <c r="L102" s="189">
        <f t="shared" si="36"/>
        <v>50641.641837943389</v>
      </c>
      <c r="M102" s="189">
        <f t="shared" si="26"/>
        <v>50641.641837943382</v>
      </c>
      <c r="N102" s="188">
        <f t="shared" si="37"/>
        <v>0</v>
      </c>
      <c r="O102" s="189">
        <f t="shared" si="38"/>
        <v>50641.641837943382</v>
      </c>
      <c r="P102" s="189">
        <f t="shared" si="27"/>
        <v>50641.641837943396</v>
      </c>
      <c r="Q102" s="188">
        <f t="shared" si="39"/>
        <v>0</v>
      </c>
      <c r="R102" s="189">
        <f t="shared" si="40"/>
        <v>50641.641837943396</v>
      </c>
      <c r="S102" s="189">
        <f t="shared" si="28"/>
        <v>50641.641837943389</v>
      </c>
      <c r="T102" s="188">
        <f t="shared" si="41"/>
        <v>0</v>
      </c>
      <c r="U102" s="189">
        <f t="shared" si="42"/>
        <v>50641.641837943389</v>
      </c>
      <c r="V102" s="189">
        <f t="shared" si="29"/>
        <v>50641.641837943404</v>
      </c>
      <c r="W102" s="180">
        <f t="shared" si="43"/>
        <v>50641.641837943404</v>
      </c>
      <c r="X102" s="129">
        <f t="shared" si="30"/>
        <v>6.2653866719284881E-3</v>
      </c>
    </row>
    <row r="103" spans="2:24" x14ac:dyDescent="0.25">
      <c r="B103" s="156" t="str">
        <f t="shared" si="31"/>
        <v/>
      </c>
      <c r="C103" s="127" t="str">
        <f>'קיזוזים- החלטות ועדה'!C113</f>
        <v/>
      </c>
      <c r="D103" s="190" t="str">
        <f>IF(C103="","",'הגבלה לסכום מבוקש (1)'!D103)</f>
        <v/>
      </c>
      <c r="E103" s="190" t="str">
        <f>IF(C103="","",'קיזוזים בגין איחורים'!F113+'קיזוזים- החלטות ועדה'!E113)</f>
        <v/>
      </c>
      <c r="F103" s="181" t="str">
        <f t="shared" si="32"/>
        <v/>
      </c>
      <c r="G103" s="181" t="str">
        <f>'קיזוזים- החלטות ועדה'!G113</f>
        <v/>
      </c>
      <c r="H103" s="140" t="str">
        <f t="shared" si="33"/>
        <v/>
      </c>
      <c r="I103" s="181" t="str">
        <f t="shared" si="34"/>
        <v/>
      </c>
      <c r="J103" s="181" t="str">
        <f t="shared" si="25"/>
        <v/>
      </c>
      <c r="K103" s="188">
        <f t="shared" si="35"/>
        <v>0</v>
      </c>
      <c r="L103" s="189" t="str">
        <f t="shared" si="36"/>
        <v/>
      </c>
      <c r="M103" s="189" t="str">
        <f t="shared" si="26"/>
        <v/>
      </c>
      <c r="N103" s="188">
        <f t="shared" si="37"/>
        <v>0</v>
      </c>
      <c r="O103" s="189" t="str">
        <f t="shared" si="38"/>
        <v/>
      </c>
      <c r="P103" s="189" t="str">
        <f t="shared" si="27"/>
        <v/>
      </c>
      <c r="Q103" s="188">
        <f t="shared" si="39"/>
        <v>0</v>
      </c>
      <c r="R103" s="189" t="str">
        <f t="shared" si="40"/>
        <v/>
      </c>
      <c r="S103" s="189" t="str">
        <f t="shared" si="28"/>
        <v/>
      </c>
      <c r="T103" s="188">
        <f t="shared" si="41"/>
        <v>0</v>
      </c>
      <c r="U103" s="189" t="str">
        <f t="shared" si="42"/>
        <v/>
      </c>
      <c r="V103" s="189" t="str">
        <f t="shared" si="29"/>
        <v/>
      </c>
      <c r="W103" s="180" t="str">
        <f t="shared" si="43"/>
        <v/>
      </c>
      <c r="X103" s="129" t="str">
        <f t="shared" si="30"/>
        <v/>
      </c>
    </row>
    <row r="104" spans="2:24" x14ac:dyDescent="0.25">
      <c r="B104" s="156" t="str">
        <f t="shared" si="31"/>
        <v/>
      </c>
      <c r="C104" s="127" t="str">
        <f>'קיזוזים- החלטות ועדה'!C114</f>
        <v/>
      </c>
      <c r="D104" s="190" t="str">
        <f>IF(C104="","",'הגבלה לסכום מבוקש (1)'!D104)</f>
        <v/>
      </c>
      <c r="E104" s="190" t="str">
        <f>IF(C104="","",'קיזוזים בגין איחורים'!F114+'קיזוזים- החלטות ועדה'!E114)</f>
        <v/>
      </c>
      <c r="F104" s="181" t="str">
        <f t="shared" si="32"/>
        <v/>
      </c>
      <c r="G104" s="181" t="str">
        <f>'קיזוזים- החלטות ועדה'!G114</f>
        <v/>
      </c>
      <c r="H104" s="140" t="str">
        <f t="shared" si="33"/>
        <v/>
      </c>
      <c r="I104" s="181" t="str">
        <f t="shared" si="34"/>
        <v/>
      </c>
      <c r="J104" s="181" t="str">
        <f t="shared" si="25"/>
        <v/>
      </c>
      <c r="K104" s="188">
        <f t="shared" si="35"/>
        <v>0</v>
      </c>
      <c r="L104" s="189" t="str">
        <f t="shared" si="36"/>
        <v/>
      </c>
      <c r="M104" s="189" t="str">
        <f t="shared" si="26"/>
        <v/>
      </c>
      <c r="N104" s="188">
        <f t="shared" si="37"/>
        <v>0</v>
      </c>
      <c r="O104" s="189" t="str">
        <f t="shared" si="38"/>
        <v/>
      </c>
      <c r="P104" s="189" t="str">
        <f t="shared" si="27"/>
        <v/>
      </c>
      <c r="Q104" s="188">
        <f t="shared" si="39"/>
        <v>0</v>
      </c>
      <c r="R104" s="189" t="str">
        <f t="shared" si="40"/>
        <v/>
      </c>
      <c r="S104" s="189" t="str">
        <f t="shared" si="28"/>
        <v/>
      </c>
      <c r="T104" s="188">
        <f t="shared" si="41"/>
        <v>0</v>
      </c>
      <c r="U104" s="189" t="str">
        <f t="shared" si="42"/>
        <v/>
      </c>
      <c r="V104" s="189" t="str">
        <f t="shared" si="29"/>
        <v/>
      </c>
      <c r="W104" s="180" t="str">
        <f t="shared" si="43"/>
        <v/>
      </c>
      <c r="X104" s="129" t="str">
        <f t="shared" si="30"/>
        <v/>
      </c>
    </row>
    <row r="105" spans="2:24" x14ac:dyDescent="0.25">
      <c r="B105" s="156">
        <f t="shared" si="31"/>
        <v>85</v>
      </c>
      <c r="C105" s="127" t="str">
        <f>'קיזוזים- החלטות ועדה'!C115</f>
        <v>יענק'לה פילצר</v>
      </c>
      <c r="D105" s="190">
        <f>IF(C105="","",'הגבלה לסכום מבוקש (1)'!D105)</f>
        <v>295000</v>
      </c>
      <c r="E105" s="190">
        <f>IF(C105="","",'קיזוזים בגין איחורים'!F115+'קיזוזים- החלטות ועדה'!E115)</f>
        <v>0</v>
      </c>
      <c r="F105" s="181">
        <f t="shared" si="32"/>
        <v>295000</v>
      </c>
      <c r="G105" s="181">
        <f>'קיזוזים- החלטות ועדה'!G115</f>
        <v>147543.09020021965</v>
      </c>
      <c r="H105" s="140">
        <f t="shared" si="33"/>
        <v>0</v>
      </c>
      <c r="I105" s="181">
        <f t="shared" si="34"/>
        <v>147543.09020021965</v>
      </c>
      <c r="J105" s="181">
        <f t="shared" si="25"/>
        <v>147543.09020021968</v>
      </c>
      <c r="K105" s="188">
        <f t="shared" si="35"/>
        <v>0</v>
      </c>
      <c r="L105" s="189">
        <f t="shared" si="36"/>
        <v>147543.09020021968</v>
      </c>
      <c r="M105" s="189">
        <f t="shared" si="26"/>
        <v>147543.09020021965</v>
      </c>
      <c r="N105" s="188">
        <f t="shared" si="37"/>
        <v>0</v>
      </c>
      <c r="O105" s="189">
        <f t="shared" si="38"/>
        <v>147543.09020021965</v>
      </c>
      <c r="P105" s="189">
        <f t="shared" si="27"/>
        <v>147543.09020021968</v>
      </c>
      <c r="Q105" s="188">
        <f t="shared" si="39"/>
        <v>0</v>
      </c>
      <c r="R105" s="189">
        <f t="shared" si="40"/>
        <v>147543.09020021968</v>
      </c>
      <c r="S105" s="189">
        <f t="shared" si="28"/>
        <v>147543.09020021965</v>
      </c>
      <c r="T105" s="188">
        <f t="shared" si="41"/>
        <v>0</v>
      </c>
      <c r="U105" s="189">
        <f t="shared" si="42"/>
        <v>147543.09020021965</v>
      </c>
      <c r="V105" s="189">
        <f t="shared" si="29"/>
        <v>147543.09020021968</v>
      </c>
      <c r="W105" s="180">
        <f t="shared" si="43"/>
        <v>147543.09020021968</v>
      </c>
      <c r="X105" s="129">
        <f t="shared" si="30"/>
        <v>1.8254039113379982E-2</v>
      </c>
    </row>
    <row r="106" spans="2:24" x14ac:dyDescent="0.25">
      <c r="B106" s="156">
        <f t="shared" si="31"/>
        <v>86</v>
      </c>
      <c r="C106" s="127" t="str">
        <f>'קיזוזים- החלטות ועדה'!C116</f>
        <v>ענבל פינטו</v>
      </c>
      <c r="D106" s="190">
        <f>IF(C106="","",'הגבלה לסכום מבוקש (1)'!D106)</f>
        <v>295000</v>
      </c>
      <c r="E106" s="190">
        <f>IF(C106="","",'קיזוזים בגין איחורים'!F116+'קיזוזים- החלטות ועדה'!E116)</f>
        <v>0</v>
      </c>
      <c r="F106" s="181">
        <f t="shared" si="32"/>
        <v>295000</v>
      </c>
      <c r="G106" s="181">
        <f>'קיזוזים- החלטות ועדה'!G116</f>
        <v>104815.54946529685</v>
      </c>
      <c r="H106" s="140">
        <f t="shared" si="33"/>
        <v>0</v>
      </c>
      <c r="I106" s="181">
        <f t="shared" si="34"/>
        <v>104815.54946529685</v>
      </c>
      <c r="J106" s="181">
        <f t="shared" si="25"/>
        <v>104815.54946529686</v>
      </c>
      <c r="K106" s="188">
        <f t="shared" si="35"/>
        <v>0</v>
      </c>
      <c r="L106" s="189">
        <f t="shared" si="36"/>
        <v>104815.54946529686</v>
      </c>
      <c r="M106" s="189">
        <f t="shared" si="26"/>
        <v>104815.54946529685</v>
      </c>
      <c r="N106" s="188">
        <f t="shared" si="37"/>
        <v>0</v>
      </c>
      <c r="O106" s="189">
        <f t="shared" si="38"/>
        <v>104815.54946529685</v>
      </c>
      <c r="P106" s="189">
        <f t="shared" si="27"/>
        <v>104815.54946529686</v>
      </c>
      <c r="Q106" s="188">
        <f t="shared" si="39"/>
        <v>0</v>
      </c>
      <c r="R106" s="189">
        <f t="shared" si="40"/>
        <v>104815.54946529686</v>
      </c>
      <c r="S106" s="189">
        <f t="shared" si="28"/>
        <v>104815.54946529685</v>
      </c>
      <c r="T106" s="188">
        <f t="shared" si="41"/>
        <v>0</v>
      </c>
      <c r="U106" s="189">
        <f t="shared" si="42"/>
        <v>104815.54946529685</v>
      </c>
      <c r="V106" s="189">
        <f t="shared" si="29"/>
        <v>104815.54946529686</v>
      </c>
      <c r="W106" s="180">
        <f t="shared" si="43"/>
        <v>104815.54946529686</v>
      </c>
      <c r="X106" s="129">
        <f t="shared" si="30"/>
        <v>1.2967785458699133E-2</v>
      </c>
    </row>
    <row r="107" spans="2:24" x14ac:dyDescent="0.25">
      <c r="B107" s="156">
        <f t="shared" si="31"/>
        <v>87</v>
      </c>
      <c r="C107" s="127" t="str">
        <f>'קיזוזים- החלטות ועדה'!C117</f>
        <v>רוני חדש</v>
      </c>
      <c r="D107" s="190">
        <f>IF(C107="","",'הגבלה לסכום מבוקש (1)'!D107)</f>
        <v>295000</v>
      </c>
      <c r="E107" s="190">
        <f>IF(C107="","",'קיזוזים בגין איחורים'!F117+'קיזוזים- החלטות ועדה'!E117)</f>
        <v>0</v>
      </c>
      <c r="F107" s="181">
        <f t="shared" si="32"/>
        <v>295000</v>
      </c>
      <c r="G107" s="181">
        <f>'קיזוזים- החלטות ועדה'!G117</f>
        <v>99915.23508525957</v>
      </c>
      <c r="H107" s="140">
        <f t="shared" si="33"/>
        <v>0</v>
      </c>
      <c r="I107" s="181">
        <f t="shared" si="34"/>
        <v>99915.23508525957</v>
      </c>
      <c r="J107" s="181">
        <f t="shared" si="25"/>
        <v>99915.235085259585</v>
      </c>
      <c r="K107" s="188">
        <f t="shared" si="35"/>
        <v>0</v>
      </c>
      <c r="L107" s="189">
        <f t="shared" si="36"/>
        <v>99915.235085259585</v>
      </c>
      <c r="M107" s="189">
        <f t="shared" si="26"/>
        <v>99915.235085259555</v>
      </c>
      <c r="N107" s="188">
        <f t="shared" si="37"/>
        <v>0</v>
      </c>
      <c r="O107" s="189">
        <f t="shared" si="38"/>
        <v>99915.235085259555</v>
      </c>
      <c r="P107" s="189">
        <f t="shared" si="27"/>
        <v>99915.23508525957</v>
      </c>
      <c r="Q107" s="188">
        <f t="shared" si="39"/>
        <v>0</v>
      </c>
      <c r="R107" s="189">
        <f t="shared" si="40"/>
        <v>99915.23508525957</v>
      </c>
      <c r="S107" s="189">
        <f t="shared" si="28"/>
        <v>99915.235085259541</v>
      </c>
      <c r="T107" s="188">
        <f t="shared" si="41"/>
        <v>0</v>
      </c>
      <c r="U107" s="189">
        <f t="shared" si="42"/>
        <v>99915.235085259541</v>
      </c>
      <c r="V107" s="189">
        <f t="shared" si="29"/>
        <v>99915.235085259555</v>
      </c>
      <c r="W107" s="180">
        <f t="shared" si="43"/>
        <v>99915.235085259555</v>
      </c>
      <c r="X107" s="129">
        <f t="shared" si="30"/>
        <v>1.2361518298104402E-2</v>
      </c>
    </row>
    <row r="108" spans="2:24" x14ac:dyDescent="0.25">
      <c r="B108" s="156">
        <f t="shared" si="31"/>
        <v>88</v>
      </c>
      <c r="C108" s="127" t="str">
        <f>'קיזוזים- החלטות ועדה'!C118</f>
        <v>שחר בנימיני</v>
      </c>
      <c r="D108" s="190">
        <f>IF(C108="","",'הגבלה לסכום מבוקש (1)'!D108)</f>
        <v>295000</v>
      </c>
      <c r="E108" s="190">
        <f>IF(C108="","",'קיזוזים בגין איחורים'!F118+'קיזוזים- החלטות ועדה'!E118)</f>
        <v>0</v>
      </c>
      <c r="F108" s="181">
        <f t="shared" si="32"/>
        <v>295000</v>
      </c>
      <c r="G108" s="181">
        <f>'קיזוזים- החלטות ועדה'!G118</f>
        <v>105211.97108072024</v>
      </c>
      <c r="H108" s="140">
        <f t="shared" si="33"/>
        <v>0</v>
      </c>
      <c r="I108" s="181">
        <f t="shared" si="34"/>
        <v>105211.97108072024</v>
      </c>
      <c r="J108" s="181">
        <f t="shared" si="25"/>
        <v>105211.97108072026</v>
      </c>
      <c r="K108" s="188">
        <f t="shared" si="35"/>
        <v>0</v>
      </c>
      <c r="L108" s="189">
        <f t="shared" si="36"/>
        <v>105211.97108072026</v>
      </c>
      <c r="M108" s="189">
        <f t="shared" si="26"/>
        <v>105211.97108072024</v>
      </c>
      <c r="N108" s="188">
        <f t="shared" si="37"/>
        <v>0</v>
      </c>
      <c r="O108" s="189">
        <f t="shared" si="38"/>
        <v>105211.97108072024</v>
      </c>
      <c r="P108" s="189">
        <f t="shared" si="27"/>
        <v>105211.97108072026</v>
      </c>
      <c r="Q108" s="188">
        <f t="shared" si="39"/>
        <v>0</v>
      </c>
      <c r="R108" s="189">
        <f t="shared" si="40"/>
        <v>105211.97108072026</v>
      </c>
      <c r="S108" s="189">
        <f t="shared" si="28"/>
        <v>105211.97108072024</v>
      </c>
      <c r="T108" s="188">
        <f t="shared" si="41"/>
        <v>0</v>
      </c>
      <c r="U108" s="189">
        <f t="shared" si="42"/>
        <v>105211.97108072024</v>
      </c>
      <c r="V108" s="189">
        <f t="shared" si="29"/>
        <v>105211.97108072026</v>
      </c>
      <c r="W108" s="180">
        <f t="shared" si="43"/>
        <v>105211.97108072026</v>
      </c>
      <c r="X108" s="129">
        <f t="shared" si="30"/>
        <v>1.3016830762437235E-2</v>
      </c>
    </row>
    <row r="109" spans="2:24" x14ac:dyDescent="0.25">
      <c r="B109" s="156">
        <f t="shared" si="31"/>
        <v>89</v>
      </c>
      <c r="C109" s="127" t="str">
        <f>'קיזוזים- החלטות ועדה'!C119</f>
        <v>רביד אברבאנל</v>
      </c>
      <c r="D109" s="190">
        <f>IF(C109="","",'הגבלה לסכום מבוקש (1)'!D109)</f>
        <v>295000</v>
      </c>
      <c r="E109" s="190">
        <f>IF(C109="","",'קיזוזים בגין איחורים'!F119+'קיזוזים- החלטות ועדה'!E119)</f>
        <v>0</v>
      </c>
      <c r="F109" s="181">
        <f t="shared" si="32"/>
        <v>295000</v>
      </c>
      <c r="G109" s="181">
        <f>'קיזוזים- החלטות ועדה'!G119</f>
        <v>65375.814765201161</v>
      </c>
      <c r="H109" s="140">
        <f t="shared" si="33"/>
        <v>0</v>
      </c>
      <c r="I109" s="181">
        <f t="shared" si="34"/>
        <v>65375.814765201161</v>
      </c>
      <c r="J109" s="181">
        <f t="shared" si="25"/>
        <v>65375.814765201176</v>
      </c>
      <c r="K109" s="188">
        <f t="shared" si="35"/>
        <v>0</v>
      </c>
      <c r="L109" s="189">
        <f t="shared" si="36"/>
        <v>65375.814765201176</v>
      </c>
      <c r="M109" s="189">
        <f t="shared" si="26"/>
        <v>65375.814765201161</v>
      </c>
      <c r="N109" s="188">
        <f t="shared" si="37"/>
        <v>0</v>
      </c>
      <c r="O109" s="189">
        <f t="shared" si="38"/>
        <v>65375.814765201161</v>
      </c>
      <c r="P109" s="189">
        <f t="shared" si="27"/>
        <v>65375.814765201176</v>
      </c>
      <c r="Q109" s="188">
        <f t="shared" si="39"/>
        <v>0</v>
      </c>
      <c r="R109" s="189">
        <f t="shared" si="40"/>
        <v>65375.814765201176</v>
      </c>
      <c r="S109" s="189">
        <f t="shared" si="28"/>
        <v>65375.814765201161</v>
      </c>
      <c r="T109" s="188">
        <f t="shared" si="41"/>
        <v>0</v>
      </c>
      <c r="U109" s="189">
        <f t="shared" si="42"/>
        <v>65375.814765201161</v>
      </c>
      <c r="V109" s="189">
        <f t="shared" si="29"/>
        <v>65375.814765201176</v>
      </c>
      <c r="W109" s="180">
        <f t="shared" si="43"/>
        <v>65375.814765201176</v>
      </c>
      <c r="X109" s="129">
        <f t="shared" si="30"/>
        <v>8.088299344778737E-3</v>
      </c>
    </row>
    <row r="110" spans="2:24" x14ac:dyDescent="0.25">
      <c r="B110" s="156">
        <f t="shared" si="31"/>
        <v>90</v>
      </c>
      <c r="C110" s="127" t="str">
        <f>'קיזוזים- החלטות ועדה'!C120</f>
        <v>שרון פרידמן</v>
      </c>
      <c r="D110" s="190">
        <f>IF(C110="","",'הגבלה לסכום מבוקש (1)'!D110)</f>
        <v>295000</v>
      </c>
      <c r="E110" s="190">
        <f>IF(C110="","",'קיזוזים בגין איחורים'!F120+'קיזוזים- החלטות ועדה'!E120)</f>
        <v>0</v>
      </c>
      <c r="F110" s="181">
        <f t="shared" si="32"/>
        <v>295000</v>
      </c>
      <c r="G110" s="181">
        <f>'קיזוזים- החלטות ועדה'!G120</f>
        <v>85426.5729747117</v>
      </c>
      <c r="H110" s="140">
        <f t="shared" si="33"/>
        <v>0</v>
      </c>
      <c r="I110" s="181">
        <f t="shared" si="34"/>
        <v>85426.5729747117</v>
      </c>
      <c r="J110" s="181">
        <f t="shared" si="25"/>
        <v>85426.572974711715</v>
      </c>
      <c r="K110" s="188">
        <f t="shared" si="35"/>
        <v>0</v>
      </c>
      <c r="L110" s="189">
        <f t="shared" si="36"/>
        <v>85426.572974711715</v>
      </c>
      <c r="M110" s="189">
        <f t="shared" si="26"/>
        <v>85426.5729747117</v>
      </c>
      <c r="N110" s="188">
        <f t="shared" si="37"/>
        <v>0</v>
      </c>
      <c r="O110" s="189">
        <f t="shared" si="38"/>
        <v>85426.5729747117</v>
      </c>
      <c r="P110" s="189">
        <f t="shared" si="27"/>
        <v>85426.572974711715</v>
      </c>
      <c r="Q110" s="188">
        <f t="shared" si="39"/>
        <v>0</v>
      </c>
      <c r="R110" s="189">
        <f t="shared" si="40"/>
        <v>85426.572974711715</v>
      </c>
      <c r="S110" s="189">
        <f t="shared" si="28"/>
        <v>85426.5729747117</v>
      </c>
      <c r="T110" s="188">
        <f t="shared" si="41"/>
        <v>0</v>
      </c>
      <c r="U110" s="189">
        <f t="shared" si="42"/>
        <v>85426.5729747117</v>
      </c>
      <c r="V110" s="189">
        <f t="shared" si="29"/>
        <v>85426.572974711715</v>
      </c>
      <c r="W110" s="180">
        <f t="shared" si="43"/>
        <v>85426.572974711715</v>
      </c>
      <c r="X110" s="129">
        <f t="shared" si="30"/>
        <v>1.0568980236799157E-2</v>
      </c>
    </row>
    <row r="111" spans="2:24" x14ac:dyDescent="0.25">
      <c r="B111" s="156">
        <f t="shared" si="31"/>
        <v>91</v>
      </c>
      <c r="C111" s="127" t="str">
        <f>'קיזוזים- החלטות ועדה'!C121</f>
        <v>מירב כהן</v>
      </c>
      <c r="D111" s="190">
        <f>IF(C111="","",'הגבלה לסכום מבוקש (1)'!D111)</f>
        <v>295000</v>
      </c>
      <c r="E111" s="565">
        <f>IF(C111="","",'קיזוזים בגין איחורים'!F121+'קיזוזים- החלטות ועדה'!E121)</f>
        <v>0</v>
      </c>
      <c r="F111" s="181">
        <f t="shared" si="32"/>
        <v>295000</v>
      </c>
      <c r="G111" s="181">
        <f>'קיזוזים- החלטות ועדה'!G121</f>
        <v>41436.981331546842</v>
      </c>
      <c r="H111" s="140">
        <f t="shared" si="33"/>
        <v>0</v>
      </c>
      <c r="I111" s="181">
        <f t="shared" si="34"/>
        <v>41436.981331546842</v>
      </c>
      <c r="J111" s="181">
        <f t="shared" si="25"/>
        <v>41436.981331546849</v>
      </c>
      <c r="K111" s="188">
        <f t="shared" si="35"/>
        <v>0</v>
      </c>
      <c r="L111" s="189">
        <f t="shared" si="36"/>
        <v>41436.981331546849</v>
      </c>
      <c r="M111" s="189">
        <f t="shared" si="26"/>
        <v>41436.981331546842</v>
      </c>
      <c r="N111" s="188">
        <f t="shared" si="37"/>
        <v>0</v>
      </c>
      <c r="O111" s="189">
        <f t="shared" si="38"/>
        <v>41436.981331546842</v>
      </c>
      <c r="P111" s="189">
        <f t="shared" si="27"/>
        <v>41436.981331546849</v>
      </c>
      <c r="Q111" s="188">
        <f t="shared" si="39"/>
        <v>0</v>
      </c>
      <c r="R111" s="189">
        <f t="shared" si="40"/>
        <v>41436.981331546849</v>
      </c>
      <c r="S111" s="189">
        <f t="shared" si="28"/>
        <v>41436.981331546842</v>
      </c>
      <c r="T111" s="188">
        <f t="shared" si="41"/>
        <v>0</v>
      </c>
      <c r="U111" s="189">
        <f t="shared" si="42"/>
        <v>41436.981331546842</v>
      </c>
      <c r="V111" s="189">
        <f t="shared" si="29"/>
        <v>41436.981331546849</v>
      </c>
      <c r="W111" s="180">
        <f t="shared" si="43"/>
        <v>41436.981331546849</v>
      </c>
      <c r="X111" s="129">
        <f t="shared" si="30"/>
        <v>5.1265855753733301E-3</v>
      </c>
    </row>
    <row r="112" spans="2:24" x14ac:dyDescent="0.25">
      <c r="B112" s="156">
        <f t="shared" si="31"/>
        <v>92</v>
      </c>
      <c r="C112" s="127" t="str">
        <f>'קיזוזים- החלטות ועדה'!C122</f>
        <v>קים טייטלבאום</v>
      </c>
      <c r="D112" s="190">
        <f>IF(C112="","",'הגבלה לסכום מבוקש (1)'!D112)</f>
        <v>295000</v>
      </c>
      <c r="E112" s="190">
        <f>IF(C112="","",'קיזוזים בגין איחורים'!F122+'קיזוזים- החלטות ועדה'!E122)</f>
        <v>0</v>
      </c>
      <c r="F112" s="181">
        <f t="shared" si="32"/>
        <v>295000</v>
      </c>
      <c r="G112" s="181">
        <f>'קיזוזים- החלטות ועדה'!G122</f>
        <v>47314.329355968446</v>
      </c>
      <c r="H112" s="140">
        <f t="shared" si="33"/>
        <v>0</v>
      </c>
      <c r="I112" s="181">
        <f t="shared" si="34"/>
        <v>47314.329355968446</v>
      </c>
      <c r="J112" s="181">
        <f t="shared" si="25"/>
        <v>47314.329355968453</v>
      </c>
      <c r="K112" s="188">
        <f t="shared" si="35"/>
        <v>0</v>
      </c>
      <c r="L112" s="189">
        <f t="shared" si="36"/>
        <v>47314.329355968453</v>
      </c>
      <c r="M112" s="189">
        <f t="shared" si="26"/>
        <v>47314.329355968446</v>
      </c>
      <c r="N112" s="188">
        <f t="shared" si="37"/>
        <v>0</v>
      </c>
      <c r="O112" s="189">
        <f t="shared" si="38"/>
        <v>47314.329355968446</v>
      </c>
      <c r="P112" s="189">
        <f t="shared" si="27"/>
        <v>47314.329355968453</v>
      </c>
      <c r="Q112" s="188">
        <f t="shared" si="39"/>
        <v>0</v>
      </c>
      <c r="R112" s="189">
        <f t="shared" si="40"/>
        <v>47314.329355968453</v>
      </c>
      <c r="S112" s="189">
        <f t="shared" si="28"/>
        <v>47314.329355968446</v>
      </c>
      <c r="T112" s="188">
        <f t="shared" si="41"/>
        <v>0</v>
      </c>
      <c r="U112" s="189">
        <f t="shared" si="42"/>
        <v>47314.329355968446</v>
      </c>
      <c r="V112" s="189">
        <f t="shared" si="29"/>
        <v>47314.329355968453</v>
      </c>
      <c r="W112" s="180">
        <f t="shared" si="43"/>
        <v>47314.329355968453</v>
      </c>
      <c r="X112" s="129">
        <f t="shared" si="30"/>
        <v>5.8537313913864667E-3</v>
      </c>
    </row>
    <row r="113" spans="2:24" x14ac:dyDescent="0.25">
      <c r="B113" s="156" t="str">
        <f t="shared" si="31"/>
        <v/>
      </c>
      <c r="C113" s="127" t="str">
        <f>'קיזוזים- החלטות ועדה'!C123</f>
        <v/>
      </c>
      <c r="D113" s="190" t="str">
        <f>IF(C113="","",'הגבלה לסכום מבוקש (1)'!D113)</f>
        <v/>
      </c>
      <c r="E113" s="190" t="str">
        <f>IF(C113="","",'קיזוזים בגין איחורים'!F123+'קיזוזים- החלטות ועדה'!E123)</f>
        <v/>
      </c>
      <c r="F113" s="181" t="str">
        <f t="shared" si="32"/>
        <v/>
      </c>
      <c r="G113" s="181" t="str">
        <f>'קיזוזים- החלטות ועדה'!G123</f>
        <v/>
      </c>
      <c r="H113" s="140" t="str">
        <f t="shared" si="33"/>
        <v/>
      </c>
      <c r="I113" s="181" t="str">
        <f t="shared" si="34"/>
        <v/>
      </c>
      <c r="J113" s="181" t="str">
        <f t="shared" si="25"/>
        <v/>
      </c>
      <c r="K113" s="188">
        <f t="shared" si="35"/>
        <v>0</v>
      </c>
      <c r="L113" s="189" t="str">
        <f t="shared" si="36"/>
        <v/>
      </c>
      <c r="M113" s="189" t="str">
        <f t="shared" si="26"/>
        <v/>
      </c>
      <c r="N113" s="188">
        <f t="shared" si="37"/>
        <v>0</v>
      </c>
      <c r="O113" s="189" t="str">
        <f t="shared" si="38"/>
        <v/>
      </c>
      <c r="P113" s="189" t="str">
        <f t="shared" si="27"/>
        <v/>
      </c>
      <c r="Q113" s="188">
        <f t="shared" si="39"/>
        <v>0</v>
      </c>
      <c r="R113" s="189" t="str">
        <f t="shared" si="40"/>
        <v/>
      </c>
      <c r="S113" s="189" t="str">
        <f t="shared" si="28"/>
        <v/>
      </c>
      <c r="T113" s="188">
        <f t="shared" si="41"/>
        <v>0</v>
      </c>
      <c r="U113" s="189" t="str">
        <f t="shared" si="42"/>
        <v/>
      </c>
      <c r="V113" s="189" t="str">
        <f t="shared" si="29"/>
        <v/>
      </c>
      <c r="W113" s="180" t="str">
        <f t="shared" si="43"/>
        <v/>
      </c>
      <c r="X113" s="129" t="str">
        <f t="shared" si="30"/>
        <v/>
      </c>
    </row>
    <row r="114" spans="2:24" x14ac:dyDescent="0.25">
      <c r="B114" s="156">
        <f t="shared" si="31"/>
        <v>94</v>
      </c>
      <c r="C114" s="127" t="str">
        <f>'קיזוזים- החלטות ועדה'!C124</f>
        <v>מאי זרחי</v>
      </c>
      <c r="D114" s="190">
        <f>IF(C114="","",'הגבלה לסכום מבוקש (1)'!D114)</f>
        <v>295000</v>
      </c>
      <c r="E114" s="190">
        <f>IF(C114="","",'קיזוזים בגין איחורים'!F124+'קיזוזים- החלטות ועדה'!E124)</f>
        <v>0</v>
      </c>
      <c r="F114" s="181">
        <f t="shared" si="32"/>
        <v>295000</v>
      </c>
      <c r="G114" s="181">
        <f>'קיזוזים- החלטות ועדה'!G124</f>
        <v>46611.39586181302</v>
      </c>
      <c r="H114" s="140">
        <f t="shared" si="33"/>
        <v>0</v>
      </c>
      <c r="I114" s="181">
        <f t="shared" si="34"/>
        <v>46611.39586181302</v>
      </c>
      <c r="J114" s="181">
        <f t="shared" si="25"/>
        <v>46611.395861813027</v>
      </c>
      <c r="K114" s="188">
        <f t="shared" si="35"/>
        <v>0</v>
      </c>
      <c r="L114" s="189">
        <f t="shared" si="36"/>
        <v>46611.395861813027</v>
      </c>
      <c r="M114" s="189">
        <f t="shared" si="26"/>
        <v>46611.39586181302</v>
      </c>
      <c r="N114" s="188">
        <f t="shared" si="37"/>
        <v>0</v>
      </c>
      <c r="O114" s="189">
        <f t="shared" si="38"/>
        <v>46611.39586181302</v>
      </c>
      <c r="P114" s="189">
        <f t="shared" si="27"/>
        <v>46611.395861813027</v>
      </c>
      <c r="Q114" s="188">
        <f t="shared" si="39"/>
        <v>0</v>
      </c>
      <c r="R114" s="189">
        <f t="shared" si="40"/>
        <v>46611.395861813027</v>
      </c>
      <c r="S114" s="189">
        <f t="shared" si="28"/>
        <v>46611.39586181302</v>
      </c>
      <c r="T114" s="188">
        <f t="shared" si="41"/>
        <v>0</v>
      </c>
      <c r="U114" s="189">
        <f t="shared" si="42"/>
        <v>46611.39586181302</v>
      </c>
      <c r="V114" s="189">
        <f t="shared" si="29"/>
        <v>46611.395861813027</v>
      </c>
      <c r="W114" s="180">
        <f t="shared" si="43"/>
        <v>46611.395861813027</v>
      </c>
      <c r="X114" s="129">
        <f t="shared" si="30"/>
        <v>5.7667644214049818E-3</v>
      </c>
    </row>
    <row r="115" spans="2:24" x14ac:dyDescent="0.25">
      <c r="B115" s="156">
        <f t="shared" si="31"/>
        <v>95</v>
      </c>
      <c r="C115" s="127" t="str">
        <f>'קיזוזים- החלטות ועדה'!C125</f>
        <v>דנה מרכוס</v>
      </c>
      <c r="D115" s="190">
        <f>IF(C115="","",'הגבלה לסכום מבוקש (1)'!D115)</f>
        <v>295000</v>
      </c>
      <c r="E115" s="190">
        <f>IF(C115="","",'קיזוזים בגין איחורים'!F125+'קיזוזים- החלטות ועדה'!E125)</f>
        <v>0</v>
      </c>
      <c r="F115" s="181">
        <f t="shared" si="32"/>
        <v>295000</v>
      </c>
      <c r="G115" s="181">
        <f>'קיזוזים- החלטות ועדה'!G125</f>
        <v>56210.924039478639</v>
      </c>
      <c r="H115" s="140">
        <f t="shared" si="33"/>
        <v>0</v>
      </c>
      <c r="I115" s="181">
        <f t="shared" si="34"/>
        <v>56210.924039478639</v>
      </c>
      <c r="J115" s="181">
        <f t="shared" si="25"/>
        <v>56210.924039478654</v>
      </c>
      <c r="K115" s="188">
        <f t="shared" si="35"/>
        <v>0</v>
      </c>
      <c r="L115" s="189">
        <f t="shared" si="36"/>
        <v>56210.924039478654</v>
      </c>
      <c r="M115" s="189">
        <f t="shared" si="26"/>
        <v>56210.924039478639</v>
      </c>
      <c r="N115" s="188">
        <f t="shared" si="37"/>
        <v>0</v>
      </c>
      <c r="O115" s="189">
        <f t="shared" si="38"/>
        <v>56210.924039478639</v>
      </c>
      <c r="P115" s="189">
        <f t="shared" si="27"/>
        <v>56210.924039478654</v>
      </c>
      <c r="Q115" s="188">
        <f t="shared" si="39"/>
        <v>0</v>
      </c>
      <c r="R115" s="189">
        <f t="shared" si="40"/>
        <v>56210.924039478654</v>
      </c>
      <c r="S115" s="189">
        <f t="shared" si="28"/>
        <v>56210.924039478639</v>
      </c>
      <c r="T115" s="188">
        <f t="shared" si="41"/>
        <v>0</v>
      </c>
      <c r="U115" s="189">
        <f t="shared" si="42"/>
        <v>56210.924039478639</v>
      </c>
      <c r="V115" s="189">
        <f t="shared" si="29"/>
        <v>56210.924039478654</v>
      </c>
      <c r="W115" s="180">
        <f t="shared" si="43"/>
        <v>56210.924039478654</v>
      </c>
      <c r="X115" s="129">
        <f t="shared" si="30"/>
        <v>6.9544185676432765E-3</v>
      </c>
    </row>
    <row r="116" spans="2:24" x14ac:dyDescent="0.25">
      <c r="B116" s="156" t="str">
        <f t="shared" si="31"/>
        <v/>
      </c>
      <c r="C116" s="127" t="str">
        <f>'קיזוזים- החלטות ועדה'!C126</f>
        <v/>
      </c>
      <c r="D116" s="190" t="str">
        <f>IF(C116="","",'הגבלה לסכום מבוקש (1)'!D116)</f>
        <v/>
      </c>
      <c r="E116" s="190" t="str">
        <f>IF(C116="","",'קיזוזים בגין איחורים'!F126+'קיזוזים- החלטות ועדה'!E126)</f>
        <v/>
      </c>
      <c r="F116" s="181" t="str">
        <f t="shared" si="32"/>
        <v/>
      </c>
      <c r="G116" s="181" t="str">
        <f>'קיזוזים- החלטות ועדה'!G126</f>
        <v/>
      </c>
      <c r="H116" s="140" t="str">
        <f t="shared" si="33"/>
        <v/>
      </c>
      <c r="I116" s="181" t="str">
        <f t="shared" si="34"/>
        <v/>
      </c>
      <c r="J116" s="181" t="str">
        <f t="shared" si="25"/>
        <v/>
      </c>
      <c r="K116" s="188">
        <f t="shared" si="35"/>
        <v>0</v>
      </c>
      <c r="L116" s="189" t="str">
        <f t="shared" si="36"/>
        <v/>
      </c>
      <c r="M116" s="189" t="str">
        <f t="shared" si="26"/>
        <v/>
      </c>
      <c r="N116" s="188">
        <f t="shared" si="37"/>
        <v>0</v>
      </c>
      <c r="O116" s="189" t="str">
        <f t="shared" si="38"/>
        <v/>
      </c>
      <c r="P116" s="189" t="str">
        <f t="shared" si="27"/>
        <v/>
      </c>
      <c r="Q116" s="188">
        <f t="shared" si="39"/>
        <v>0</v>
      </c>
      <c r="R116" s="189" t="str">
        <f t="shared" si="40"/>
        <v/>
      </c>
      <c r="S116" s="189" t="str">
        <f t="shared" si="28"/>
        <v/>
      </c>
      <c r="T116" s="188">
        <f t="shared" si="41"/>
        <v>0</v>
      </c>
      <c r="U116" s="189" t="str">
        <f t="shared" si="42"/>
        <v/>
      </c>
      <c r="V116" s="189" t="str">
        <f t="shared" si="29"/>
        <v/>
      </c>
      <c r="W116" s="180" t="str">
        <f t="shared" si="43"/>
        <v/>
      </c>
      <c r="X116" s="129" t="str">
        <f t="shared" si="30"/>
        <v/>
      </c>
    </row>
    <row r="117" spans="2:24" x14ac:dyDescent="0.25">
      <c r="B117" s="156" t="str">
        <f t="shared" si="31"/>
        <v/>
      </c>
      <c r="C117" s="127" t="str">
        <f>'קיזוזים- החלטות ועדה'!C127</f>
        <v/>
      </c>
      <c r="D117" s="190" t="str">
        <f>IF(C117="","",'הגבלה לסכום מבוקש (1)'!D117)</f>
        <v/>
      </c>
      <c r="E117" s="190" t="str">
        <f>IF(C117="","",'קיזוזים בגין איחורים'!F127+'קיזוזים- החלטות ועדה'!E127)</f>
        <v/>
      </c>
      <c r="F117" s="181" t="str">
        <f t="shared" si="32"/>
        <v/>
      </c>
      <c r="G117" s="181" t="str">
        <f>'קיזוזים- החלטות ועדה'!G127</f>
        <v/>
      </c>
      <c r="H117" s="140" t="str">
        <f t="shared" si="33"/>
        <v/>
      </c>
      <c r="I117" s="181" t="str">
        <f t="shared" si="34"/>
        <v/>
      </c>
      <c r="J117" s="181" t="str">
        <f t="shared" ref="J117:J118" si="44">IF($C117="","",IF(H117=1,I117,I117/SUMIF(H$21:H$132,0,I$21:I$132)*($C$2-SUMIF(H$21:H$132,1,I$21:I$132))))</f>
        <v/>
      </c>
      <c r="K117" s="188">
        <f t="shared" si="35"/>
        <v>0</v>
      </c>
      <c r="L117" s="189" t="str">
        <f t="shared" si="36"/>
        <v/>
      </c>
      <c r="M117" s="189" t="str">
        <f t="shared" ref="M117:M118" si="45">IF($C117="","",IF(K117=1,L117,L117/SUMIF(K$21:K$132,0,L$21:L$132)*($C$2-SUMIF(K$21:K$132,1,L$21:L$132))))</f>
        <v/>
      </c>
      <c r="N117" s="188">
        <f t="shared" si="37"/>
        <v>0</v>
      </c>
      <c r="O117" s="189" t="str">
        <f t="shared" si="38"/>
        <v/>
      </c>
      <c r="P117" s="189" t="str">
        <f t="shared" ref="P117:P118" si="46">IF($C117="","",IF(N117=1,O117,O117/SUMIF(N$21:N$132,0,O$21:O$132)*($C$2-SUMIF(N$21:N$132,1,O$21:O$132))))</f>
        <v/>
      </c>
      <c r="Q117" s="188">
        <f t="shared" si="39"/>
        <v>0</v>
      </c>
      <c r="R117" s="189" t="str">
        <f t="shared" si="40"/>
        <v/>
      </c>
      <c r="S117" s="189" t="str">
        <f t="shared" ref="S117:S118" si="47">IF($C117="","",IF(Q117=2,R117,IF(Q117=1,R117,R117/SUMIF(Q$21:Q$132,0,R$21:R$132)*($C$2-SUMIF(Q$21:Q$132,1,R$21:R$132)-SUMIF(Q$21:Q$132,2,R$21:R$132)))))</f>
        <v/>
      </c>
      <c r="T117" s="188">
        <f t="shared" si="41"/>
        <v>0</v>
      </c>
      <c r="U117" s="189" t="str">
        <f t="shared" si="42"/>
        <v/>
      </c>
      <c r="V117" s="189" t="str">
        <f t="shared" ref="V117:V118" si="48">IF($C117="","",IF(T117=2,U117,IF(T117=1,U117,U117/SUMIF(T$21:T$132,0,U$21:U$132)*($C$2-SUMIF(T$21:T$132,1,U$21:U$132)-SUMIF(T$21:T$132,2,U$21:U$132)))))</f>
        <v/>
      </c>
      <c r="W117" s="180" t="str">
        <f t="shared" si="43"/>
        <v/>
      </c>
      <c r="X117" s="129" t="str">
        <f t="shared" ref="X117:X118" si="49">IF(F117="","",IFERROR(W117/SUMIF($W$21:$W$132,"&lt;&gt;#DIV/0!"),0))</f>
        <v/>
      </c>
    </row>
    <row r="118" spans="2:24" x14ac:dyDescent="0.25">
      <c r="B118" s="156">
        <f t="shared" si="31"/>
        <v>98</v>
      </c>
      <c r="C118" s="127" t="str">
        <f>'קיזוזים- החלטות ועדה'!C128</f>
        <v>שקד מוכיח</v>
      </c>
      <c r="D118" s="190">
        <f>IF(C118="","",'הגבלה לסכום מבוקש (1)'!D118)</f>
        <v>295000</v>
      </c>
      <c r="E118" s="190">
        <f>IF(C118="","",'קיזוזים בגין איחורים'!F128+'קיזוזים- החלטות ועדה'!E128)</f>
        <v>0</v>
      </c>
      <c r="F118" s="181">
        <f t="shared" si="32"/>
        <v>295000</v>
      </c>
      <c r="G118" s="181">
        <f>'קיזוזים- החלטות ועדה'!G128</f>
        <v>87082.385534881352</v>
      </c>
      <c r="H118" s="140">
        <f t="shared" si="33"/>
        <v>0</v>
      </c>
      <c r="I118" s="181">
        <f t="shared" si="34"/>
        <v>87082.385534881352</v>
      </c>
      <c r="J118" s="181">
        <f t="shared" si="44"/>
        <v>87082.385534881367</v>
      </c>
      <c r="K118" s="188">
        <f t="shared" si="35"/>
        <v>0</v>
      </c>
      <c r="L118" s="189">
        <f t="shared" si="36"/>
        <v>87082.385534881367</v>
      </c>
      <c r="M118" s="189">
        <f t="shared" si="45"/>
        <v>87082.385534881352</v>
      </c>
      <c r="N118" s="188">
        <f t="shared" si="37"/>
        <v>0</v>
      </c>
      <c r="O118" s="189">
        <f t="shared" si="38"/>
        <v>87082.385534881352</v>
      </c>
      <c r="P118" s="189">
        <f t="shared" si="46"/>
        <v>87082.385534881367</v>
      </c>
      <c r="Q118" s="188">
        <f t="shared" si="39"/>
        <v>0</v>
      </c>
      <c r="R118" s="189">
        <f t="shared" si="40"/>
        <v>87082.385534881367</v>
      </c>
      <c r="S118" s="189">
        <f t="shared" si="47"/>
        <v>87082.385534881352</v>
      </c>
      <c r="T118" s="188">
        <f t="shared" si="41"/>
        <v>0</v>
      </c>
      <c r="U118" s="189">
        <f t="shared" si="42"/>
        <v>87082.385534881352</v>
      </c>
      <c r="V118" s="189">
        <f t="shared" si="48"/>
        <v>87082.385534881367</v>
      </c>
      <c r="W118" s="180">
        <f t="shared" si="43"/>
        <v>87082.385534881367</v>
      </c>
      <c r="X118" s="129">
        <f t="shared" si="49"/>
        <v>1.0773837456454419E-2</v>
      </c>
    </row>
    <row r="119" spans="2:24" x14ac:dyDescent="0.25">
      <c r="B119" s="156">
        <f t="shared" ref="B119:B132" si="50">IF(C119="","",ROW()-20)</f>
        <v>99</v>
      </c>
      <c r="C119" s="127" t="str">
        <f>'קיזוזים- החלטות ועדה'!C129</f>
        <v>שרון הללי אסא</v>
      </c>
      <c r="D119" s="190">
        <f>IF(C119="","",'הגבלה לסכום מבוקש (1)'!D119)</f>
        <v>295000</v>
      </c>
      <c r="E119" s="190">
        <f>IF(C119="","",'קיזוזים בגין איחורים'!F129+'קיזוזים- החלטות ועדה'!E129)</f>
        <v>0</v>
      </c>
      <c r="F119" s="181">
        <f t="shared" ref="F119:F132" si="51">IF($C119="","",D119-E119)</f>
        <v>295000</v>
      </c>
      <c r="G119" s="181">
        <f>'קיזוזים- החלטות ועדה'!G129</f>
        <v>82462.242590156486</v>
      </c>
      <c r="H119" s="140">
        <f t="shared" ref="H119:H132" si="52">IF(C119="","",IF(G119&gt;$F119,1,0))</f>
        <v>0</v>
      </c>
      <c r="I119" s="181">
        <f t="shared" ref="I119:I132" si="53">IF($C119="","",MIN(F119:G119))</f>
        <v>82462.242590156486</v>
      </c>
      <c r="J119" s="181">
        <f t="shared" ref="J119:J132" si="54">IF($C119="","",IF(H119=1,I119,I119/SUMIF(H$21:H$132,0,I$21:I$132)*($C$2-SUMIF(H$21:H$132,1,I$21:I$132))))</f>
        <v>82462.2425901565</v>
      </c>
      <c r="K119" s="188">
        <f t="shared" ref="K119:K132" si="55">IF(OR(J119&gt;$F119,$H119=1),1,0)</f>
        <v>0</v>
      </c>
      <c r="L119" s="189">
        <f t="shared" ref="L119:L132" si="56">IF($C119="","",MIN(J119,$F119))</f>
        <v>82462.2425901565</v>
      </c>
      <c r="M119" s="189">
        <f t="shared" ref="M119:M132" si="57">IF($C119="","",IF(K119=1,L119,L119/SUMIF(K$21:K$132,0,L$21:L$132)*($C$2-SUMIF(K$21:K$132,1,L$21:L$132))))</f>
        <v>82462.242590156471</v>
      </c>
      <c r="N119" s="188">
        <f t="shared" ref="N119:N132" si="58">IF(OR(M119&gt;$F119,$H119=1,$K119=1),1,0)</f>
        <v>0</v>
      </c>
      <c r="O119" s="189">
        <f t="shared" ref="O119:O132" si="59">IF($C119="","",MIN(M119,$F119))</f>
        <v>82462.242590156471</v>
      </c>
      <c r="P119" s="189">
        <f t="shared" ref="P119:P132" si="60">IF($C119="","",IF(N119=1,O119,O119/SUMIF(N$21:N$132,0,O$21:O$132)*($C$2-SUMIF(N$21:N$132,1,O$21:O$132))))</f>
        <v>82462.242590156486</v>
      </c>
      <c r="Q119" s="188">
        <f t="shared" ref="Q119:Q132" si="61">IF(OR(P119&gt;$F119,$H119=1,$K119=1,$N119=1),1,0)</f>
        <v>0</v>
      </c>
      <c r="R119" s="189">
        <f t="shared" ref="R119:R132" si="62">IF($C119="","",MIN(P119,$F119))</f>
        <v>82462.242590156486</v>
      </c>
      <c r="S119" s="189">
        <f t="shared" ref="S119:S132" si="63">IF($C119="","",IF(Q119=2,R119,IF(Q119=1,R119,R119/SUMIF(Q$21:Q$132,0,R$21:R$132)*($C$2-SUMIF(Q$21:Q$132,1,R$21:R$132)-SUMIF(Q$21:Q$132,2,R$21:R$132)))))</f>
        <v>82462.242590156457</v>
      </c>
      <c r="T119" s="188">
        <f t="shared" ref="T119:T132" si="64">IF(OR(S119&gt;$F119,$H119=1,$K119=1,$N119=1,$Q119=1),1,0)</f>
        <v>0</v>
      </c>
      <c r="U119" s="189">
        <f t="shared" ref="U119:U132" si="65">IF($C119="","",MIN(S119,$F119))</f>
        <v>82462.242590156457</v>
      </c>
      <c r="V119" s="189">
        <f t="shared" ref="V119:V132" si="66">IF($C119="","",IF(T119=2,U119,IF(T119=1,U119,U119/SUMIF(T$21:T$132,0,U$21:U$132)*($C$2-SUMIF(T$21:T$132,1,U$21:U$132)-SUMIF(T$21:T$132,2,U$21:U$132)))))</f>
        <v>82462.242590156471</v>
      </c>
      <c r="W119" s="180">
        <f t="shared" ref="W119:W120" si="67">IFERROR(V119,0)</f>
        <v>82462.242590156471</v>
      </c>
      <c r="X119" s="129">
        <f t="shared" ref="X119:X120" si="68">IF(F119="","",IFERROR(W119/SUMIF($W$21:$W$132,"&lt;&gt;#DIV/0!"),0))</f>
        <v>1.0202233121016084E-2</v>
      </c>
    </row>
    <row r="120" spans="2:24" x14ac:dyDescent="0.25">
      <c r="B120" s="156">
        <f t="shared" si="50"/>
        <v>100</v>
      </c>
      <c r="C120" s="127" t="str">
        <f>'קיזוזים- החלטות ועדה'!C130</f>
        <v>להקת ג'אם</v>
      </c>
      <c r="D120" s="190">
        <f>IF(C120="","",'הגבלה לסכום מבוקש (1)'!D120)</f>
        <v>150000</v>
      </c>
      <c r="E120" s="190">
        <f>IF(C120="","",'קיזוזים בגין איחורים'!F130+'קיזוזים- החלטות ועדה'!E130)</f>
        <v>0</v>
      </c>
      <c r="F120" s="181">
        <f t="shared" si="51"/>
        <v>150000</v>
      </c>
      <c r="G120" s="181">
        <f>'קיזוזים- החלטות ועדה'!G130</f>
        <v>51108.864394382756</v>
      </c>
      <c r="H120" s="140">
        <f t="shared" si="52"/>
        <v>0</v>
      </c>
      <c r="I120" s="181">
        <f t="shared" si="53"/>
        <v>51108.864394382756</v>
      </c>
      <c r="J120" s="181">
        <f t="shared" si="54"/>
        <v>51108.86439438277</v>
      </c>
      <c r="K120" s="188">
        <f t="shared" si="55"/>
        <v>0</v>
      </c>
      <c r="L120" s="189">
        <f t="shared" si="56"/>
        <v>51108.86439438277</v>
      </c>
      <c r="M120" s="189">
        <f t="shared" si="57"/>
        <v>51108.864394382756</v>
      </c>
      <c r="N120" s="188">
        <f t="shared" si="58"/>
        <v>0</v>
      </c>
      <c r="O120" s="189">
        <f t="shared" si="59"/>
        <v>51108.864394382756</v>
      </c>
      <c r="P120" s="189">
        <f t="shared" si="60"/>
        <v>51108.86439438277</v>
      </c>
      <c r="Q120" s="188">
        <f t="shared" si="61"/>
        <v>0</v>
      </c>
      <c r="R120" s="189">
        <f t="shared" si="62"/>
        <v>51108.86439438277</v>
      </c>
      <c r="S120" s="189">
        <f t="shared" si="63"/>
        <v>51108.864394382756</v>
      </c>
      <c r="T120" s="188">
        <f t="shared" si="64"/>
        <v>0</v>
      </c>
      <c r="U120" s="189">
        <f t="shared" si="65"/>
        <v>51108.864394382756</v>
      </c>
      <c r="V120" s="189">
        <f t="shared" si="66"/>
        <v>51108.86439438277</v>
      </c>
      <c r="W120" s="180">
        <f t="shared" si="67"/>
        <v>51108.86439438277</v>
      </c>
      <c r="X120" s="129">
        <f t="shared" si="68"/>
        <v>6.3231914719250439E-3</v>
      </c>
    </row>
    <row r="121" spans="2:24" x14ac:dyDescent="0.25">
      <c r="B121" s="156" t="str">
        <f t="shared" si="50"/>
        <v/>
      </c>
      <c r="C121" s="127" t="str">
        <f>'קיזוזים- החלטות ועדה'!C131</f>
        <v/>
      </c>
      <c r="D121" s="190" t="str">
        <f>IF(C121="","",'הגבלה לסכום מבוקש (1)'!D121)</f>
        <v/>
      </c>
      <c r="E121" s="190" t="str">
        <f>IF(C121="","",'קיזוזים בגין איחורים'!F131+'קיזוזים- החלטות ועדה'!E131)</f>
        <v/>
      </c>
      <c r="F121" s="181" t="str">
        <f t="shared" si="51"/>
        <v/>
      </c>
      <c r="G121" s="181" t="str">
        <f>'קיזוזים- החלטות ועדה'!G131</f>
        <v/>
      </c>
      <c r="H121" s="140" t="str">
        <f t="shared" si="52"/>
        <v/>
      </c>
      <c r="I121" s="181" t="str">
        <f t="shared" si="53"/>
        <v/>
      </c>
      <c r="J121" s="181" t="str">
        <f t="shared" si="54"/>
        <v/>
      </c>
      <c r="K121" s="188">
        <f t="shared" si="55"/>
        <v>0</v>
      </c>
      <c r="L121" s="189" t="str">
        <f t="shared" si="56"/>
        <v/>
      </c>
      <c r="M121" s="189" t="str">
        <f t="shared" si="57"/>
        <v/>
      </c>
      <c r="N121" s="188">
        <f t="shared" si="58"/>
        <v>0</v>
      </c>
      <c r="O121" s="189" t="str">
        <f t="shared" si="59"/>
        <v/>
      </c>
      <c r="P121" s="189" t="str">
        <f t="shared" si="60"/>
        <v/>
      </c>
      <c r="Q121" s="188">
        <f t="shared" si="61"/>
        <v>0</v>
      </c>
      <c r="R121" s="189" t="str">
        <f t="shared" si="62"/>
        <v/>
      </c>
      <c r="S121" s="189" t="str">
        <f t="shared" si="63"/>
        <v/>
      </c>
      <c r="T121" s="188">
        <f t="shared" si="64"/>
        <v>0</v>
      </c>
      <c r="U121" s="189" t="str">
        <f t="shared" si="65"/>
        <v/>
      </c>
      <c r="V121" s="189" t="str">
        <f t="shared" si="66"/>
        <v/>
      </c>
      <c r="W121" s="180" t="str">
        <f t="shared" ref="W121:W132" si="69">IFERROR(V121,0)</f>
        <v/>
      </c>
      <c r="X121" s="129" t="str">
        <f t="shared" ref="X121:X132" si="70">IF(F121="","",IFERROR(W121/SUMIF($W$21:$W$132,"&lt;&gt;#DIV/0!"),0))</f>
        <v/>
      </c>
    </row>
    <row r="122" spans="2:24" x14ac:dyDescent="0.25">
      <c r="B122" s="156" t="str">
        <f t="shared" si="50"/>
        <v/>
      </c>
      <c r="C122" s="127" t="str">
        <f>'קיזוזים- החלטות ועדה'!C132</f>
        <v/>
      </c>
      <c r="D122" s="190" t="str">
        <f>IF(C122="","",'הגבלה לסכום מבוקש (1)'!D122)</f>
        <v/>
      </c>
      <c r="E122" s="190" t="str">
        <f>IF(C122="","",'קיזוזים בגין איחורים'!F132+'קיזוזים- החלטות ועדה'!E132)</f>
        <v/>
      </c>
      <c r="F122" s="181" t="str">
        <f t="shared" si="51"/>
        <v/>
      </c>
      <c r="G122" s="181" t="str">
        <f>'קיזוזים- החלטות ועדה'!G132</f>
        <v/>
      </c>
      <c r="H122" s="140" t="str">
        <f t="shared" si="52"/>
        <v/>
      </c>
      <c r="I122" s="181" t="str">
        <f t="shared" si="53"/>
        <v/>
      </c>
      <c r="J122" s="181" t="str">
        <f t="shared" si="54"/>
        <v/>
      </c>
      <c r="K122" s="188">
        <f t="shared" si="55"/>
        <v>0</v>
      </c>
      <c r="L122" s="189" t="str">
        <f t="shared" si="56"/>
        <v/>
      </c>
      <c r="M122" s="189" t="str">
        <f t="shared" si="57"/>
        <v/>
      </c>
      <c r="N122" s="188">
        <f t="shared" si="58"/>
        <v>0</v>
      </c>
      <c r="O122" s="189" t="str">
        <f t="shared" si="59"/>
        <v/>
      </c>
      <c r="P122" s="189" t="str">
        <f t="shared" si="60"/>
        <v/>
      </c>
      <c r="Q122" s="188">
        <f t="shared" si="61"/>
        <v>0</v>
      </c>
      <c r="R122" s="189" t="str">
        <f t="shared" si="62"/>
        <v/>
      </c>
      <c r="S122" s="189" t="str">
        <f t="shared" si="63"/>
        <v/>
      </c>
      <c r="T122" s="188">
        <f t="shared" si="64"/>
        <v>0</v>
      </c>
      <c r="U122" s="189" t="str">
        <f t="shared" si="65"/>
        <v/>
      </c>
      <c r="V122" s="189" t="str">
        <f t="shared" si="66"/>
        <v/>
      </c>
      <c r="W122" s="180" t="str">
        <f t="shared" si="69"/>
        <v/>
      </c>
      <c r="X122" s="129" t="str">
        <f t="shared" si="70"/>
        <v/>
      </c>
    </row>
    <row r="123" spans="2:24" x14ac:dyDescent="0.25">
      <c r="B123" s="156" t="str">
        <f t="shared" si="50"/>
        <v/>
      </c>
      <c r="C123" s="127" t="str">
        <f>'קיזוזים- החלטות ועדה'!C133</f>
        <v/>
      </c>
      <c r="D123" s="190" t="str">
        <f>IF(C123="","",'הגבלה לסכום מבוקש (1)'!D123)</f>
        <v/>
      </c>
      <c r="E123" s="190" t="str">
        <f>IF(C123="","",'קיזוזים בגין איחורים'!F133+'קיזוזים- החלטות ועדה'!E133)</f>
        <v/>
      </c>
      <c r="F123" s="181" t="str">
        <f t="shared" si="51"/>
        <v/>
      </c>
      <c r="G123" s="181" t="str">
        <f>'קיזוזים- החלטות ועדה'!G133</f>
        <v/>
      </c>
      <c r="H123" s="140" t="str">
        <f t="shared" si="52"/>
        <v/>
      </c>
      <c r="I123" s="181" t="str">
        <f t="shared" si="53"/>
        <v/>
      </c>
      <c r="J123" s="181" t="str">
        <f t="shared" si="54"/>
        <v/>
      </c>
      <c r="K123" s="188">
        <f t="shared" si="55"/>
        <v>0</v>
      </c>
      <c r="L123" s="189" t="str">
        <f t="shared" si="56"/>
        <v/>
      </c>
      <c r="M123" s="189" t="str">
        <f t="shared" si="57"/>
        <v/>
      </c>
      <c r="N123" s="188">
        <f t="shared" si="58"/>
        <v>0</v>
      </c>
      <c r="O123" s="189" t="str">
        <f t="shared" si="59"/>
        <v/>
      </c>
      <c r="P123" s="189" t="str">
        <f t="shared" si="60"/>
        <v/>
      </c>
      <c r="Q123" s="188">
        <f t="shared" si="61"/>
        <v>0</v>
      </c>
      <c r="R123" s="189" t="str">
        <f t="shared" si="62"/>
        <v/>
      </c>
      <c r="S123" s="189" t="str">
        <f t="shared" si="63"/>
        <v/>
      </c>
      <c r="T123" s="188">
        <f t="shared" si="64"/>
        <v>0</v>
      </c>
      <c r="U123" s="189" t="str">
        <f t="shared" si="65"/>
        <v/>
      </c>
      <c r="V123" s="189" t="str">
        <f t="shared" si="66"/>
        <v/>
      </c>
      <c r="W123" s="180" t="str">
        <f t="shared" si="69"/>
        <v/>
      </c>
      <c r="X123" s="129" t="str">
        <f t="shared" si="70"/>
        <v/>
      </c>
    </row>
    <row r="124" spans="2:24" x14ac:dyDescent="0.25">
      <c r="B124" s="156" t="str">
        <f t="shared" si="50"/>
        <v/>
      </c>
      <c r="C124" s="127" t="str">
        <f>'קיזוזים- החלטות ועדה'!C134</f>
        <v/>
      </c>
      <c r="D124" s="190" t="str">
        <f>IF(C124="","",'הגבלה לסכום מבוקש (1)'!D124)</f>
        <v/>
      </c>
      <c r="E124" s="190" t="str">
        <f>IF(C124="","",'קיזוזים בגין איחורים'!F134+'קיזוזים- החלטות ועדה'!E134)</f>
        <v/>
      </c>
      <c r="F124" s="181" t="str">
        <f t="shared" si="51"/>
        <v/>
      </c>
      <c r="G124" s="181" t="str">
        <f>'קיזוזים- החלטות ועדה'!G134</f>
        <v/>
      </c>
      <c r="H124" s="140" t="str">
        <f t="shared" si="52"/>
        <v/>
      </c>
      <c r="I124" s="181" t="str">
        <f t="shared" si="53"/>
        <v/>
      </c>
      <c r="J124" s="181" t="str">
        <f t="shared" si="54"/>
        <v/>
      </c>
      <c r="K124" s="188">
        <f t="shared" si="55"/>
        <v>0</v>
      </c>
      <c r="L124" s="189" t="str">
        <f t="shared" si="56"/>
        <v/>
      </c>
      <c r="M124" s="189" t="str">
        <f t="shared" si="57"/>
        <v/>
      </c>
      <c r="N124" s="188">
        <f t="shared" si="58"/>
        <v>0</v>
      </c>
      <c r="O124" s="189" t="str">
        <f t="shared" si="59"/>
        <v/>
      </c>
      <c r="P124" s="189" t="str">
        <f t="shared" si="60"/>
        <v/>
      </c>
      <c r="Q124" s="188">
        <f t="shared" si="61"/>
        <v>0</v>
      </c>
      <c r="R124" s="189" t="str">
        <f t="shared" si="62"/>
        <v/>
      </c>
      <c r="S124" s="189" t="str">
        <f t="shared" si="63"/>
        <v/>
      </c>
      <c r="T124" s="188">
        <f t="shared" si="64"/>
        <v>0</v>
      </c>
      <c r="U124" s="189" t="str">
        <f t="shared" si="65"/>
        <v/>
      </c>
      <c r="V124" s="189" t="str">
        <f t="shared" si="66"/>
        <v/>
      </c>
      <c r="W124" s="180" t="str">
        <f t="shared" si="69"/>
        <v/>
      </c>
      <c r="X124" s="129" t="str">
        <f t="shared" si="70"/>
        <v/>
      </c>
    </row>
    <row r="125" spans="2:24" x14ac:dyDescent="0.25">
      <c r="B125" s="156">
        <f t="shared" si="50"/>
        <v>105</v>
      </c>
      <c r="C125" s="127" t="str">
        <f>'קיזוזים- החלטות ועדה'!C135</f>
        <v>מורן אברג'ל יצחקי</v>
      </c>
      <c r="D125" s="190">
        <f>IF(C125="","",'הגבלה לסכום מבוקש (1)'!D125)</f>
        <v>295000</v>
      </c>
      <c r="E125" s="190">
        <f>IF(C125="","",'קיזוזים בגין איחורים'!F135+'קיזוזים- החלטות ועדה'!E135)</f>
        <v>0</v>
      </c>
      <c r="F125" s="181">
        <f t="shared" si="51"/>
        <v>295000</v>
      </c>
      <c r="G125" s="181">
        <f>'קיזוזים- החלטות ועדה'!G135</f>
        <v>45808.852076211027</v>
      </c>
      <c r="H125" s="140">
        <f t="shared" si="52"/>
        <v>0</v>
      </c>
      <c r="I125" s="181">
        <f t="shared" si="53"/>
        <v>45808.852076211027</v>
      </c>
      <c r="J125" s="181">
        <f t="shared" si="54"/>
        <v>45808.852076211042</v>
      </c>
      <c r="K125" s="188">
        <f t="shared" si="55"/>
        <v>0</v>
      </c>
      <c r="L125" s="189">
        <f t="shared" si="56"/>
        <v>45808.852076211042</v>
      </c>
      <c r="M125" s="189">
        <f t="shared" si="57"/>
        <v>45808.852076211035</v>
      </c>
      <c r="N125" s="188">
        <f t="shared" si="58"/>
        <v>0</v>
      </c>
      <c r="O125" s="189">
        <f t="shared" si="59"/>
        <v>45808.852076211035</v>
      </c>
      <c r="P125" s="189">
        <f t="shared" si="60"/>
        <v>45808.852076211049</v>
      </c>
      <c r="Q125" s="188">
        <f t="shared" si="61"/>
        <v>0</v>
      </c>
      <c r="R125" s="189">
        <f t="shared" si="62"/>
        <v>45808.852076211049</v>
      </c>
      <c r="S125" s="189">
        <f t="shared" si="63"/>
        <v>45808.852076211042</v>
      </c>
      <c r="T125" s="188">
        <f t="shared" si="64"/>
        <v>0</v>
      </c>
      <c r="U125" s="189">
        <f t="shared" si="65"/>
        <v>45808.852076211042</v>
      </c>
      <c r="V125" s="189">
        <f t="shared" si="66"/>
        <v>45808.852076211057</v>
      </c>
      <c r="W125" s="180">
        <f t="shared" si="69"/>
        <v>45808.852076211057</v>
      </c>
      <c r="X125" s="129">
        <f t="shared" si="70"/>
        <v>5.6674736607688963E-3</v>
      </c>
    </row>
    <row r="126" spans="2:24" x14ac:dyDescent="0.25">
      <c r="B126" s="156">
        <f t="shared" si="50"/>
        <v>106</v>
      </c>
      <c r="C126" s="127" t="str">
        <f>'קיזוזים- החלטות ועדה'!C136</f>
        <v>מיכל בן צבי</v>
      </c>
      <c r="D126" s="190">
        <f>IF(C126="","",'הגבלה לסכום מבוקש (1)'!D126)</f>
        <v>295000</v>
      </c>
      <c r="E126" s="190">
        <f>IF(C126="","",'קיזוזים בגין איחורים'!F136+'קיזוזים- החלטות ועדה'!E136)</f>
        <v>0</v>
      </c>
      <c r="F126" s="181">
        <f t="shared" si="51"/>
        <v>295000</v>
      </c>
      <c r="G126" s="181">
        <f>'קיזוזים- החלטות ועדה'!G136</f>
        <v>60622.0931749464</v>
      </c>
      <c r="H126" s="140">
        <f t="shared" si="52"/>
        <v>0</v>
      </c>
      <c r="I126" s="181">
        <f t="shared" si="53"/>
        <v>60622.0931749464</v>
      </c>
      <c r="J126" s="181">
        <f t="shared" si="54"/>
        <v>60622.093174946414</v>
      </c>
      <c r="K126" s="188">
        <f t="shared" si="55"/>
        <v>0</v>
      </c>
      <c r="L126" s="189">
        <f t="shared" si="56"/>
        <v>60622.093174946414</v>
      </c>
      <c r="M126" s="189">
        <f t="shared" si="57"/>
        <v>60622.0931749464</v>
      </c>
      <c r="N126" s="188">
        <f t="shared" si="58"/>
        <v>0</v>
      </c>
      <c r="O126" s="189">
        <f t="shared" si="59"/>
        <v>60622.0931749464</v>
      </c>
      <c r="P126" s="189">
        <f t="shared" si="60"/>
        <v>60622.093174946414</v>
      </c>
      <c r="Q126" s="188">
        <f t="shared" si="61"/>
        <v>0</v>
      </c>
      <c r="R126" s="189">
        <f t="shared" si="62"/>
        <v>60622.093174946414</v>
      </c>
      <c r="S126" s="189">
        <f t="shared" si="63"/>
        <v>60622.0931749464</v>
      </c>
      <c r="T126" s="188">
        <f t="shared" si="64"/>
        <v>0</v>
      </c>
      <c r="U126" s="189">
        <f t="shared" si="65"/>
        <v>60622.0931749464</v>
      </c>
      <c r="V126" s="189">
        <f t="shared" si="66"/>
        <v>60622.093174946414</v>
      </c>
      <c r="W126" s="180">
        <f t="shared" si="69"/>
        <v>60622.093174946414</v>
      </c>
      <c r="X126" s="129">
        <f t="shared" si="70"/>
        <v>7.5001686520782245E-3</v>
      </c>
    </row>
    <row r="127" spans="2:24" x14ac:dyDescent="0.25">
      <c r="B127" s="156">
        <f t="shared" si="50"/>
        <v>107</v>
      </c>
      <c r="C127" s="127" t="str">
        <f>'קיזוזים- החלטות ועדה'!C137</f>
        <v>מיקה קופפר</v>
      </c>
      <c r="D127" s="190">
        <f>IF(C127="","",'הגבלה לסכום מבוקש (1)'!D127)</f>
        <v>295000</v>
      </c>
      <c r="E127" s="190">
        <f>IF(C127="","",'קיזוזים בגין איחורים'!F137+'קיזוזים- החלטות ועדה'!E137)</f>
        <v>0</v>
      </c>
      <c r="F127" s="181">
        <f t="shared" si="51"/>
        <v>295000</v>
      </c>
      <c r="G127" s="181">
        <f>'קיזוזים- החלטות ועדה'!G137</f>
        <v>58515.252495622175</v>
      </c>
      <c r="H127" s="140">
        <f t="shared" si="52"/>
        <v>0</v>
      </c>
      <c r="I127" s="181">
        <f t="shared" si="53"/>
        <v>58515.252495622175</v>
      </c>
      <c r="J127" s="181">
        <f t="shared" si="54"/>
        <v>58515.25249562219</v>
      </c>
      <c r="K127" s="188">
        <f t="shared" si="55"/>
        <v>0</v>
      </c>
      <c r="L127" s="189">
        <f t="shared" si="56"/>
        <v>58515.25249562219</v>
      </c>
      <c r="M127" s="189">
        <f t="shared" si="57"/>
        <v>58515.252495622175</v>
      </c>
      <c r="N127" s="188">
        <f t="shared" si="58"/>
        <v>0</v>
      </c>
      <c r="O127" s="189">
        <f t="shared" si="59"/>
        <v>58515.252495622175</v>
      </c>
      <c r="P127" s="189">
        <f t="shared" si="60"/>
        <v>58515.25249562219</v>
      </c>
      <c r="Q127" s="188">
        <f t="shared" si="61"/>
        <v>0</v>
      </c>
      <c r="R127" s="189">
        <f t="shared" si="62"/>
        <v>58515.25249562219</v>
      </c>
      <c r="S127" s="189">
        <f t="shared" si="63"/>
        <v>58515.252495622175</v>
      </c>
      <c r="T127" s="188">
        <f t="shared" si="64"/>
        <v>0</v>
      </c>
      <c r="U127" s="189">
        <f t="shared" si="65"/>
        <v>58515.252495622175</v>
      </c>
      <c r="V127" s="189">
        <f t="shared" si="66"/>
        <v>58515.25249562219</v>
      </c>
      <c r="W127" s="180">
        <f t="shared" si="69"/>
        <v>58515.25249562219</v>
      </c>
      <c r="X127" s="129">
        <f t="shared" si="70"/>
        <v>7.2395102090846864E-3</v>
      </c>
    </row>
    <row r="128" spans="2:24" x14ac:dyDescent="0.25">
      <c r="B128" s="156" t="str">
        <f t="shared" si="50"/>
        <v/>
      </c>
      <c r="C128" s="127" t="str">
        <f>'קיזוזים- החלטות ועדה'!C138</f>
        <v/>
      </c>
      <c r="D128" s="190" t="str">
        <f>IF(C128="","",'הגבלה לסכום מבוקש (1)'!D128)</f>
        <v/>
      </c>
      <c r="E128" s="190" t="str">
        <f>IF(C128="","",'קיזוזים בגין איחורים'!F138+'קיזוזים- החלטות ועדה'!E138)</f>
        <v/>
      </c>
      <c r="F128" s="181" t="str">
        <f t="shared" si="51"/>
        <v/>
      </c>
      <c r="G128" s="181" t="str">
        <f>'קיזוזים- החלטות ועדה'!G138</f>
        <v/>
      </c>
      <c r="H128" s="140" t="str">
        <f t="shared" si="52"/>
        <v/>
      </c>
      <c r="I128" s="181" t="str">
        <f t="shared" si="53"/>
        <v/>
      </c>
      <c r="J128" s="181" t="str">
        <f t="shared" si="54"/>
        <v/>
      </c>
      <c r="K128" s="188">
        <f t="shared" si="55"/>
        <v>0</v>
      </c>
      <c r="L128" s="189" t="str">
        <f t="shared" si="56"/>
        <v/>
      </c>
      <c r="M128" s="189" t="str">
        <f t="shared" si="57"/>
        <v/>
      </c>
      <c r="N128" s="188">
        <f t="shared" si="58"/>
        <v>0</v>
      </c>
      <c r="O128" s="189" t="str">
        <f t="shared" si="59"/>
        <v/>
      </c>
      <c r="P128" s="189" t="str">
        <f t="shared" si="60"/>
        <v/>
      </c>
      <c r="Q128" s="188">
        <f t="shared" si="61"/>
        <v>0</v>
      </c>
      <c r="R128" s="189" t="str">
        <f t="shared" si="62"/>
        <v/>
      </c>
      <c r="S128" s="189" t="str">
        <f t="shared" si="63"/>
        <v/>
      </c>
      <c r="T128" s="188">
        <f t="shared" si="64"/>
        <v>0</v>
      </c>
      <c r="U128" s="189" t="str">
        <f t="shared" si="65"/>
        <v/>
      </c>
      <c r="V128" s="189" t="str">
        <f t="shared" si="66"/>
        <v/>
      </c>
      <c r="W128" s="180" t="str">
        <f t="shared" si="69"/>
        <v/>
      </c>
      <c r="X128" s="129" t="str">
        <f t="shared" si="70"/>
        <v/>
      </c>
    </row>
    <row r="129" spans="2:24" x14ac:dyDescent="0.25">
      <c r="B129" s="156">
        <f t="shared" si="50"/>
        <v>109</v>
      </c>
      <c r="C129" s="127" t="str">
        <f>'קיזוזים- החלטות ועדה'!C139</f>
        <v>נועה שילה</v>
      </c>
      <c r="D129" s="190">
        <f>IF(C129="","",'הגבלה לסכום מבוקש (1)'!D129)</f>
        <v>295000</v>
      </c>
      <c r="E129" s="190">
        <f>IF(C129="","",'קיזוזים בגין איחורים'!F139+'קיזוזים- החלטות ועדה'!E139)</f>
        <v>0</v>
      </c>
      <c r="F129" s="181">
        <f t="shared" si="51"/>
        <v>295000</v>
      </c>
      <c r="G129" s="181">
        <f>'קיזוזים- החלטות ועדה'!G139</f>
        <v>56320.524973865584</v>
      </c>
      <c r="H129" s="140">
        <f t="shared" si="52"/>
        <v>0</v>
      </c>
      <c r="I129" s="181">
        <f t="shared" si="53"/>
        <v>56320.524973865584</v>
      </c>
      <c r="J129" s="181">
        <f t="shared" si="54"/>
        <v>56320.524973865598</v>
      </c>
      <c r="K129" s="188">
        <f t="shared" si="55"/>
        <v>0</v>
      </c>
      <c r="L129" s="189">
        <f t="shared" si="56"/>
        <v>56320.524973865598</v>
      </c>
      <c r="M129" s="189">
        <f t="shared" si="57"/>
        <v>56320.524973865584</v>
      </c>
      <c r="N129" s="188">
        <f t="shared" si="58"/>
        <v>0</v>
      </c>
      <c r="O129" s="189">
        <f t="shared" si="59"/>
        <v>56320.524973865584</v>
      </c>
      <c r="P129" s="189">
        <f t="shared" si="60"/>
        <v>56320.524973865598</v>
      </c>
      <c r="Q129" s="188">
        <f t="shared" si="61"/>
        <v>0</v>
      </c>
      <c r="R129" s="189">
        <f t="shared" si="62"/>
        <v>56320.524973865598</v>
      </c>
      <c r="S129" s="189">
        <f t="shared" si="63"/>
        <v>56320.524973865584</v>
      </c>
      <c r="T129" s="188">
        <f t="shared" si="64"/>
        <v>0</v>
      </c>
      <c r="U129" s="189">
        <f t="shared" si="65"/>
        <v>56320.524973865584</v>
      </c>
      <c r="V129" s="189">
        <f t="shared" si="66"/>
        <v>56320.524973865598</v>
      </c>
      <c r="W129" s="180">
        <f t="shared" si="69"/>
        <v>56320.524973865598</v>
      </c>
      <c r="X129" s="129">
        <f t="shared" si="70"/>
        <v>6.9679784011837517E-3</v>
      </c>
    </row>
    <row r="130" spans="2:24" x14ac:dyDescent="0.25">
      <c r="B130" s="156" t="str">
        <f t="shared" si="50"/>
        <v/>
      </c>
      <c r="C130" s="127" t="str">
        <f>'קיזוזים- החלטות ועדה'!C140</f>
        <v/>
      </c>
      <c r="D130" s="190" t="str">
        <f>IF(C130="","",'הגבלה לסכום מבוקש (1)'!D130)</f>
        <v/>
      </c>
      <c r="E130" s="190" t="str">
        <f>IF(C130="","",'קיזוזים בגין איחורים'!F140+'קיזוזים- החלטות ועדה'!E140)</f>
        <v/>
      </c>
      <c r="F130" s="181" t="str">
        <f t="shared" si="51"/>
        <v/>
      </c>
      <c r="G130" s="181" t="str">
        <f>'קיזוזים- החלטות ועדה'!G140</f>
        <v/>
      </c>
      <c r="H130" s="140" t="str">
        <f t="shared" si="52"/>
        <v/>
      </c>
      <c r="I130" s="181" t="str">
        <f t="shared" si="53"/>
        <v/>
      </c>
      <c r="J130" s="181" t="str">
        <f t="shared" si="54"/>
        <v/>
      </c>
      <c r="K130" s="188">
        <f t="shared" si="55"/>
        <v>0</v>
      </c>
      <c r="L130" s="189" t="str">
        <f t="shared" si="56"/>
        <v/>
      </c>
      <c r="M130" s="189" t="str">
        <f t="shared" si="57"/>
        <v/>
      </c>
      <c r="N130" s="188">
        <f t="shared" si="58"/>
        <v>0</v>
      </c>
      <c r="O130" s="189" t="str">
        <f t="shared" si="59"/>
        <v/>
      </c>
      <c r="P130" s="189" t="str">
        <f t="shared" si="60"/>
        <v/>
      </c>
      <c r="Q130" s="188">
        <f t="shared" si="61"/>
        <v>0</v>
      </c>
      <c r="R130" s="189" t="str">
        <f t="shared" si="62"/>
        <v/>
      </c>
      <c r="S130" s="189" t="str">
        <f t="shared" si="63"/>
        <v/>
      </c>
      <c r="T130" s="188">
        <f t="shared" si="64"/>
        <v>0</v>
      </c>
      <c r="U130" s="189" t="str">
        <f t="shared" si="65"/>
        <v/>
      </c>
      <c r="V130" s="189" t="str">
        <f t="shared" si="66"/>
        <v/>
      </c>
      <c r="W130" s="180" t="str">
        <f t="shared" si="69"/>
        <v/>
      </c>
      <c r="X130" s="129" t="str">
        <f t="shared" si="70"/>
        <v/>
      </c>
    </row>
    <row r="131" spans="2:24" x14ac:dyDescent="0.25">
      <c r="B131" s="156">
        <f t="shared" si="50"/>
        <v>111</v>
      </c>
      <c r="C131" s="127" t="str">
        <f>'קיזוזים- החלטות ועדה'!C141</f>
        <v>עדי בוטרוס אמנויות הבמה (ע"ר)</v>
      </c>
      <c r="D131" s="190">
        <f>IF(C131="","",'הגבלה לסכום מבוקש (1)'!D131)</f>
        <v>400000</v>
      </c>
      <c r="E131" s="190">
        <f>IF(C131="","",'קיזוזים בגין איחורים'!F141+'קיזוזים- החלטות ועדה'!E141)</f>
        <v>0</v>
      </c>
      <c r="F131" s="181">
        <f t="shared" si="51"/>
        <v>400000</v>
      </c>
      <c r="G131" s="181">
        <f>'קיזוזים- החלטות ועדה'!G141</f>
        <v>100645.73096221809</v>
      </c>
      <c r="H131" s="140">
        <f t="shared" si="52"/>
        <v>0</v>
      </c>
      <c r="I131" s="181">
        <f t="shared" si="53"/>
        <v>100645.73096221809</v>
      </c>
      <c r="J131" s="181">
        <f t="shared" si="54"/>
        <v>100645.73096221811</v>
      </c>
      <c r="K131" s="188">
        <f t="shared" si="55"/>
        <v>0</v>
      </c>
      <c r="L131" s="189">
        <f t="shared" si="56"/>
        <v>100645.73096221811</v>
      </c>
      <c r="M131" s="189">
        <f t="shared" si="57"/>
        <v>100645.73096221808</v>
      </c>
      <c r="N131" s="188">
        <f t="shared" si="58"/>
        <v>0</v>
      </c>
      <c r="O131" s="189">
        <f t="shared" si="59"/>
        <v>100645.73096221808</v>
      </c>
      <c r="P131" s="189">
        <f t="shared" si="60"/>
        <v>100645.73096221809</v>
      </c>
      <c r="Q131" s="188">
        <f t="shared" si="61"/>
        <v>0</v>
      </c>
      <c r="R131" s="189">
        <f t="shared" si="62"/>
        <v>100645.73096221809</v>
      </c>
      <c r="S131" s="189">
        <f t="shared" si="63"/>
        <v>100645.73096221806</v>
      </c>
      <c r="T131" s="188">
        <f t="shared" si="64"/>
        <v>0</v>
      </c>
      <c r="U131" s="189">
        <f t="shared" si="65"/>
        <v>100645.73096221806</v>
      </c>
      <c r="V131" s="189">
        <f t="shared" si="66"/>
        <v>100645.73096221808</v>
      </c>
      <c r="W131" s="180">
        <f t="shared" si="69"/>
        <v>100645.73096221808</v>
      </c>
      <c r="X131" s="129">
        <f t="shared" si="70"/>
        <v>1.2451895287579602E-2</v>
      </c>
    </row>
    <row r="132" spans="2:24" ht="16.5" thickBot="1" x14ac:dyDescent="0.3">
      <c r="B132" s="156" t="str">
        <f t="shared" si="50"/>
        <v/>
      </c>
      <c r="C132" s="127" t="str">
        <f>'קיזוזים- החלטות ועדה'!C142</f>
        <v/>
      </c>
      <c r="D132" s="190" t="str">
        <f>IF(C132="","",'הגבלה לסכום מבוקש (1)'!D132)</f>
        <v/>
      </c>
      <c r="E132" s="190" t="str">
        <f>IF(C132="","",'קיזוזים בגין איחורים'!F142+'קיזוזים- החלטות ועדה'!E142)</f>
        <v/>
      </c>
      <c r="F132" s="181" t="str">
        <f t="shared" si="51"/>
        <v/>
      </c>
      <c r="G132" s="181" t="str">
        <f>'קיזוזים- החלטות ועדה'!G142</f>
        <v/>
      </c>
      <c r="H132" s="140" t="str">
        <f t="shared" si="52"/>
        <v/>
      </c>
      <c r="I132" s="181" t="str">
        <f t="shared" si="53"/>
        <v/>
      </c>
      <c r="J132" s="181" t="str">
        <f t="shared" si="54"/>
        <v/>
      </c>
      <c r="K132" s="188">
        <f t="shared" si="55"/>
        <v>0</v>
      </c>
      <c r="L132" s="189" t="str">
        <f t="shared" si="56"/>
        <v/>
      </c>
      <c r="M132" s="189" t="str">
        <f t="shared" si="57"/>
        <v/>
      </c>
      <c r="N132" s="188">
        <f t="shared" si="58"/>
        <v>0</v>
      </c>
      <c r="O132" s="189" t="str">
        <f t="shared" si="59"/>
        <v/>
      </c>
      <c r="P132" s="189" t="str">
        <f t="shared" si="60"/>
        <v/>
      </c>
      <c r="Q132" s="188">
        <f t="shared" si="61"/>
        <v>0</v>
      </c>
      <c r="R132" s="189" t="str">
        <f t="shared" si="62"/>
        <v/>
      </c>
      <c r="S132" s="189" t="str">
        <f t="shared" si="63"/>
        <v/>
      </c>
      <c r="T132" s="188">
        <f t="shared" si="64"/>
        <v>0</v>
      </c>
      <c r="U132" s="189" t="str">
        <f t="shared" si="65"/>
        <v/>
      </c>
      <c r="V132" s="189" t="str">
        <f t="shared" si="66"/>
        <v/>
      </c>
      <c r="W132" s="180" t="str">
        <f t="shared" si="69"/>
        <v/>
      </c>
      <c r="X132" s="129" t="str">
        <f t="shared" si="70"/>
        <v/>
      </c>
    </row>
    <row r="133" spans="2:24" ht="16.5" thickBot="1" x14ac:dyDescent="0.3">
      <c r="B133" s="891" t="s">
        <v>41</v>
      </c>
      <c r="C133" s="892"/>
      <c r="D133" s="567">
        <f t="shared" ref="D133:V133" si="71">SUM(D21:D132)</f>
        <v>26770000</v>
      </c>
      <c r="E133" s="567">
        <f t="shared" si="71"/>
        <v>0</v>
      </c>
      <c r="F133" s="567">
        <f t="shared" si="71"/>
        <v>26770000</v>
      </c>
      <c r="G133" s="567">
        <f t="shared" si="71"/>
        <v>8082763.9999999981</v>
      </c>
      <c r="H133" s="564"/>
      <c r="I133" s="567">
        <f t="shared" si="71"/>
        <v>8082763.9999999981</v>
      </c>
      <c r="J133" s="567">
        <f t="shared" si="71"/>
        <v>8082764.0000000019</v>
      </c>
      <c r="K133" s="564">
        <f t="shared" si="71"/>
        <v>0</v>
      </c>
      <c r="L133" s="564">
        <f t="shared" si="71"/>
        <v>8082764.0000000019</v>
      </c>
      <c r="M133" s="564">
        <f t="shared" si="71"/>
        <v>8082763.9999999981</v>
      </c>
      <c r="N133" s="564">
        <f t="shared" si="71"/>
        <v>0</v>
      </c>
      <c r="O133" s="564">
        <f t="shared" si="71"/>
        <v>8082763.9999999981</v>
      </c>
      <c r="P133" s="564">
        <f t="shared" si="71"/>
        <v>8082764.0000000019</v>
      </c>
      <c r="Q133" s="564">
        <f t="shared" si="71"/>
        <v>0</v>
      </c>
      <c r="R133" s="564">
        <f t="shared" si="71"/>
        <v>8082764.0000000019</v>
      </c>
      <c r="S133" s="564">
        <f t="shared" si="71"/>
        <v>8082763.9999999981</v>
      </c>
      <c r="T133" s="564">
        <f t="shared" si="71"/>
        <v>0</v>
      </c>
      <c r="U133" s="564">
        <f t="shared" si="71"/>
        <v>8082763.9999999981</v>
      </c>
      <c r="V133" s="564">
        <f t="shared" si="71"/>
        <v>8082764.0000000019</v>
      </c>
      <c r="W133" s="567">
        <f>SUM(W21:W132)</f>
        <v>8082764.0000000019</v>
      </c>
      <c r="X133" s="566">
        <f>SUM(X21:X132)</f>
        <v>1.0000000000000004</v>
      </c>
    </row>
  </sheetData>
  <sheetProtection algorithmName="SHA-512" hashValue="mKwx6JkPrPEc+1QklFLiETTcfztMc9hcN1IZczwLZwWaYmne7zlq00su8yRyKVi4w62YTWIqUEj9H7fBIfhAiw==" saltValue="wLDDhRJ6gJnB5IZKUAycYQ==" spinCount="100000" sheet="1" scenarios="1" formatColumns="0" formatRows="0" autoFilter="0"/>
  <mergeCells count="13">
    <mergeCell ref="B133:C133"/>
    <mergeCell ref="W19:W20"/>
    <mergeCell ref="X19:X20"/>
    <mergeCell ref="B18:X18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</mergeCells>
  <conditionalFormatting sqref="B21:J132">
    <cfRule type="containsBlanks" dxfId="10" priority="1">
      <formula>LEN(TRIM(B21))=0</formula>
    </cfRule>
  </conditionalFormatting>
  <conditionalFormatting sqref="C1:C2">
    <cfRule type="containsBlanks" dxfId="9" priority="2">
      <formula>LEN(TRIM(C1))=0</formula>
    </cfRule>
  </conditionalFormatting>
  <conditionalFormatting sqref="D1:E17 B3:C17">
    <cfRule type="containsBlanks" dxfId="8" priority="14">
      <formula>LEN(TRIM(B1))=0</formula>
    </cfRule>
  </conditionalFormatting>
  <conditionalFormatting sqref="K21:V132">
    <cfRule type="containsText" dxfId="7" priority="15" operator="containsText" text="הזנה שגויה">
      <formula>NOT(ISERROR(SEARCH("הזנה שגויה",K21)))</formula>
    </cfRule>
  </conditionalFormatting>
  <conditionalFormatting sqref="W21:X132">
    <cfRule type="containsBlanks" dxfId="6" priority="5">
      <formula>LEN(TRIM(W21))=0</formula>
    </cfRule>
  </conditionalFormatting>
  <printOptions horizontalCentered="1"/>
  <pageMargins left="0.27559055118110237" right="0.19685039370078741" top="0.62992125984251968" bottom="0.47244094488188981" header="0.31496062992125984" footer="0.23622047244094491"/>
  <pageSetup paperSize="9" scale="33" orientation="portrait" horizontalDpi="1200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15">
    <tabColor rgb="FFFFFFCC"/>
    <pageSetUpPr fitToPage="1"/>
  </sheetPr>
  <dimension ref="B1:U134"/>
  <sheetViews>
    <sheetView rightToLeft="1" view="pageBreakPreview" zoomScaleNormal="80" zoomScaleSheetLayoutView="100" workbookViewId="0">
      <pane xSplit="3" ySplit="20" topLeftCell="D21" activePane="bottomRight" state="frozen"/>
      <selection pane="topRight" activeCell="E1" sqref="E1:E2"/>
      <selection pane="bottomLeft" activeCell="E1" sqref="E1:E2"/>
      <selection pane="bottomRight" activeCell="D21" sqref="D21"/>
    </sheetView>
  </sheetViews>
  <sheetFormatPr defaultColWidth="9.140625" defaultRowHeight="15.75" x14ac:dyDescent="0.25"/>
  <cols>
    <col min="1" max="1" width="2.85546875" style="11" customWidth="1"/>
    <col min="2" max="2" width="25.42578125" style="11" customWidth="1"/>
    <col min="3" max="3" width="29.5703125" style="11" customWidth="1"/>
    <col min="4" max="4" width="21.140625" style="11" bestFit="1" customWidth="1"/>
    <col min="5" max="11" width="25.42578125" style="605" customWidth="1"/>
    <col min="12" max="12" width="32.5703125" style="605" customWidth="1"/>
    <col min="13" max="13" width="46.42578125" style="11" customWidth="1"/>
    <col min="14" max="17" width="25.42578125" style="11" customWidth="1"/>
    <col min="18" max="18" width="21.140625" style="11" customWidth="1"/>
    <col min="19" max="19" width="25.42578125" style="11" customWidth="1"/>
    <col min="20" max="20" width="34.7109375" style="11" customWidth="1"/>
    <col min="21" max="21" width="30.42578125" style="380" customWidth="1"/>
    <col min="22" max="16384" width="9.140625" style="11"/>
  </cols>
  <sheetData>
    <row r="1" spans="3:17" ht="18.75" x14ac:dyDescent="0.25">
      <c r="C1" s="100" t="str">
        <f>'פרמטרים לעקרונות חישוב התמיכה'!$B$1</f>
        <v>שנה</v>
      </c>
      <c r="D1" s="13">
        <f>'פרמטרים לעקרונות חישוב התמיכה'!$C$1</f>
        <v>2025</v>
      </c>
      <c r="E1" s="602"/>
      <c r="F1" s="602"/>
      <c r="G1" s="602"/>
      <c r="H1" s="602"/>
      <c r="I1" s="602"/>
      <c r="J1" s="602"/>
      <c r="K1" s="602"/>
      <c r="L1" s="602"/>
      <c r="M1" s="15"/>
      <c r="N1" s="15"/>
      <c r="O1" s="15"/>
      <c r="P1" s="15"/>
      <c r="Q1" s="15"/>
    </row>
    <row r="2" spans="3:17" ht="19.5" thickBot="1" x14ac:dyDescent="0.3">
      <c r="C2" s="101" t="str">
        <f>'פרמטרים לעקרונות חישוב התמיכה'!$B$2</f>
        <v>תקציב התמיכה</v>
      </c>
      <c r="D2" s="14">
        <f>'פרמטרים לעקרונות חישוב התמיכה'!$C$2</f>
        <v>8082764</v>
      </c>
      <c r="E2" s="603"/>
      <c r="F2" s="603"/>
      <c r="G2" s="603"/>
      <c r="H2" s="603"/>
      <c r="I2" s="603"/>
      <c r="J2" s="603"/>
      <c r="K2" s="603"/>
      <c r="L2" s="603"/>
      <c r="M2" s="16"/>
      <c r="N2" s="16"/>
      <c r="O2" s="16"/>
      <c r="P2" s="16"/>
      <c r="Q2" s="16"/>
    </row>
    <row r="4" spans="3:17" x14ac:dyDescent="0.25">
      <c r="D4"/>
      <c r="E4" s="604"/>
      <c r="F4" s="604"/>
      <c r="G4" s="604"/>
      <c r="H4" s="604"/>
      <c r="I4" s="604"/>
      <c r="J4" s="604"/>
      <c r="K4" s="604"/>
      <c r="L4" s="604"/>
      <c r="M4"/>
      <c r="N4"/>
      <c r="O4"/>
      <c r="P4"/>
      <c r="Q4"/>
    </row>
    <row r="5" spans="3:17" hidden="1" x14ac:dyDescent="0.25"/>
    <row r="6" spans="3:17" hidden="1" x14ac:dyDescent="0.25">
      <c r="D6"/>
      <c r="E6" s="604"/>
      <c r="F6" s="604"/>
      <c r="G6" s="604"/>
      <c r="H6" s="604"/>
      <c r="I6" s="604"/>
      <c r="J6" s="604"/>
      <c r="K6" s="604"/>
      <c r="L6" s="604"/>
      <c r="M6"/>
      <c r="N6"/>
      <c r="O6"/>
      <c r="P6"/>
      <c r="Q6"/>
    </row>
    <row r="7" spans="3:17" hidden="1" x14ac:dyDescent="0.25"/>
    <row r="8" spans="3:17" hidden="1" x14ac:dyDescent="0.25"/>
    <row r="9" spans="3:17" hidden="1" x14ac:dyDescent="0.25"/>
    <row r="10" spans="3:17" hidden="1" x14ac:dyDescent="0.25"/>
    <row r="11" spans="3:17" hidden="1" x14ac:dyDescent="0.25"/>
    <row r="12" spans="3:17" hidden="1" x14ac:dyDescent="0.25"/>
    <row r="13" spans="3:17" hidden="1" x14ac:dyDescent="0.25"/>
    <row r="14" spans="3:17" hidden="1" x14ac:dyDescent="0.25"/>
    <row r="15" spans="3:17" hidden="1" x14ac:dyDescent="0.25"/>
    <row r="16" spans="3:17" hidden="1" x14ac:dyDescent="0.25"/>
    <row r="17" spans="2:21" hidden="1" x14ac:dyDescent="0.25"/>
    <row r="19" spans="2:21" ht="27.75" customHeight="1" x14ac:dyDescent="0.25">
      <c r="E19" s="11"/>
      <c r="F19" s="11"/>
      <c r="G19" s="11"/>
      <c r="H19" s="11"/>
      <c r="I19" s="11"/>
      <c r="J19" s="11"/>
      <c r="K19" s="11"/>
      <c r="L19" s="11"/>
      <c r="U19" s="11"/>
    </row>
    <row r="20" spans="2:21" ht="30.75" customHeight="1" x14ac:dyDescent="0.25">
      <c r="B20" s="619" t="s">
        <v>206</v>
      </c>
      <c r="C20" s="620" t="str">
        <f>'הגבלה לסכום מבוקש (2)'!C19</f>
        <v>שם המוסד</v>
      </c>
      <c r="D20" s="621" t="s">
        <v>571</v>
      </c>
      <c r="E20" s="621" t="s">
        <v>572</v>
      </c>
      <c r="F20" s="621" t="s">
        <v>573</v>
      </c>
      <c r="G20" s="621" t="s">
        <v>574</v>
      </c>
      <c r="H20" s="621" t="s">
        <v>575</v>
      </c>
      <c r="I20" s="621" t="s">
        <v>576</v>
      </c>
      <c r="J20" s="621" t="s">
        <v>363</v>
      </c>
      <c r="K20" s="621" t="s">
        <v>364</v>
      </c>
      <c r="L20" s="621" t="s">
        <v>365</v>
      </c>
      <c r="M20" s="621" t="s">
        <v>366</v>
      </c>
      <c r="N20" s="621" t="s">
        <v>577</v>
      </c>
      <c r="O20" s="621" t="s">
        <v>578</v>
      </c>
      <c r="P20" s="622" t="s">
        <v>579</v>
      </c>
      <c r="Q20" s="621" t="s">
        <v>1043</v>
      </c>
      <c r="R20" s="619" t="s">
        <v>369</v>
      </c>
      <c r="S20" s="619" t="s">
        <v>370</v>
      </c>
      <c r="T20" s="619" t="s">
        <v>367</v>
      </c>
      <c r="U20" s="619" t="s">
        <v>368</v>
      </c>
    </row>
    <row r="21" spans="2:21" s="12" customFormat="1" ht="31.5" x14ac:dyDescent="0.2">
      <c r="B21" s="191">
        <f>IF(C21="","",ROW()-20)</f>
        <v>1</v>
      </c>
      <c r="C21" s="192" t="str">
        <f>'הגבלה לסכום מבוקש (2)'!C21</f>
        <v>סילביה דוראן</v>
      </c>
      <c r="D21" s="613">
        <v>1001827704</v>
      </c>
      <c r="E21" s="617">
        <v>1001735522</v>
      </c>
      <c r="F21" s="618">
        <v>2023</v>
      </c>
      <c r="G21" s="607">
        <f>IF(C21="","",IF($D$1&gt;(F21+3),1,0))</f>
        <v>0</v>
      </c>
      <c r="H21" s="608" t="str">
        <f>IF(IFERROR(VLOOKUP(E21,מרכבה!A:K,4,0),"")=K21,"","no")</f>
        <v/>
      </c>
      <c r="I21" s="607">
        <f>IFERROR(VLOOKUP(D21,מרכבה!A:K,7,0),"")</f>
        <v>2025</v>
      </c>
      <c r="J21" s="607">
        <f>IFERROR(VLOOKUP(D21,מרכבה!A:K,5,0),"")</f>
        <v>40000564</v>
      </c>
      <c r="K21" s="607">
        <f>IFERROR(VLOOKUP(D21,מרכבה!A:K,4,0),"")</f>
        <v>580215333</v>
      </c>
      <c r="L21" s="607" t="str">
        <f>IFERROR(VLOOKUP(D21,מרכבה!A:K,6,0),"")</f>
        <v>עמותת הכוריאוגרפים (ע"ר)</v>
      </c>
      <c r="M21" s="607" t="str">
        <f>IFERROR(VLOOKUP(D21,מרכבה!A:K,2,0),"")</f>
        <v>סילביה דוראן-תמיכה ביוצרת עצמאית</v>
      </c>
      <c r="N21" s="609">
        <f>IFERROR(VLOOKUP(D21,מרכבה!A:K,8,0),"")</f>
        <v>295000</v>
      </c>
      <c r="O21" s="610">
        <f>IFERROR(VLOOKUP(E21,מרכבה!A:K,9,0),0)</f>
        <v>28695</v>
      </c>
      <c r="P21" s="611">
        <f>'הגבלה לסכום מבוקש (2)'!W21</f>
        <v>20481.936442862843</v>
      </c>
      <c r="Q21" s="612">
        <f>IFERROR(P21/O21-1,"")</f>
        <v>-0.28621932591521715</v>
      </c>
      <c r="R21" s="196">
        <f>'קיזוזים בגין איחורים'!F31</f>
        <v>0</v>
      </c>
      <c r="S21" s="197">
        <f>'קיזוזים- החלטות ועדה'!E31</f>
        <v>0</v>
      </c>
      <c r="T21" s="194"/>
      <c r="U21" s="193" t="s">
        <v>1044</v>
      </c>
    </row>
    <row r="22" spans="2:21" ht="31.5" x14ac:dyDescent="0.25">
      <c r="B22" s="191">
        <f t="shared" ref="B22:B85" si="0">IF(C22="","",ROW()-20)</f>
        <v>2</v>
      </c>
      <c r="C22" s="192" t="str">
        <f>'הגבלה לסכום מבוקש (2)'!C22</f>
        <v>רנה שינפלד</v>
      </c>
      <c r="D22" s="613">
        <v>1001825298</v>
      </c>
      <c r="E22" s="613">
        <v>1001778130</v>
      </c>
      <c r="F22" s="614">
        <v>2022</v>
      </c>
      <c r="G22" s="607">
        <f t="shared" ref="G22:G85" si="1">IF(C22="","",IF($D$1&gt;(F22+3),1,0))</f>
        <v>0</v>
      </c>
      <c r="H22" s="608" t="str">
        <f>IF(IFERROR(VLOOKUP(E22,מרכבה!A:K,4,0),"")=K22,"","no")</f>
        <v/>
      </c>
      <c r="I22" s="607">
        <f>IFERROR(VLOOKUP(D22,מרכבה!A:K,7,0),"")</f>
        <v>2025</v>
      </c>
      <c r="J22" s="607">
        <f>IFERROR(VLOOKUP(D22,מרכבה!A:K,5,0),"")</f>
        <v>40000174</v>
      </c>
      <c r="K22" s="607">
        <f>IFERROR(VLOOKUP(D22,מרכבה!A:K,4,0),"")</f>
        <v>580198554</v>
      </c>
      <c r="L22" s="607" t="str">
        <f>IFERROR(VLOOKUP(D22,מרכבה!A:K,6,0),"")</f>
        <v>פרויקטים במחול - שליד תיאטרון מחול</v>
      </c>
      <c r="M22" s="607" t="str">
        <f>IFERROR(VLOOKUP(D22,מרכבה!A:K,2,0),"")</f>
        <v>רנה שינפלד - תמיכה שוטפת 2025</v>
      </c>
      <c r="N22" s="609">
        <f>IFERROR(VLOOKUP(D22,מרכבה!A:K,8,0),"")</f>
        <v>250000</v>
      </c>
      <c r="O22" s="610">
        <f>IFERROR(VLOOKUP(E22,מרכבה!A:K,9,0),0)</f>
        <v>119206</v>
      </c>
      <c r="P22" s="611">
        <f>'הגבלה לסכום מבוקש (2)'!W22</f>
        <v>109814.96724117095</v>
      </c>
      <c r="Q22" s="612">
        <f t="shared" ref="Q22:Q85" si="2">IFERROR(P22/O22-1,"")</f>
        <v>-7.8779866439852464E-2</v>
      </c>
      <c r="R22" s="196">
        <f>'קיזוזים בגין איחורים'!F32</f>
        <v>0</v>
      </c>
      <c r="S22" s="197">
        <f>'קיזוזים- החלטות ועדה'!E32</f>
        <v>0</v>
      </c>
      <c r="T22" s="194"/>
      <c r="U22" s="193" t="s">
        <v>1044</v>
      </c>
    </row>
    <row r="23" spans="2:21" ht="15.75" customHeight="1" x14ac:dyDescent="0.25">
      <c r="B23" s="191">
        <f t="shared" si="0"/>
        <v>3</v>
      </c>
      <c r="C23" s="192" t="str">
        <f>'הגבלה לסכום מבוקש (2)'!C23</f>
        <v>אבי קייזר וסרג'יו אנטוניניו</v>
      </c>
      <c r="D23" s="613">
        <v>1001827293</v>
      </c>
      <c r="E23" s="613">
        <v>1001735023</v>
      </c>
      <c r="F23" s="614">
        <v>2019</v>
      </c>
      <c r="G23" s="607">
        <f t="shared" si="1"/>
        <v>1</v>
      </c>
      <c r="H23" s="608" t="str">
        <f>IF(IFERROR(VLOOKUP(E23,מרכבה!A:K,4,0),"")=K23,"","no")</f>
        <v/>
      </c>
      <c r="I23" s="607">
        <f>IFERROR(VLOOKUP(D23,מרכבה!A:K,7,0),"")</f>
        <v>2025</v>
      </c>
      <c r="J23" s="607">
        <f>IFERROR(VLOOKUP(D23,מרכבה!A:K,5,0),"")</f>
        <v>40000564</v>
      </c>
      <c r="K23" s="607">
        <f>IFERROR(VLOOKUP(D23,מרכבה!A:K,4,0),"")</f>
        <v>580215333</v>
      </c>
      <c r="L23" s="607" t="str">
        <f>IFERROR(VLOOKUP(D23,מרכבה!A:K,6,0),"")</f>
        <v>עמותת הכוריאוגרפים (ע"ר)</v>
      </c>
      <c r="M23" s="607" t="str">
        <f>IFERROR(VLOOKUP(D23,מרכבה!A:K,2,0),"")</f>
        <v>אבי קייזר - תמיכה ביוצר עצמאי</v>
      </c>
      <c r="N23" s="609">
        <f>IFERROR(VLOOKUP(D23,מרכבה!A:K,8,0),"")</f>
        <v>295000</v>
      </c>
      <c r="O23" s="610">
        <f>IFERROR(VLOOKUP(E23,מרכבה!A:K,9,0),0)</f>
        <v>63582</v>
      </c>
      <c r="P23" s="611">
        <f>'הגבלה לסכום מבוקש (2)'!W23</f>
        <v>66612.83254511538</v>
      </c>
      <c r="Q23" s="612">
        <f t="shared" si="2"/>
        <v>4.766809073504108E-2</v>
      </c>
      <c r="R23" s="196">
        <f>'קיזוזים בגין איחורים'!F33</f>
        <v>0</v>
      </c>
      <c r="S23" s="197">
        <f>'קיזוזים- החלטות ועדה'!E33</f>
        <v>0</v>
      </c>
      <c r="T23" s="194"/>
      <c r="U23" s="193" t="s">
        <v>1044</v>
      </c>
    </row>
    <row r="24" spans="2:21" x14ac:dyDescent="0.25">
      <c r="B24" s="191" t="str">
        <f t="shared" si="0"/>
        <v/>
      </c>
      <c r="C24" s="192" t="str">
        <f>'הגבלה לסכום מבוקש (2)'!C24</f>
        <v/>
      </c>
      <c r="D24" s="613"/>
      <c r="E24" s="613"/>
      <c r="F24" s="614"/>
      <c r="G24" s="607" t="str">
        <f t="shared" si="1"/>
        <v/>
      </c>
      <c r="H24" s="608" t="str">
        <f>IF(IFERROR(VLOOKUP(E24,מרכבה!A:K,4,0),"")=K24,"","no")</f>
        <v/>
      </c>
      <c r="I24" s="607" t="str">
        <f>IFERROR(VLOOKUP(D24,מרכבה!A:K,7,0),"")</f>
        <v/>
      </c>
      <c r="J24" s="607" t="str">
        <f>IFERROR(VLOOKUP(D24,מרכבה!A:K,5,0),"")</f>
        <v/>
      </c>
      <c r="K24" s="607" t="str">
        <f>IFERROR(VLOOKUP(D24,מרכבה!A:K,4,0),"")</f>
        <v/>
      </c>
      <c r="L24" s="607" t="str">
        <f>IFERROR(VLOOKUP(D24,מרכבה!A:K,6,0),"")</f>
        <v/>
      </c>
      <c r="M24" s="607" t="str">
        <f>IFERROR(VLOOKUP(D24,מרכבה!A:K,2,0),"")</f>
        <v/>
      </c>
      <c r="N24" s="609" t="str">
        <f>IFERROR(VLOOKUP(D24,מרכבה!A:K,8,0),"")</f>
        <v/>
      </c>
      <c r="O24" s="610">
        <f>IFERROR(VLOOKUP(E24,מרכבה!A:K,9,0),0)</f>
        <v>0</v>
      </c>
      <c r="P24" s="611" t="str">
        <f>'הגבלה לסכום מבוקש (2)'!W24</f>
        <v/>
      </c>
      <c r="Q24" s="612" t="str">
        <f t="shared" si="2"/>
        <v/>
      </c>
      <c r="R24" s="196" t="str">
        <f>'קיזוזים בגין איחורים'!F34</f>
        <v/>
      </c>
      <c r="S24" s="197">
        <f>'קיזוזים- החלטות ועדה'!E34</f>
        <v>0</v>
      </c>
      <c r="T24" s="194"/>
      <c r="U24" s="193"/>
    </row>
    <row r="25" spans="2:21" ht="31.5" x14ac:dyDescent="0.25">
      <c r="B25" s="191">
        <f t="shared" si="0"/>
        <v>5</v>
      </c>
      <c r="C25" s="192" t="str">
        <f>'הגבלה לסכום מבוקש (2)'!C25</f>
        <v>אדוה ירמיהו</v>
      </c>
      <c r="D25" s="613">
        <v>1001827296</v>
      </c>
      <c r="E25" s="613">
        <v>1001735072</v>
      </c>
      <c r="F25" s="614">
        <v>2019</v>
      </c>
      <c r="G25" s="607">
        <f t="shared" si="1"/>
        <v>1</v>
      </c>
      <c r="H25" s="608" t="str">
        <f>IF(IFERROR(VLOOKUP(E25,מרכבה!A:K,4,0),"")=K25,"","no")</f>
        <v/>
      </c>
      <c r="I25" s="607">
        <f>IFERROR(VLOOKUP(D25,מרכבה!A:K,7,0),"")</f>
        <v>2025</v>
      </c>
      <c r="J25" s="607">
        <f>IFERROR(VLOOKUP(D25,מרכבה!A:K,5,0),"")</f>
        <v>40000564</v>
      </c>
      <c r="K25" s="607">
        <f>IFERROR(VLOOKUP(D25,מרכבה!A:K,4,0),"")</f>
        <v>580215333</v>
      </c>
      <c r="L25" s="607" t="str">
        <f>IFERROR(VLOOKUP(D25,מרכבה!A:K,6,0),"")</f>
        <v>עמותת הכוריאוגרפים (ע"ר)</v>
      </c>
      <c r="M25" s="607" t="str">
        <f>IFERROR(VLOOKUP(D25,מרכבה!A:K,2,0),"")</f>
        <v>אדוה ירמיהו - תמיכה ביוצרת עצמאית</v>
      </c>
      <c r="N25" s="609">
        <f>IFERROR(VLOOKUP(D25,מרכבה!A:K,8,0),"")</f>
        <v>295000</v>
      </c>
      <c r="O25" s="610">
        <f>IFERROR(VLOOKUP(E25,מרכבה!A:K,9,0),0)</f>
        <v>89585</v>
      </c>
      <c r="P25" s="611">
        <f>'הגבלה לסכום מבוקש (2)'!W25</f>
        <v>97426.027791732995</v>
      </c>
      <c r="Q25" s="612">
        <f t="shared" si="2"/>
        <v>8.7526123700764513E-2</v>
      </c>
      <c r="R25" s="196">
        <f>'קיזוזים בגין איחורים'!F35</f>
        <v>0</v>
      </c>
      <c r="S25" s="197">
        <f>'קיזוזים- החלטות ועדה'!E35</f>
        <v>0</v>
      </c>
      <c r="T25" s="194"/>
      <c r="U25" s="193" t="s">
        <v>1044</v>
      </c>
    </row>
    <row r="26" spans="2:21" ht="31.5" x14ac:dyDescent="0.25">
      <c r="B26" s="191">
        <f t="shared" si="0"/>
        <v>6</v>
      </c>
      <c r="C26" s="192" t="str">
        <f>'הגבלה לסכום מבוקש (2)'!C26</f>
        <v>אהרונה ישראל</v>
      </c>
      <c r="D26" s="613">
        <v>1001827297</v>
      </c>
      <c r="E26" s="613">
        <v>1001735074</v>
      </c>
      <c r="F26" s="614">
        <v>2019</v>
      </c>
      <c r="G26" s="607">
        <f t="shared" si="1"/>
        <v>1</v>
      </c>
      <c r="H26" s="608" t="str">
        <f>IF(IFERROR(VLOOKUP(E26,מרכבה!A:K,4,0),"")=K26,"","no")</f>
        <v/>
      </c>
      <c r="I26" s="607">
        <f>IFERROR(VLOOKUP(D26,מרכבה!A:K,7,0),"")</f>
        <v>2025</v>
      </c>
      <c r="J26" s="607">
        <f>IFERROR(VLOOKUP(D26,מרכבה!A:K,5,0),"")</f>
        <v>40000564</v>
      </c>
      <c r="K26" s="607">
        <f>IFERROR(VLOOKUP(D26,מרכבה!A:K,4,0),"")</f>
        <v>580215333</v>
      </c>
      <c r="L26" s="607" t="str">
        <f>IFERROR(VLOOKUP(D26,מרכבה!A:K,6,0),"")</f>
        <v>עמותת הכוריאוגרפים (ע"ר)</v>
      </c>
      <c r="M26" s="607" t="str">
        <f>IFERROR(VLOOKUP(D26,מרכבה!A:K,2,0),"")</f>
        <v>אהרונה ישראל - תמיכה ביוצרת עצמאית</v>
      </c>
      <c r="N26" s="609">
        <f>IFERROR(VLOOKUP(D26,מרכבה!A:K,8,0),"")</f>
        <v>295000</v>
      </c>
      <c r="O26" s="610">
        <f>IFERROR(VLOOKUP(E26,מרכבה!A:K,9,0),0)</f>
        <v>61327</v>
      </c>
      <c r="P26" s="611">
        <f>'הגבלה לסכום מבוקש (2)'!W26</f>
        <v>52345.893988859607</v>
      </c>
      <c r="Q26" s="612">
        <f t="shared" si="2"/>
        <v>-0.14644619843038775</v>
      </c>
      <c r="R26" s="196">
        <f>'קיזוזים בגין איחורים'!F36</f>
        <v>0</v>
      </c>
      <c r="S26" s="197">
        <f>'קיזוזים- החלטות ועדה'!E36</f>
        <v>0</v>
      </c>
      <c r="T26" s="194"/>
      <c r="U26" s="193" t="s">
        <v>1044</v>
      </c>
    </row>
    <row r="27" spans="2:21" ht="31.5" x14ac:dyDescent="0.25">
      <c r="B27" s="191">
        <f t="shared" si="0"/>
        <v>7</v>
      </c>
      <c r="C27" s="192" t="str">
        <f>'הגבלה לסכום מבוקש (2)'!C27</f>
        <v>אופיר יודילביץ</v>
      </c>
      <c r="D27" s="613">
        <v>1001827322</v>
      </c>
      <c r="E27" s="613">
        <v>1001735078</v>
      </c>
      <c r="F27" s="614">
        <v>2019</v>
      </c>
      <c r="G27" s="607">
        <f t="shared" si="1"/>
        <v>1</v>
      </c>
      <c r="H27" s="608" t="str">
        <f>IF(IFERROR(VLOOKUP(E27,מרכבה!A:K,4,0),"")=K27,"","no")</f>
        <v/>
      </c>
      <c r="I27" s="607">
        <f>IFERROR(VLOOKUP(D27,מרכבה!A:K,7,0),"")</f>
        <v>2025</v>
      </c>
      <c r="J27" s="607">
        <f>IFERROR(VLOOKUP(D27,מרכבה!A:K,5,0),"")</f>
        <v>40000564</v>
      </c>
      <c r="K27" s="607">
        <f>IFERROR(VLOOKUP(D27,מרכבה!A:K,4,0),"")</f>
        <v>580215333</v>
      </c>
      <c r="L27" s="607" t="str">
        <f>IFERROR(VLOOKUP(D27,מרכבה!A:K,6,0),"")</f>
        <v>עמותת הכוריאוגרפים (ע"ר)</v>
      </c>
      <c r="M27" s="607" t="str">
        <f>IFERROR(VLOOKUP(D27,מרכבה!A:K,2,0),"")</f>
        <v>אופיר יודלביץ-תמיכה ביוצר עצמאי</v>
      </c>
      <c r="N27" s="609">
        <f>IFERROR(VLOOKUP(D27,מרכבה!A:K,8,0),"")</f>
        <v>295000</v>
      </c>
      <c r="O27" s="610">
        <f>IFERROR(VLOOKUP(E27,מרכבה!A:K,9,0),0)</f>
        <v>116698</v>
      </c>
      <c r="P27" s="611">
        <f>'הגבלה לסכום מבוקש (2)'!W27</f>
        <v>114862.59201054432</v>
      </c>
      <c r="Q27" s="612">
        <f t="shared" si="2"/>
        <v>-1.5727844431401405E-2</v>
      </c>
      <c r="R27" s="196">
        <f>'קיזוזים בגין איחורים'!F37</f>
        <v>0</v>
      </c>
      <c r="S27" s="197">
        <f>'קיזוזים- החלטות ועדה'!E37</f>
        <v>0</v>
      </c>
      <c r="T27" s="194"/>
      <c r="U27" s="193" t="s">
        <v>1044</v>
      </c>
    </row>
    <row r="28" spans="2:21" ht="31.5" x14ac:dyDescent="0.25">
      <c r="B28" s="191">
        <f t="shared" si="0"/>
        <v>8</v>
      </c>
      <c r="C28" s="192" t="str">
        <f>'הגבלה לסכום מבוקש (2)'!C28</f>
        <v>אור מרין ואורן נחום</v>
      </c>
      <c r="D28" s="613">
        <v>1001827323</v>
      </c>
      <c r="E28" s="613">
        <v>1001735280</v>
      </c>
      <c r="F28" s="614">
        <v>2019</v>
      </c>
      <c r="G28" s="607">
        <f t="shared" si="1"/>
        <v>1</v>
      </c>
      <c r="H28" s="608" t="str">
        <f>IF(IFERROR(VLOOKUP(E28,מרכבה!A:K,4,0),"")=K28,"","no")</f>
        <v/>
      </c>
      <c r="I28" s="607">
        <f>IFERROR(VLOOKUP(D28,מרכבה!A:K,7,0),"")</f>
        <v>2025</v>
      </c>
      <c r="J28" s="607">
        <f>IFERROR(VLOOKUP(D28,מרכבה!A:K,5,0),"")</f>
        <v>40000564</v>
      </c>
      <c r="K28" s="607">
        <f>IFERROR(VLOOKUP(D28,מרכבה!A:K,4,0),"")</f>
        <v>580215333</v>
      </c>
      <c r="L28" s="607" t="str">
        <f>IFERROR(VLOOKUP(D28,מרכבה!A:K,6,0),"")</f>
        <v>עמותת הכוריאוגרפים (ע"ר)</v>
      </c>
      <c r="M28" s="607" t="str">
        <f>IFERROR(VLOOKUP(D28,מרכבה!A:K,2,0),"")</f>
        <v>אור מרין-תמיכה ביוצרת עצמאית</v>
      </c>
      <c r="N28" s="609">
        <f>IFERROR(VLOOKUP(D28,מרכבה!A:K,8,0),"")</f>
        <v>295000</v>
      </c>
      <c r="O28" s="610">
        <f>IFERROR(VLOOKUP(E28,מרכבה!A:K,9,0),0)</f>
        <v>99738</v>
      </c>
      <c r="P28" s="611">
        <f>'הגבלה לסכום מבוקש (2)'!W28</f>
        <v>93831.416403847703</v>
      </c>
      <c r="Q28" s="612">
        <f t="shared" si="2"/>
        <v>-5.9220994968339991E-2</v>
      </c>
      <c r="R28" s="196">
        <f>'קיזוזים בגין איחורים'!F38</f>
        <v>0</v>
      </c>
      <c r="S28" s="197">
        <f>'קיזוזים- החלטות ועדה'!E38</f>
        <v>0</v>
      </c>
      <c r="T28" s="194"/>
      <c r="U28" s="193" t="s">
        <v>1044</v>
      </c>
    </row>
    <row r="29" spans="2:21" ht="31.5" x14ac:dyDescent="0.25">
      <c r="B29" s="191">
        <f t="shared" si="0"/>
        <v>9</v>
      </c>
      <c r="C29" s="192" t="str">
        <f>'הגבלה לסכום מבוקש (2)'!C29</f>
        <v>אורי שפיר</v>
      </c>
      <c r="D29" s="613">
        <v>1001827325</v>
      </c>
      <c r="E29" s="613">
        <v>1001735282</v>
      </c>
      <c r="F29" s="614">
        <v>2019</v>
      </c>
      <c r="G29" s="607">
        <f t="shared" si="1"/>
        <v>1</v>
      </c>
      <c r="H29" s="608" t="str">
        <f>IF(IFERROR(VLOOKUP(E29,מרכבה!A:K,4,0),"")=K29,"","no")</f>
        <v/>
      </c>
      <c r="I29" s="607">
        <f>IFERROR(VLOOKUP(D29,מרכבה!A:K,7,0),"")</f>
        <v>2025</v>
      </c>
      <c r="J29" s="607">
        <f>IFERROR(VLOOKUP(D29,מרכבה!A:K,5,0),"")</f>
        <v>40000564</v>
      </c>
      <c r="K29" s="607">
        <f>IFERROR(VLOOKUP(D29,מרכבה!A:K,4,0),"")</f>
        <v>580215333</v>
      </c>
      <c r="L29" s="607" t="str">
        <f>IFERROR(VLOOKUP(D29,מרכבה!A:K,6,0),"")</f>
        <v>עמותת הכוריאוגרפים (ע"ר)</v>
      </c>
      <c r="M29" s="607" t="str">
        <f>IFERROR(VLOOKUP(D29,מרכבה!A:K,2,0),"")</f>
        <v>אורי שפיר-תמיכה ביוצר עצמאי</v>
      </c>
      <c r="N29" s="609">
        <f>IFERROR(VLOOKUP(D29,מרכבה!A:K,8,0),"")</f>
        <v>295000</v>
      </c>
      <c r="O29" s="610">
        <f>IFERROR(VLOOKUP(E29,מרכבה!A:K,9,0),0)</f>
        <v>79664</v>
      </c>
      <c r="P29" s="611">
        <f>'הגבלה לסכום מבוקש (2)'!W29</f>
        <v>97444.123020957282</v>
      </c>
      <c r="Q29" s="612">
        <f t="shared" si="2"/>
        <v>0.22318893127331396</v>
      </c>
      <c r="R29" s="196">
        <f>'קיזוזים בגין איחורים'!F39</f>
        <v>0</v>
      </c>
      <c r="S29" s="197">
        <f>'קיזוזים- החלטות ועדה'!E39</f>
        <v>0</v>
      </c>
      <c r="T29" s="194"/>
      <c r="U29" s="193" t="s">
        <v>1044</v>
      </c>
    </row>
    <row r="30" spans="2:21" ht="31.5" x14ac:dyDescent="0.25">
      <c r="B30" s="191">
        <f t="shared" si="0"/>
        <v>10</v>
      </c>
      <c r="C30" s="192" t="str">
        <f>'הגבלה לסכום מבוקש (2)'!C30</f>
        <v>אורלי פורטל</v>
      </c>
      <c r="D30" s="613">
        <v>1001827328</v>
      </c>
      <c r="E30" s="613">
        <v>1001735441</v>
      </c>
      <c r="F30" s="614">
        <v>2019</v>
      </c>
      <c r="G30" s="607">
        <f t="shared" si="1"/>
        <v>1</v>
      </c>
      <c r="H30" s="608" t="str">
        <f>IF(IFERROR(VLOOKUP(E30,מרכבה!A:K,4,0),"")=K30,"","no")</f>
        <v/>
      </c>
      <c r="I30" s="607">
        <f>IFERROR(VLOOKUP(D30,מרכבה!A:K,7,0),"")</f>
        <v>2025</v>
      </c>
      <c r="J30" s="607">
        <f>IFERROR(VLOOKUP(D30,מרכבה!A:K,5,0),"")</f>
        <v>40000564</v>
      </c>
      <c r="K30" s="607">
        <f>IFERROR(VLOOKUP(D30,מרכבה!A:K,4,0),"")</f>
        <v>580215333</v>
      </c>
      <c r="L30" s="607" t="str">
        <f>IFERROR(VLOOKUP(D30,מרכבה!A:K,6,0),"")</f>
        <v>עמותת הכוריאוגרפים (ע"ר)</v>
      </c>
      <c r="M30" s="607" t="str">
        <f>IFERROR(VLOOKUP(D30,מרכבה!A:K,2,0),"")</f>
        <v>אורלי פורטל- תמיכה ביוצרת עצמאית</v>
      </c>
      <c r="N30" s="609">
        <f>IFERROR(VLOOKUP(D30,מרכבה!A:K,8,0),"")</f>
        <v>295000</v>
      </c>
      <c r="O30" s="610">
        <f>IFERROR(VLOOKUP(E30,מרכבה!A:K,9,0),0)</f>
        <v>166463</v>
      </c>
      <c r="P30" s="611">
        <f>'הגבלה לסכום מבוקש (2)'!W30</f>
        <v>161399.68566352938</v>
      </c>
      <c r="Q30" s="612">
        <f t="shared" si="2"/>
        <v>-3.0417055660841297E-2</v>
      </c>
      <c r="R30" s="196">
        <f>'קיזוזים בגין איחורים'!F40</f>
        <v>0</v>
      </c>
      <c r="S30" s="197">
        <f>'קיזוזים- החלטות ועדה'!E40</f>
        <v>0</v>
      </c>
      <c r="T30" s="194"/>
      <c r="U30" s="193" t="s">
        <v>1044</v>
      </c>
    </row>
    <row r="31" spans="2:21" x14ac:dyDescent="0.25">
      <c r="B31" s="191" t="str">
        <f t="shared" si="0"/>
        <v/>
      </c>
      <c r="C31" s="192" t="str">
        <f>'הגבלה לסכום מבוקש (2)'!C31</f>
        <v/>
      </c>
      <c r="D31" s="613"/>
      <c r="E31" s="613"/>
      <c r="F31" s="614"/>
      <c r="G31" s="607" t="str">
        <f t="shared" si="1"/>
        <v/>
      </c>
      <c r="H31" s="608" t="str">
        <f>IF(IFERROR(VLOOKUP(E31,מרכבה!A:K,4,0),"")=K31,"","no")</f>
        <v/>
      </c>
      <c r="I31" s="607" t="str">
        <f>IFERROR(VLOOKUP(D31,מרכבה!A:K,7,0),"")</f>
        <v/>
      </c>
      <c r="J31" s="607" t="str">
        <f>IFERROR(VLOOKUP(D31,מרכבה!A:K,5,0),"")</f>
        <v/>
      </c>
      <c r="K31" s="607" t="str">
        <f>IFERROR(VLOOKUP(D31,מרכבה!A:K,4,0),"")</f>
        <v/>
      </c>
      <c r="L31" s="607" t="str">
        <f>IFERROR(VLOOKUP(D31,מרכבה!A:K,6,0),"")</f>
        <v/>
      </c>
      <c r="M31" s="607" t="str">
        <f>IFERROR(VLOOKUP(D31,מרכבה!A:K,2,0),"")</f>
        <v/>
      </c>
      <c r="N31" s="609" t="str">
        <f>IFERROR(VLOOKUP(D31,מרכבה!A:K,8,0),"")</f>
        <v/>
      </c>
      <c r="O31" s="610">
        <f>IFERROR(VLOOKUP(E31,מרכבה!A:K,9,0),0)</f>
        <v>0</v>
      </c>
      <c r="P31" s="611" t="str">
        <f>'הגבלה לסכום מבוקש (2)'!W31</f>
        <v/>
      </c>
      <c r="Q31" s="612" t="str">
        <f t="shared" si="2"/>
        <v/>
      </c>
      <c r="R31" s="196" t="str">
        <f>'קיזוזים בגין איחורים'!F41</f>
        <v/>
      </c>
      <c r="S31" s="197">
        <f>'קיזוזים- החלטות ועדה'!E41</f>
        <v>0</v>
      </c>
      <c r="T31" s="194"/>
      <c r="U31" s="193"/>
    </row>
    <row r="32" spans="2:21" ht="31.5" x14ac:dyDescent="0.25">
      <c r="B32" s="191">
        <f t="shared" si="0"/>
        <v>12</v>
      </c>
      <c r="C32" s="192" t="str">
        <f>'הגבלה לסכום מבוקש (2)'!C32</f>
        <v>אורין יוחנן</v>
      </c>
      <c r="D32" s="613">
        <v>1001827326</v>
      </c>
      <c r="E32" s="613">
        <v>1001735287</v>
      </c>
      <c r="F32" s="614">
        <v>2020</v>
      </c>
      <c r="G32" s="607">
        <f t="shared" si="1"/>
        <v>1</v>
      </c>
      <c r="H32" s="608" t="str">
        <f>IF(IFERROR(VLOOKUP(E32,מרכבה!A:K,4,0),"")=K32,"","no")</f>
        <v/>
      </c>
      <c r="I32" s="607">
        <f>IFERROR(VLOOKUP(D32,מרכבה!A:K,7,0),"")</f>
        <v>2025</v>
      </c>
      <c r="J32" s="607">
        <f>IFERROR(VLOOKUP(D32,מרכבה!A:K,5,0),"")</f>
        <v>40000564</v>
      </c>
      <c r="K32" s="607">
        <f>IFERROR(VLOOKUP(D32,מרכבה!A:K,4,0),"")</f>
        <v>580215333</v>
      </c>
      <c r="L32" s="607" t="str">
        <f>IFERROR(VLOOKUP(D32,מרכבה!A:K,6,0),"")</f>
        <v>עמותת הכוריאוגרפים (ע"ר)</v>
      </c>
      <c r="M32" s="607" t="str">
        <f>IFERROR(VLOOKUP(D32,מרכבה!A:K,2,0),"")</f>
        <v>אורין יוחנן-תמיכה ביוצרת עצמאית</v>
      </c>
      <c r="N32" s="609">
        <f>IFERROR(VLOOKUP(D32,מרכבה!A:K,8,0),"")</f>
        <v>295000</v>
      </c>
      <c r="O32" s="610">
        <f>IFERROR(VLOOKUP(E32,מרכבה!A:K,9,0),0)</f>
        <v>58656</v>
      </c>
      <c r="P32" s="611">
        <f>'הגבלה לסכום מבוקש (2)'!W32</f>
        <v>60307.824388644942</v>
      </c>
      <c r="Q32" s="612">
        <f t="shared" si="2"/>
        <v>2.8161217755130696E-2</v>
      </c>
      <c r="R32" s="196">
        <f>'קיזוזים בגין איחורים'!F42</f>
        <v>0</v>
      </c>
      <c r="S32" s="197">
        <f>'קיזוזים- החלטות ועדה'!E42</f>
        <v>0</v>
      </c>
      <c r="T32" s="194"/>
      <c r="U32" s="193" t="s">
        <v>1044</v>
      </c>
    </row>
    <row r="33" spans="2:21" ht="31.5" x14ac:dyDescent="0.25">
      <c r="B33" s="191">
        <f t="shared" si="0"/>
        <v>13</v>
      </c>
      <c r="C33" s="192" t="str">
        <f>'הגבלה לסכום מבוקש (2)'!C33</f>
        <v>איריס ארז</v>
      </c>
      <c r="D33" s="613">
        <v>1001827329</v>
      </c>
      <c r="E33" s="613">
        <v>1001735442</v>
      </c>
      <c r="F33" s="614">
        <v>2019</v>
      </c>
      <c r="G33" s="607">
        <f t="shared" si="1"/>
        <v>1</v>
      </c>
      <c r="H33" s="608" t="str">
        <f>IF(IFERROR(VLOOKUP(E33,מרכבה!A:K,4,0),"")=K33,"","no")</f>
        <v/>
      </c>
      <c r="I33" s="607">
        <f>IFERROR(VLOOKUP(D33,מרכבה!A:K,7,0),"")</f>
        <v>2025</v>
      </c>
      <c r="J33" s="607">
        <f>IFERROR(VLOOKUP(D33,מרכבה!A:K,5,0),"")</f>
        <v>40000564</v>
      </c>
      <c r="K33" s="607">
        <f>IFERROR(VLOOKUP(D33,מרכבה!A:K,4,0),"")</f>
        <v>580215333</v>
      </c>
      <c r="L33" s="607" t="str">
        <f>IFERROR(VLOOKUP(D33,מרכבה!A:K,6,0),"")</f>
        <v>עמותת הכוריאוגרפים (ע"ר)</v>
      </c>
      <c r="M33" s="607" t="str">
        <f>IFERROR(VLOOKUP(D33,מרכבה!A:K,2,0),"")</f>
        <v>איריס ארז-תמיכה ביוצרת עצמאית</v>
      </c>
      <c r="N33" s="609">
        <f>IFERROR(VLOOKUP(D33,מרכבה!A:K,8,0),"")</f>
        <v>295000</v>
      </c>
      <c r="O33" s="610">
        <f>IFERROR(VLOOKUP(E33,מרכבה!A:K,9,0),0)</f>
        <v>141036</v>
      </c>
      <c r="P33" s="611">
        <f>'הגבלה לסכום מבוקש (2)'!W33</f>
        <v>178616.29437415116</v>
      </c>
      <c r="Q33" s="612">
        <f t="shared" si="2"/>
        <v>0.26645887840091298</v>
      </c>
      <c r="R33" s="196">
        <f>'קיזוזים בגין איחורים'!F43</f>
        <v>0</v>
      </c>
      <c r="S33" s="197">
        <f>'קיזוזים- החלטות ועדה'!E43</f>
        <v>0</v>
      </c>
      <c r="T33" s="194"/>
      <c r="U33" s="193" t="s">
        <v>1044</v>
      </c>
    </row>
    <row r="34" spans="2:21" x14ac:dyDescent="0.25">
      <c r="B34" s="191" t="str">
        <f t="shared" si="0"/>
        <v/>
      </c>
      <c r="C34" s="192" t="str">
        <f>'הגבלה לסכום מבוקש (2)'!C34</f>
        <v/>
      </c>
      <c r="D34" s="613"/>
      <c r="E34" s="613"/>
      <c r="F34" s="614"/>
      <c r="G34" s="607" t="str">
        <f t="shared" si="1"/>
        <v/>
      </c>
      <c r="H34" s="608" t="str">
        <f>IF(IFERROR(VLOOKUP(E34,מרכבה!A:K,4,0),"")=K34,"","no")</f>
        <v/>
      </c>
      <c r="I34" s="607" t="str">
        <f>IFERROR(VLOOKUP(D34,מרכבה!A:K,7,0),"")</f>
        <v/>
      </c>
      <c r="J34" s="607" t="str">
        <f>IFERROR(VLOOKUP(D34,מרכבה!A:K,5,0),"")</f>
        <v/>
      </c>
      <c r="K34" s="607" t="str">
        <f>IFERROR(VLOOKUP(D34,מרכבה!A:K,4,0),"")</f>
        <v/>
      </c>
      <c r="L34" s="607" t="str">
        <f>IFERROR(VLOOKUP(D34,מרכבה!A:K,6,0),"")</f>
        <v/>
      </c>
      <c r="M34" s="607" t="str">
        <f>IFERROR(VLOOKUP(D34,מרכבה!A:K,2,0),"")</f>
        <v/>
      </c>
      <c r="N34" s="609" t="str">
        <f>IFERROR(VLOOKUP(D34,מרכבה!A:K,8,0),"")</f>
        <v/>
      </c>
      <c r="O34" s="610">
        <f>IFERROR(VLOOKUP(E34,מרכבה!A:K,9,0),0)</f>
        <v>0</v>
      </c>
      <c r="P34" s="611" t="str">
        <f>'הגבלה לסכום מבוקש (2)'!W34</f>
        <v/>
      </c>
      <c r="Q34" s="612" t="str">
        <f t="shared" si="2"/>
        <v/>
      </c>
      <c r="R34" s="196" t="str">
        <f>'קיזוזים בגין איחורים'!F44</f>
        <v/>
      </c>
      <c r="S34" s="197">
        <f>'קיזוזים- החלטות ועדה'!E44</f>
        <v>0</v>
      </c>
      <c r="T34" s="194"/>
      <c r="U34" s="193"/>
    </row>
    <row r="35" spans="2:21" ht="31.5" x14ac:dyDescent="0.25">
      <c r="B35" s="191">
        <f t="shared" si="0"/>
        <v>15</v>
      </c>
      <c r="C35" s="192" t="str">
        <f>'הגבלה לסכום מבוקש (2)'!C35</f>
        <v>ענבל אושמן</v>
      </c>
      <c r="D35" s="613">
        <v>1001827711</v>
      </c>
      <c r="E35" s="613">
        <v>1001735528</v>
      </c>
      <c r="F35" s="614">
        <v>2020</v>
      </c>
      <c r="G35" s="607">
        <f t="shared" si="1"/>
        <v>1</v>
      </c>
      <c r="H35" s="608" t="str">
        <f>IF(IFERROR(VLOOKUP(E35,מרכבה!A:K,4,0),"")=K35,"","no")</f>
        <v/>
      </c>
      <c r="I35" s="607">
        <f>IFERROR(VLOOKUP(D35,מרכבה!A:K,7,0),"")</f>
        <v>2025</v>
      </c>
      <c r="J35" s="607">
        <f>IFERROR(VLOOKUP(D35,מרכבה!A:K,5,0),"")</f>
        <v>40000564</v>
      </c>
      <c r="K35" s="607">
        <f>IFERROR(VLOOKUP(D35,מרכבה!A:K,4,0),"")</f>
        <v>580215333</v>
      </c>
      <c r="L35" s="607" t="str">
        <f>IFERROR(VLOOKUP(D35,מרכבה!A:K,6,0),"")</f>
        <v>עמותת הכוריאוגרפים (ע"ר)</v>
      </c>
      <c r="M35" s="607" t="str">
        <f>IFERROR(VLOOKUP(D35,מרכבה!A:K,2,0),"")</f>
        <v>ענבל אושמן - תמיכה ביוצרת עצמאית</v>
      </c>
      <c r="N35" s="609">
        <f>IFERROR(VLOOKUP(D35,מרכבה!A:K,8,0),"")</f>
        <v>295000</v>
      </c>
      <c r="O35" s="610">
        <f>IFERROR(VLOOKUP(E35,מרכבה!A:K,9,0),0)</f>
        <v>53042</v>
      </c>
      <c r="P35" s="611">
        <f>'הגבלה לסכום מבוקש (2)'!W35</f>
        <v>72687.542690752685</v>
      </c>
      <c r="Q35" s="612">
        <f t="shared" si="2"/>
        <v>0.37037711041726706</v>
      </c>
      <c r="R35" s="196">
        <f>'קיזוזים בגין איחורים'!F45</f>
        <v>0</v>
      </c>
      <c r="S35" s="197">
        <f>'קיזוזים- החלטות ועדה'!E45</f>
        <v>0</v>
      </c>
      <c r="T35" s="194"/>
      <c r="U35" s="193" t="s">
        <v>1044</v>
      </c>
    </row>
    <row r="36" spans="2:21" ht="31.5" x14ac:dyDescent="0.25">
      <c r="B36" s="191">
        <f t="shared" si="0"/>
        <v>16</v>
      </c>
      <c r="C36" s="192" t="str">
        <f>'הגבלה לסכום מבוקש (2)'!C36</f>
        <v>אנדריאה מרטיני</v>
      </c>
      <c r="D36" s="613">
        <v>1001827332</v>
      </c>
      <c r="E36" s="613">
        <v>1001735446</v>
      </c>
      <c r="F36" s="614">
        <v>2019</v>
      </c>
      <c r="G36" s="607">
        <f t="shared" si="1"/>
        <v>1</v>
      </c>
      <c r="H36" s="608" t="str">
        <f>IF(IFERROR(VLOOKUP(E36,מרכבה!A:K,4,0),"")=K36,"","no")</f>
        <v/>
      </c>
      <c r="I36" s="607">
        <f>IFERROR(VLOOKUP(D36,מרכבה!A:K,7,0),"")</f>
        <v>2025</v>
      </c>
      <c r="J36" s="607">
        <f>IFERROR(VLOOKUP(D36,מרכבה!A:K,5,0),"")</f>
        <v>40000564</v>
      </c>
      <c r="K36" s="607">
        <f>IFERROR(VLOOKUP(D36,מרכבה!A:K,4,0),"")</f>
        <v>580215333</v>
      </c>
      <c r="L36" s="607" t="str">
        <f>IFERROR(VLOOKUP(D36,מרכבה!A:K,6,0),"")</f>
        <v>עמותת הכוריאוגרפים (ע"ר)</v>
      </c>
      <c r="M36" s="607" t="str">
        <f>IFERROR(VLOOKUP(D36,מרכבה!A:K,2,0),"")</f>
        <v>אנדראה מרטיני-תמיכה ביוצר עצמאי</v>
      </c>
      <c r="N36" s="609">
        <f>IFERROR(VLOOKUP(D36,מרכבה!A:K,8,0),"")</f>
        <v>295000</v>
      </c>
      <c r="O36" s="610">
        <f>IFERROR(VLOOKUP(E36,מרכבה!A:K,9,0),0)</f>
        <v>93916</v>
      </c>
      <c r="P36" s="611">
        <f>'הגבלה לסכום מבוקש (2)'!W36</f>
        <v>88493.252872254612</v>
      </c>
      <c r="Q36" s="612">
        <f t="shared" si="2"/>
        <v>-5.7740397032937762E-2</v>
      </c>
      <c r="R36" s="196">
        <f>'קיזוזים בגין איחורים'!F46</f>
        <v>0</v>
      </c>
      <c r="S36" s="197">
        <f>'קיזוזים- החלטות ועדה'!E46</f>
        <v>0</v>
      </c>
      <c r="T36" s="194"/>
      <c r="U36" s="193" t="s">
        <v>1044</v>
      </c>
    </row>
    <row r="37" spans="2:21" ht="31.5" x14ac:dyDescent="0.25">
      <c r="B37" s="191">
        <f t="shared" si="0"/>
        <v>17</v>
      </c>
      <c r="C37" s="192" t="str">
        <f>'הגבלה לסכום מבוקש (2)'!C37</f>
        <v>אפרת רובין</v>
      </c>
      <c r="D37" s="613">
        <v>1001827333</v>
      </c>
      <c r="E37" s="613">
        <v>1001735447</v>
      </c>
      <c r="F37" s="614">
        <v>2019</v>
      </c>
      <c r="G37" s="607">
        <f t="shared" si="1"/>
        <v>1</v>
      </c>
      <c r="H37" s="608" t="str">
        <f>IF(IFERROR(VLOOKUP(E37,מרכבה!A:K,4,0),"")=K37,"","no")</f>
        <v/>
      </c>
      <c r="I37" s="607">
        <f>IFERROR(VLOOKUP(D37,מרכבה!A:K,7,0),"")</f>
        <v>2025</v>
      </c>
      <c r="J37" s="607">
        <f>IFERROR(VLOOKUP(D37,מרכבה!A:K,5,0),"")</f>
        <v>40000564</v>
      </c>
      <c r="K37" s="607">
        <f>IFERROR(VLOOKUP(D37,מרכבה!A:K,4,0),"")</f>
        <v>580215333</v>
      </c>
      <c r="L37" s="607" t="str">
        <f>IFERROR(VLOOKUP(D37,מרכבה!A:K,6,0),"")</f>
        <v>עמותת הכוריאוגרפים (ע"ר)</v>
      </c>
      <c r="M37" s="607" t="str">
        <f>IFERROR(VLOOKUP(D37,מרכבה!A:K,2,0),"")</f>
        <v>אפרת רובין-תמיכה ביוצרת עצמאית</v>
      </c>
      <c r="N37" s="609">
        <f>IFERROR(VLOOKUP(D37,מרכבה!A:K,8,0),"")</f>
        <v>295000</v>
      </c>
      <c r="O37" s="610">
        <f>IFERROR(VLOOKUP(E37,מרכבה!A:K,9,0),0)</f>
        <v>43708</v>
      </c>
      <c r="P37" s="611">
        <f>'הגבלה לסכום מבוקש (2)'!W37</f>
        <v>53850.49750944128</v>
      </c>
      <c r="Q37" s="612">
        <f t="shared" si="2"/>
        <v>0.23205128373389949</v>
      </c>
      <c r="R37" s="196">
        <f>'קיזוזים בגין איחורים'!F47</f>
        <v>0</v>
      </c>
      <c r="S37" s="197">
        <f>'קיזוזים- החלטות ועדה'!E47</f>
        <v>0</v>
      </c>
      <c r="T37" s="194"/>
      <c r="U37" s="193" t="s">
        <v>1044</v>
      </c>
    </row>
    <row r="38" spans="2:21" ht="31.5" x14ac:dyDescent="0.25">
      <c r="B38" s="191">
        <f t="shared" si="0"/>
        <v>18</v>
      </c>
      <c r="C38" s="192" t="str">
        <f>'הגבלה לסכום מבוקש (2)'!C38</f>
        <v>שרון צוקרמן</v>
      </c>
      <c r="D38" s="613">
        <v>1001827782</v>
      </c>
      <c r="E38" s="613">
        <v>1001735565</v>
      </c>
      <c r="F38" s="614">
        <v>2020</v>
      </c>
      <c r="G38" s="607">
        <f t="shared" si="1"/>
        <v>1</v>
      </c>
      <c r="H38" s="608" t="str">
        <f>IF(IFERROR(VLOOKUP(E38,מרכבה!A:K,4,0),"")=K38,"","no")</f>
        <v/>
      </c>
      <c r="I38" s="607">
        <f>IFERROR(VLOOKUP(D38,מרכבה!A:K,7,0),"")</f>
        <v>2025</v>
      </c>
      <c r="J38" s="607">
        <f>IFERROR(VLOOKUP(D38,מרכבה!A:K,5,0),"")</f>
        <v>40000564</v>
      </c>
      <c r="K38" s="607">
        <f>IFERROR(VLOOKUP(D38,מרכבה!A:K,4,0),"")</f>
        <v>580215333</v>
      </c>
      <c r="L38" s="607" t="str">
        <f>IFERROR(VLOOKUP(D38,מרכבה!A:K,6,0),"")</f>
        <v>עמותת הכוריאוגרפים (ע"ר)</v>
      </c>
      <c r="M38" s="607" t="str">
        <f>IFERROR(VLOOKUP(D38,מרכבה!A:K,2,0),"")</f>
        <v>שרון צוקרמן-תמיכה ביוצרת עצמאית</v>
      </c>
      <c r="N38" s="609">
        <f>IFERROR(VLOOKUP(D38,מרכבה!A:K,8,0),"")</f>
        <v>295000</v>
      </c>
      <c r="O38" s="610">
        <f>IFERROR(VLOOKUP(E38,מרכבה!A:K,9,0),0)</f>
        <v>44924</v>
      </c>
      <c r="P38" s="611">
        <f>'הגבלה לסכום מבוקש (2)'!W38</f>
        <v>57029.991314677958</v>
      </c>
      <c r="Q38" s="612">
        <f t="shared" si="2"/>
        <v>0.26947714617304697</v>
      </c>
      <c r="R38" s="196">
        <f>'קיזוזים בגין איחורים'!F48</f>
        <v>0</v>
      </c>
      <c r="S38" s="197">
        <f>'קיזוזים- החלטות ועדה'!E48</f>
        <v>0</v>
      </c>
      <c r="T38" s="194"/>
      <c r="U38" s="193" t="s">
        <v>1044</v>
      </c>
    </row>
    <row r="39" spans="2:21" ht="31.5" x14ac:dyDescent="0.25">
      <c r="B39" s="191">
        <f t="shared" si="0"/>
        <v>19</v>
      </c>
      <c r="C39" s="192" t="str">
        <f>'הגבלה לסכום מבוקש (2)'!C39</f>
        <v>בשמת נוסן</v>
      </c>
      <c r="D39" s="613">
        <v>1001827334</v>
      </c>
      <c r="E39" s="613">
        <v>1001735448</v>
      </c>
      <c r="F39" s="614">
        <v>2019</v>
      </c>
      <c r="G39" s="607">
        <f t="shared" si="1"/>
        <v>1</v>
      </c>
      <c r="H39" s="608" t="str">
        <f>IF(IFERROR(VLOOKUP(E39,מרכבה!A:K,4,0),"")=K39,"","no")</f>
        <v/>
      </c>
      <c r="I39" s="607">
        <f>IFERROR(VLOOKUP(D39,מרכבה!A:K,7,0),"")</f>
        <v>2025</v>
      </c>
      <c r="J39" s="607">
        <f>IFERROR(VLOOKUP(D39,מרכבה!A:K,5,0),"")</f>
        <v>40000564</v>
      </c>
      <c r="K39" s="607">
        <f>IFERROR(VLOOKUP(D39,מרכבה!A:K,4,0),"")</f>
        <v>580215333</v>
      </c>
      <c r="L39" s="607" t="str">
        <f>IFERROR(VLOOKUP(D39,מרכבה!A:K,6,0),"")</f>
        <v>עמותת הכוריאוגרפים (ע"ר)</v>
      </c>
      <c r="M39" s="607" t="str">
        <f>IFERROR(VLOOKUP(D39,מרכבה!A:K,2,0),"")</f>
        <v>בשמת נוסן - תמיכה ביוצרת עצמאית</v>
      </c>
      <c r="N39" s="609">
        <f>IFERROR(VLOOKUP(D39,מרכבה!A:K,8,0),"")</f>
        <v>295000</v>
      </c>
      <c r="O39" s="610">
        <f>IFERROR(VLOOKUP(E39,מרכבה!A:K,9,0),0)</f>
        <v>97446</v>
      </c>
      <c r="P39" s="611">
        <f>'הגבלה לסכום מבוקש (2)'!W39</f>
        <v>86004.11279195633</v>
      </c>
      <c r="Q39" s="612">
        <f t="shared" si="2"/>
        <v>-0.11741772066625278</v>
      </c>
      <c r="R39" s="196">
        <f>'קיזוזים בגין איחורים'!F49</f>
        <v>0</v>
      </c>
      <c r="S39" s="197">
        <f>'קיזוזים- החלטות ועדה'!E49</f>
        <v>0</v>
      </c>
      <c r="T39" s="194"/>
      <c r="U39" s="193" t="s">
        <v>1044</v>
      </c>
    </row>
    <row r="40" spans="2:21" ht="31.5" x14ac:dyDescent="0.25">
      <c r="B40" s="191">
        <f t="shared" si="0"/>
        <v>20</v>
      </c>
      <c r="C40" s="192" t="str">
        <f>'הגבלה לסכום מבוקש (2)'!C40</f>
        <v>גיל קרר</v>
      </c>
      <c r="D40" s="613">
        <v>1001827335</v>
      </c>
      <c r="E40" s="613">
        <v>1001735449</v>
      </c>
      <c r="F40" s="614">
        <v>2019</v>
      </c>
      <c r="G40" s="607">
        <f t="shared" si="1"/>
        <v>1</v>
      </c>
      <c r="H40" s="608" t="str">
        <f>IF(IFERROR(VLOOKUP(E40,מרכבה!A:K,4,0),"")=K40,"","no")</f>
        <v/>
      </c>
      <c r="I40" s="607">
        <f>IFERROR(VLOOKUP(D40,מרכבה!A:K,7,0),"")</f>
        <v>2025</v>
      </c>
      <c r="J40" s="607">
        <f>IFERROR(VLOOKUP(D40,מרכבה!A:K,5,0),"")</f>
        <v>40000564</v>
      </c>
      <c r="K40" s="607">
        <f>IFERROR(VLOOKUP(D40,מרכבה!A:K,4,0),"")</f>
        <v>580215333</v>
      </c>
      <c r="L40" s="607" t="str">
        <f>IFERROR(VLOOKUP(D40,מרכבה!A:K,6,0),"")</f>
        <v>עמותת הכוריאוגרפים (ע"ר)</v>
      </c>
      <c r="M40" s="607" t="str">
        <f>IFERROR(VLOOKUP(D40,מרכבה!A:K,2,0),"")</f>
        <v>גיל קרר - תמיכה ביוצר עצמאי</v>
      </c>
      <c r="N40" s="609">
        <f>IFERROR(VLOOKUP(D40,מרכבה!A:K,8,0),"")</f>
        <v>295000</v>
      </c>
      <c r="O40" s="610">
        <f>IFERROR(VLOOKUP(E40,מרכבה!A:K,9,0),0)</f>
        <v>100731</v>
      </c>
      <c r="P40" s="611">
        <f>'הגבלה לסכום מבוקש (2)'!W40</f>
        <v>113536.81610402501</v>
      </c>
      <c r="Q40" s="612">
        <f t="shared" si="2"/>
        <v>0.12712884915294209</v>
      </c>
      <c r="R40" s="196">
        <f>'קיזוזים בגין איחורים'!F50</f>
        <v>0</v>
      </c>
      <c r="S40" s="197">
        <f>'קיזוזים- החלטות ועדה'!E50</f>
        <v>0</v>
      </c>
      <c r="T40" s="194"/>
      <c r="U40" s="193" t="s">
        <v>1044</v>
      </c>
    </row>
    <row r="41" spans="2:21" ht="31.5" x14ac:dyDescent="0.25">
      <c r="B41" s="191">
        <f t="shared" si="0"/>
        <v>21</v>
      </c>
      <c r="C41" s="192" t="str">
        <f>'הגבלה לסכום מבוקש (2)'!C41</f>
        <v>דינה תלם</v>
      </c>
      <c r="D41" s="613">
        <v>1001827337</v>
      </c>
      <c r="E41" s="613">
        <v>1001735461</v>
      </c>
      <c r="F41" s="614">
        <v>2019</v>
      </c>
      <c r="G41" s="607">
        <f t="shared" si="1"/>
        <v>1</v>
      </c>
      <c r="H41" s="608" t="str">
        <f>IF(IFERROR(VLOOKUP(E41,מרכבה!A:K,4,0),"")=K41,"","no")</f>
        <v/>
      </c>
      <c r="I41" s="607">
        <f>IFERROR(VLOOKUP(D41,מרכבה!A:K,7,0),"")</f>
        <v>2025</v>
      </c>
      <c r="J41" s="607">
        <f>IFERROR(VLOOKUP(D41,מרכבה!A:K,5,0),"")</f>
        <v>40000564</v>
      </c>
      <c r="K41" s="607">
        <f>IFERROR(VLOOKUP(D41,מרכבה!A:K,4,0),"")</f>
        <v>580215333</v>
      </c>
      <c r="L41" s="607" t="str">
        <f>IFERROR(VLOOKUP(D41,מרכבה!A:K,6,0),"")</f>
        <v>עמותת הכוריאוגרפים (ע"ר)</v>
      </c>
      <c r="M41" s="607" t="str">
        <f>IFERROR(VLOOKUP(D41,מרכבה!A:K,2,0),"")</f>
        <v>דינה תלם-תמיכה ביוצרת עצמאית</v>
      </c>
      <c r="N41" s="609">
        <f>IFERROR(VLOOKUP(D41,מרכבה!A:K,8,0),"")</f>
        <v>295000</v>
      </c>
      <c r="O41" s="610">
        <f>IFERROR(VLOOKUP(E41,מרכבה!A:K,9,0),0)</f>
        <v>78965</v>
      </c>
      <c r="P41" s="611">
        <f>'הגבלה לסכום מבוקש (2)'!W41</f>
        <v>100979.4015680947</v>
      </c>
      <c r="Q41" s="612">
        <f t="shared" si="2"/>
        <v>0.27878682413847544</v>
      </c>
      <c r="R41" s="196">
        <f>'קיזוזים בגין איחורים'!F51</f>
        <v>0</v>
      </c>
      <c r="S41" s="197">
        <f>'קיזוזים- החלטות ועדה'!E51</f>
        <v>0</v>
      </c>
      <c r="T41" s="194"/>
      <c r="U41" s="193" t="s">
        <v>1044</v>
      </c>
    </row>
    <row r="42" spans="2:21" ht="31.5" x14ac:dyDescent="0.25">
      <c r="B42" s="191">
        <f t="shared" si="0"/>
        <v>22</v>
      </c>
      <c r="C42" s="192" t="str">
        <f>'הגבלה לסכום מבוקש (2)'!C42</f>
        <v>דנה יהלומי</v>
      </c>
      <c r="D42" s="613">
        <v>1001827339</v>
      </c>
      <c r="E42" s="613">
        <v>1001735463</v>
      </c>
      <c r="F42" s="614">
        <v>2020</v>
      </c>
      <c r="G42" s="607">
        <f t="shared" si="1"/>
        <v>1</v>
      </c>
      <c r="H42" s="608" t="str">
        <f>IF(IFERROR(VLOOKUP(E42,מרכבה!A:K,4,0),"")=K42,"","no")</f>
        <v/>
      </c>
      <c r="I42" s="607">
        <f>IFERROR(VLOOKUP(D42,מרכבה!A:K,7,0),"")</f>
        <v>2025</v>
      </c>
      <c r="J42" s="607">
        <f>IFERROR(VLOOKUP(D42,מרכבה!A:K,5,0),"")</f>
        <v>40000564</v>
      </c>
      <c r="K42" s="607">
        <f>IFERROR(VLOOKUP(D42,מרכבה!A:K,4,0),"")</f>
        <v>580215333</v>
      </c>
      <c r="L42" s="607" t="str">
        <f>IFERROR(VLOOKUP(D42,מרכבה!A:K,6,0),"")</f>
        <v>עמותת הכוריאוגרפים (ע"ר)</v>
      </c>
      <c r="M42" s="607" t="str">
        <f>IFERROR(VLOOKUP(D42,מרכבה!A:K,2,0),"")</f>
        <v>דנה יהלומי-תמיכה ביוצרת עצמאית</v>
      </c>
      <c r="N42" s="609">
        <f>IFERROR(VLOOKUP(D42,מרכבה!A:K,8,0),"")</f>
        <v>295000</v>
      </c>
      <c r="O42" s="610">
        <f>IFERROR(VLOOKUP(E42,מרכבה!A:K,9,0),0)</f>
        <v>128269</v>
      </c>
      <c r="P42" s="611">
        <f>'הגבלה לסכום מבוקש (2)'!W42</f>
        <v>110933.21754130146</v>
      </c>
      <c r="Q42" s="612">
        <f t="shared" si="2"/>
        <v>-0.13515177056575278</v>
      </c>
      <c r="R42" s="196">
        <f>'קיזוזים בגין איחורים'!F52</f>
        <v>0</v>
      </c>
      <c r="S42" s="197">
        <f>'קיזוזים- החלטות ועדה'!E52</f>
        <v>0</v>
      </c>
      <c r="T42" s="194"/>
      <c r="U42" s="193" t="s">
        <v>1044</v>
      </c>
    </row>
    <row r="43" spans="2:21" ht="31.5" x14ac:dyDescent="0.25">
      <c r="B43" s="191">
        <f t="shared" si="0"/>
        <v>23</v>
      </c>
      <c r="C43" s="192" t="str">
        <f>'הגבלה לסכום מבוקש (2)'!C43</f>
        <v>דנה רוטנברג</v>
      </c>
      <c r="D43" s="613">
        <v>1001827341</v>
      </c>
      <c r="E43" s="613">
        <v>1001735472</v>
      </c>
      <c r="F43" s="614">
        <v>2023</v>
      </c>
      <c r="G43" s="607">
        <f t="shared" si="1"/>
        <v>0</v>
      </c>
      <c r="H43" s="608" t="str">
        <f>IF(IFERROR(VLOOKUP(E43,מרכבה!A:K,4,0),"")=K43,"","no")</f>
        <v/>
      </c>
      <c r="I43" s="607">
        <f>IFERROR(VLOOKUP(D43,מרכבה!A:K,7,0),"")</f>
        <v>2025</v>
      </c>
      <c r="J43" s="607">
        <f>IFERROR(VLOOKUP(D43,מרכבה!A:K,5,0),"")</f>
        <v>40000564</v>
      </c>
      <c r="K43" s="607">
        <f>IFERROR(VLOOKUP(D43,מרכבה!A:K,4,0),"")</f>
        <v>580215333</v>
      </c>
      <c r="L43" s="607" t="str">
        <f>IFERROR(VLOOKUP(D43,מרכבה!A:K,6,0),"")</f>
        <v>עמותת הכוריאוגרפים (ע"ר)</v>
      </c>
      <c r="M43" s="607" t="str">
        <f>IFERROR(VLOOKUP(D43,מרכבה!A:K,2,0),"")</f>
        <v>דנה רוטנברג-תמיכה ביוצרת עצמאית</v>
      </c>
      <c r="N43" s="609">
        <f>IFERROR(VLOOKUP(D43,מרכבה!A:K,8,0),"")</f>
        <v>295000</v>
      </c>
      <c r="O43" s="610">
        <f>IFERROR(VLOOKUP(E43,מרכבה!A:K,9,0),0)</f>
        <v>75628</v>
      </c>
      <c r="P43" s="611">
        <f>'הגבלה לסכום מבוקש (2)'!W43</f>
        <v>109729.5788451051</v>
      </c>
      <c r="Q43" s="612">
        <f t="shared" si="2"/>
        <v>0.45091208077835065</v>
      </c>
      <c r="R43" s="196">
        <f>'קיזוזים בגין איחורים'!F53</f>
        <v>0</v>
      </c>
      <c r="S43" s="197">
        <f>'קיזוזים- החלטות ועדה'!E53</f>
        <v>0</v>
      </c>
      <c r="T43" s="194"/>
      <c r="U43" s="193" t="s">
        <v>1044</v>
      </c>
    </row>
    <row r="44" spans="2:21" ht="31.5" x14ac:dyDescent="0.25">
      <c r="B44" s="191">
        <f t="shared" si="0"/>
        <v>24</v>
      </c>
      <c r="C44" s="192" t="str">
        <f>'הגבלה לסכום מבוקש (2)'!C44</f>
        <v>דפי אלטבב</v>
      </c>
      <c r="D44" s="613">
        <v>1001827342</v>
      </c>
      <c r="E44" s="613">
        <v>1001735476</v>
      </c>
      <c r="F44" s="614">
        <v>2019</v>
      </c>
      <c r="G44" s="607">
        <f t="shared" si="1"/>
        <v>1</v>
      </c>
      <c r="H44" s="608" t="str">
        <f>IF(IFERROR(VLOOKUP(E44,מרכבה!A:K,4,0),"")=K44,"","no")</f>
        <v/>
      </c>
      <c r="I44" s="607">
        <f>IFERROR(VLOOKUP(D44,מרכבה!A:K,7,0),"")</f>
        <v>2025</v>
      </c>
      <c r="J44" s="607">
        <f>IFERROR(VLOOKUP(D44,מרכבה!A:K,5,0),"")</f>
        <v>40000564</v>
      </c>
      <c r="K44" s="607">
        <f>IFERROR(VLOOKUP(D44,מרכבה!A:K,4,0),"")</f>
        <v>580215333</v>
      </c>
      <c r="L44" s="607" t="str">
        <f>IFERROR(VLOOKUP(D44,מרכבה!A:K,6,0),"")</f>
        <v>עמותת הכוריאוגרפים (ע"ר)</v>
      </c>
      <c r="M44" s="607" t="str">
        <f>IFERROR(VLOOKUP(D44,מרכבה!A:K,2,0),"")</f>
        <v>דפי אלטבב-תמיכה ביוצרת עצמאית</v>
      </c>
      <c r="N44" s="609">
        <f>IFERROR(VLOOKUP(D44,מרכבה!A:K,8,0),"")</f>
        <v>295000</v>
      </c>
      <c r="O44" s="610">
        <f>IFERROR(VLOOKUP(E44,מרכבה!A:K,9,0),0)</f>
        <v>100469</v>
      </c>
      <c r="P44" s="611">
        <f>'הגבלה לסכום מבוקש (2)'!W44</f>
        <v>109025.45395516042</v>
      </c>
      <c r="Q44" s="612">
        <f t="shared" si="2"/>
        <v>8.5165115161496718E-2</v>
      </c>
      <c r="R44" s="196">
        <f>'קיזוזים בגין איחורים'!F54</f>
        <v>0</v>
      </c>
      <c r="S44" s="197">
        <f>'קיזוזים- החלטות ועדה'!E54</f>
        <v>0</v>
      </c>
      <c r="T44" s="194"/>
      <c r="U44" s="193" t="s">
        <v>1044</v>
      </c>
    </row>
    <row r="45" spans="2:21" ht="31.5" x14ac:dyDescent="0.25">
      <c r="B45" s="191">
        <f t="shared" si="0"/>
        <v>25</v>
      </c>
      <c r="C45" s="192" t="str">
        <f>'הגבלה לסכום מבוקש (2)'!C45</f>
        <v>הלל קוגן</v>
      </c>
      <c r="D45" s="613">
        <v>1001827343</v>
      </c>
      <c r="E45" s="613">
        <v>1001735478</v>
      </c>
      <c r="F45" s="614">
        <v>2023</v>
      </c>
      <c r="G45" s="607">
        <f t="shared" si="1"/>
        <v>0</v>
      </c>
      <c r="H45" s="608" t="str">
        <f>IF(IFERROR(VLOOKUP(E45,מרכבה!A:K,4,0),"")=K45,"","no")</f>
        <v/>
      </c>
      <c r="I45" s="607">
        <f>IFERROR(VLOOKUP(D45,מרכבה!A:K,7,0),"")</f>
        <v>2025</v>
      </c>
      <c r="J45" s="607">
        <f>IFERROR(VLOOKUP(D45,מרכבה!A:K,5,0),"")</f>
        <v>40000564</v>
      </c>
      <c r="K45" s="607">
        <f>IFERROR(VLOOKUP(D45,מרכבה!A:K,4,0),"")</f>
        <v>580215333</v>
      </c>
      <c r="L45" s="607" t="str">
        <f>IFERROR(VLOOKUP(D45,מרכבה!A:K,6,0),"")</f>
        <v>עמותת הכוריאוגרפים (ע"ר)</v>
      </c>
      <c r="M45" s="607" t="str">
        <f>IFERROR(VLOOKUP(D45,מרכבה!A:K,2,0),"")</f>
        <v>הלל קוגן-תמיכה ביוצר עצמאי</v>
      </c>
      <c r="N45" s="609">
        <f>IFERROR(VLOOKUP(D45,מרכבה!A:K,8,0),"")</f>
        <v>295000</v>
      </c>
      <c r="O45" s="610">
        <f>IFERROR(VLOOKUP(E45,מרכבה!A:K,9,0),0)</f>
        <v>84428</v>
      </c>
      <c r="P45" s="611">
        <f>'הגבלה לסכום מבוקש (2)'!W45</f>
        <v>112702.35206019653</v>
      </c>
      <c r="Q45" s="612">
        <f t="shared" si="2"/>
        <v>0.33489306936320329</v>
      </c>
      <c r="R45" s="196">
        <f>'קיזוזים בגין איחורים'!F55</f>
        <v>0</v>
      </c>
      <c r="S45" s="197">
        <f>'קיזוזים- החלטות ועדה'!E55</f>
        <v>0</v>
      </c>
      <c r="T45" s="194"/>
      <c r="U45" s="193" t="s">
        <v>1044</v>
      </c>
    </row>
    <row r="46" spans="2:21" ht="31.5" x14ac:dyDescent="0.25">
      <c r="B46" s="191">
        <f t="shared" si="0"/>
        <v>26</v>
      </c>
      <c r="C46" s="192" t="str">
        <f>'הגבלה לסכום מבוקש (2)'!C46</f>
        <v>אנאבל דביר</v>
      </c>
      <c r="D46" s="613">
        <v>1001827331</v>
      </c>
      <c r="E46" s="613">
        <v>1001735445</v>
      </c>
      <c r="F46" s="614">
        <v>2020</v>
      </c>
      <c r="G46" s="607">
        <f t="shared" si="1"/>
        <v>1</v>
      </c>
      <c r="H46" s="608" t="str">
        <f>IF(IFERROR(VLOOKUP(E46,מרכבה!A:K,4,0),"")=K46,"","no")</f>
        <v/>
      </c>
      <c r="I46" s="607">
        <f>IFERROR(VLOOKUP(D46,מרכבה!A:K,7,0),"")</f>
        <v>2025</v>
      </c>
      <c r="J46" s="607">
        <f>IFERROR(VLOOKUP(D46,מרכבה!A:K,5,0),"")</f>
        <v>40000564</v>
      </c>
      <c r="K46" s="607">
        <f>IFERROR(VLOOKUP(D46,מרכבה!A:K,4,0),"")</f>
        <v>580215333</v>
      </c>
      <c r="L46" s="607" t="str">
        <f>IFERROR(VLOOKUP(D46,מרכבה!A:K,6,0),"")</f>
        <v>עמותת הכוריאוגרפים (ע"ר)</v>
      </c>
      <c r="M46" s="607" t="str">
        <f>IFERROR(VLOOKUP(D46,מרכבה!A:K,2,0),"")</f>
        <v>אנאבל דביר-תמיכה ביוצרת עצמאית</v>
      </c>
      <c r="N46" s="609">
        <f>IFERROR(VLOOKUP(D46,מרכבה!A:K,8,0),"")</f>
        <v>295000</v>
      </c>
      <c r="O46" s="610">
        <f>IFERROR(VLOOKUP(E46,מרכבה!A:K,9,0),0)</f>
        <v>98208</v>
      </c>
      <c r="P46" s="611">
        <f>'הגבלה לסכום מבוקש (2)'!W46</f>
        <v>116980.91648142906</v>
      </c>
      <c r="Q46" s="612">
        <f t="shared" si="2"/>
        <v>0.19115465625436889</v>
      </c>
      <c r="R46" s="196">
        <f>'קיזוזים בגין איחורים'!F56</f>
        <v>0</v>
      </c>
      <c r="S46" s="197">
        <f>'קיזוזים- החלטות ועדה'!E56</f>
        <v>0</v>
      </c>
      <c r="T46" s="194"/>
      <c r="U46" s="193" t="s">
        <v>1044</v>
      </c>
    </row>
    <row r="47" spans="2:21" ht="31.5" x14ac:dyDescent="0.25">
      <c r="B47" s="191">
        <f t="shared" si="0"/>
        <v>27</v>
      </c>
      <c r="C47" s="192" t="str">
        <f>'הגבלה לסכום מבוקש (2)'!C47</f>
        <v>יוסי ברג ועודד גרף</v>
      </c>
      <c r="D47" s="613">
        <v>1001825689</v>
      </c>
      <c r="E47" s="613">
        <v>1001774239</v>
      </c>
      <c r="F47" s="614">
        <v>2019</v>
      </c>
      <c r="G47" s="607">
        <f t="shared" si="1"/>
        <v>1</v>
      </c>
      <c r="H47" s="608" t="str">
        <f>IF(IFERROR(VLOOKUP(E47,מרכבה!A:K,4,0),"")=K47,"","no")</f>
        <v/>
      </c>
      <c r="I47" s="607">
        <f>IFERROR(VLOOKUP(D47,מרכבה!A:K,7,0),"")</f>
        <v>2025</v>
      </c>
      <c r="J47" s="607">
        <f>IFERROR(VLOOKUP(D47,מרכבה!A:K,5,0),"")</f>
        <v>41489893</v>
      </c>
      <c r="K47" s="607">
        <f>IFERROR(VLOOKUP(D47,מרכבה!A:K,4,0),"")</f>
        <v>580632446</v>
      </c>
      <c r="L47" s="607" t="str">
        <f>IFERROR(VLOOKUP(D47,מרכבה!A:K,6,0),"")</f>
        <v>תיאטרון מחול יוסי ברג ועודד גרף (ע'</v>
      </c>
      <c r="M47" s="607" t="str">
        <f>IFERROR(VLOOKUP(D47,מרכבה!A:K,2,0),"")</f>
        <v>תמיכה שוטפת לשנת 2025 ללהקת מחול יוסי ב</v>
      </c>
      <c r="N47" s="609">
        <f>IFERROR(VLOOKUP(D47,מרכבה!A:K,8,0),"")</f>
        <v>400000</v>
      </c>
      <c r="O47" s="610">
        <f>IFERROR(VLOOKUP(E47,מרכבה!A:K,9,0),0)</f>
        <v>180005</v>
      </c>
      <c r="P47" s="611">
        <f>'הגבלה לסכום מבוקש (2)'!W47</f>
        <v>173067.58694812749</v>
      </c>
      <c r="Q47" s="612">
        <f t="shared" si="2"/>
        <v>-3.8540113062817793E-2</v>
      </c>
      <c r="R47" s="196">
        <f>'קיזוזים בגין איחורים'!F57</f>
        <v>0</v>
      </c>
      <c r="S47" s="197">
        <f>'קיזוזים- החלטות ועדה'!E57</f>
        <v>0</v>
      </c>
      <c r="T47" s="194"/>
      <c r="U47" s="193" t="s">
        <v>1044</v>
      </c>
    </row>
    <row r="48" spans="2:21" ht="31.5" x14ac:dyDescent="0.25">
      <c r="B48" s="191">
        <f t="shared" si="0"/>
        <v>28</v>
      </c>
      <c r="C48" s="192" t="str">
        <f>'הגבלה לסכום מבוקש (2)'!C48</f>
        <v>נדין בומר</v>
      </c>
      <c r="D48" s="613">
        <v>1001827668</v>
      </c>
      <c r="E48" s="613">
        <v>1001735509</v>
      </c>
      <c r="F48" s="614">
        <v>2019</v>
      </c>
      <c r="G48" s="607">
        <f t="shared" si="1"/>
        <v>1</v>
      </c>
      <c r="H48" s="608" t="str">
        <f>IF(IFERROR(VLOOKUP(E48,מרכבה!A:K,4,0),"")=K48,"","no")</f>
        <v/>
      </c>
      <c r="I48" s="607">
        <f>IFERROR(VLOOKUP(D48,מרכבה!A:K,7,0),"")</f>
        <v>2025</v>
      </c>
      <c r="J48" s="607">
        <f>IFERROR(VLOOKUP(D48,מרכבה!A:K,5,0),"")</f>
        <v>40000564</v>
      </c>
      <c r="K48" s="607">
        <f>IFERROR(VLOOKUP(D48,מרכבה!A:K,4,0),"")</f>
        <v>580215333</v>
      </c>
      <c r="L48" s="607" t="str">
        <f>IFERROR(VLOOKUP(D48,מרכבה!A:K,6,0),"")</f>
        <v>עמותת הכוריאוגרפים (ע"ר)</v>
      </c>
      <c r="M48" s="607" t="str">
        <f>IFERROR(VLOOKUP(D48,מרכבה!A:K,2,0),"")</f>
        <v>נדין בומר - תמיכה ביוצרת עצמאית</v>
      </c>
      <c r="N48" s="609">
        <f>IFERROR(VLOOKUP(D48,מרכבה!A:K,8,0),"")</f>
        <v>295000</v>
      </c>
      <c r="O48" s="610">
        <f>IFERROR(VLOOKUP(E48,מרכבה!A:K,9,0),0)</f>
        <v>102939</v>
      </c>
      <c r="P48" s="611">
        <f>'הגבלה לסכום מבוקש (2)'!W48</f>
        <v>103990.7616357467</v>
      </c>
      <c r="Q48" s="612">
        <f t="shared" si="2"/>
        <v>1.0217329056496638E-2</v>
      </c>
      <c r="R48" s="196">
        <f>'קיזוזים בגין איחורים'!F58</f>
        <v>0</v>
      </c>
      <c r="S48" s="197">
        <f>'קיזוזים- החלטות ועדה'!E58</f>
        <v>0</v>
      </c>
      <c r="T48" s="194"/>
      <c r="U48" s="193" t="s">
        <v>1044</v>
      </c>
    </row>
    <row r="49" spans="2:21" ht="31.5" x14ac:dyDescent="0.25">
      <c r="B49" s="191">
        <f t="shared" si="0"/>
        <v>29</v>
      </c>
      <c r="C49" s="192" t="str">
        <f>'הגבלה לסכום מבוקש (2)'!C49</f>
        <v xml:space="preserve">להקת בלט פאנוב </v>
      </c>
      <c r="D49" s="615">
        <v>1001836766</v>
      </c>
      <c r="E49" s="615">
        <v>1001776435</v>
      </c>
      <c r="F49" s="614">
        <v>2023</v>
      </c>
      <c r="G49" s="607">
        <f t="shared" si="1"/>
        <v>0</v>
      </c>
      <c r="H49" s="608" t="str">
        <f>IF(IFERROR(VLOOKUP(E49,מרכבה!A:K,4,0),"")=K49,"","no")</f>
        <v/>
      </c>
      <c r="I49" s="607">
        <f>IFERROR(VLOOKUP(D49,מרכבה!A:K,7,0),"")</f>
        <v>2025</v>
      </c>
      <c r="J49" s="607">
        <f>IFERROR(VLOOKUP(D49,מרכבה!A:K,5,0),"")</f>
        <v>40000291</v>
      </c>
      <c r="K49" s="607">
        <f>IFERROR(VLOOKUP(D49,מרכבה!A:K,4,0),"")</f>
        <v>511757114</v>
      </c>
      <c r="L49" s="607" t="str">
        <f>IFERROR(VLOOKUP(D49,מרכבה!A:K,6,0),"")</f>
        <v>החברה העירונית לתרבות, ספורט ומרכזי</v>
      </c>
      <c r="M49" s="607" t="str">
        <f>IFERROR(VLOOKUP(D49,מרכבה!A:K,2,0),"")</f>
        <v>פאנוב יוצרים 2025</v>
      </c>
      <c r="N49" s="609">
        <f>IFERROR(VLOOKUP(D49,מרכבה!A:K,8,0),"")</f>
        <v>800000</v>
      </c>
      <c r="O49" s="610">
        <f>IFERROR(VLOOKUP(E49,מרכבה!A:K,9,0),0)</f>
        <v>313447</v>
      </c>
      <c r="P49" s="611">
        <f>'הגבלה לסכום מבוקש (2)'!W49</f>
        <v>298202.27934444282</v>
      </c>
      <c r="Q49" s="612">
        <f t="shared" si="2"/>
        <v>-4.8635720410650563E-2</v>
      </c>
      <c r="R49" s="196">
        <f>'קיזוזים בגין איחורים'!F59</f>
        <v>0</v>
      </c>
      <c r="S49" s="197">
        <f>'קיזוזים- החלטות ועדה'!E59</f>
        <v>0</v>
      </c>
      <c r="T49" s="194"/>
      <c r="U49" s="193" t="s">
        <v>1044</v>
      </c>
    </row>
    <row r="50" spans="2:21" x14ac:dyDescent="0.25">
      <c r="B50" s="191" t="str">
        <f t="shared" si="0"/>
        <v/>
      </c>
      <c r="C50" s="192" t="str">
        <f>'הגבלה לסכום מבוקש (2)'!C50</f>
        <v/>
      </c>
      <c r="D50" s="613"/>
      <c r="E50" s="613"/>
      <c r="F50" s="614"/>
      <c r="G50" s="607" t="str">
        <f t="shared" si="1"/>
        <v/>
      </c>
      <c r="H50" s="608" t="str">
        <f>IF(IFERROR(VLOOKUP(E50,מרכבה!A:K,4,0),"")=K50,"","no")</f>
        <v/>
      </c>
      <c r="I50" s="607" t="str">
        <f>IFERROR(VLOOKUP(D50,מרכבה!A:K,7,0),"")</f>
        <v/>
      </c>
      <c r="J50" s="607" t="str">
        <f>IFERROR(VLOOKUP(D50,מרכבה!A:K,5,0),"")</f>
        <v/>
      </c>
      <c r="K50" s="607" t="str">
        <f>IFERROR(VLOOKUP(D50,מרכבה!A:K,4,0),"")</f>
        <v/>
      </c>
      <c r="L50" s="607" t="str">
        <f>IFERROR(VLOOKUP(D50,מרכבה!A:K,6,0),"")</f>
        <v/>
      </c>
      <c r="M50" s="607" t="str">
        <f>IFERROR(VLOOKUP(D50,מרכבה!A:K,2,0),"")</f>
        <v/>
      </c>
      <c r="N50" s="609" t="str">
        <f>IFERROR(VLOOKUP(D50,מרכבה!A:K,8,0),"")</f>
        <v/>
      </c>
      <c r="O50" s="610">
        <f>IFERROR(VLOOKUP(E50,מרכבה!A:K,9,0),0)</f>
        <v>0</v>
      </c>
      <c r="P50" s="611" t="str">
        <f>'הגבלה לסכום מבוקש (2)'!W50</f>
        <v/>
      </c>
      <c r="Q50" s="612" t="str">
        <f t="shared" si="2"/>
        <v/>
      </c>
      <c r="R50" s="196" t="str">
        <f>'קיזוזים בגין איחורים'!F60</f>
        <v/>
      </c>
      <c r="S50" s="197">
        <f>'קיזוזים- החלטות ועדה'!E60</f>
        <v>0</v>
      </c>
      <c r="T50" s="194"/>
      <c r="U50" s="193"/>
    </row>
    <row r="51" spans="2:21" x14ac:dyDescent="0.25">
      <c r="B51" s="191" t="str">
        <f t="shared" si="0"/>
        <v/>
      </c>
      <c r="C51" s="192" t="str">
        <f>'הגבלה לסכום מבוקש (2)'!C51</f>
        <v/>
      </c>
      <c r="D51" s="613"/>
      <c r="E51" s="613"/>
      <c r="F51" s="614"/>
      <c r="G51" s="607" t="str">
        <f t="shared" si="1"/>
        <v/>
      </c>
      <c r="H51" s="608" t="str">
        <f>IF(IFERROR(VLOOKUP(E51,מרכבה!A:K,4,0),"")=K51,"","no")</f>
        <v/>
      </c>
      <c r="I51" s="607" t="str">
        <f>IFERROR(VLOOKUP(D51,מרכבה!A:K,7,0),"")</f>
        <v/>
      </c>
      <c r="J51" s="607" t="str">
        <f>IFERROR(VLOOKUP(D51,מרכבה!A:K,5,0),"")</f>
        <v/>
      </c>
      <c r="K51" s="607" t="str">
        <f>IFERROR(VLOOKUP(D51,מרכבה!A:K,4,0),"")</f>
        <v/>
      </c>
      <c r="L51" s="607" t="str">
        <f>IFERROR(VLOOKUP(D51,מרכבה!A:K,6,0),"")</f>
        <v/>
      </c>
      <c r="M51" s="607" t="str">
        <f>IFERROR(VLOOKUP(D51,מרכבה!A:K,2,0),"")</f>
        <v/>
      </c>
      <c r="N51" s="609" t="str">
        <f>IFERROR(VLOOKUP(D51,מרכבה!A:K,8,0),"")</f>
        <v/>
      </c>
      <c r="O51" s="610">
        <f>IFERROR(VLOOKUP(E51,מרכבה!A:K,9,0),0)</f>
        <v>0</v>
      </c>
      <c r="P51" s="611" t="str">
        <f>'הגבלה לסכום מבוקש (2)'!W51</f>
        <v/>
      </c>
      <c r="Q51" s="612" t="str">
        <f t="shared" si="2"/>
        <v/>
      </c>
      <c r="R51" s="196" t="str">
        <f>'קיזוזים בגין איחורים'!F61</f>
        <v/>
      </c>
      <c r="S51" s="197">
        <f>'קיזוזים- החלטות ועדה'!E61</f>
        <v>0</v>
      </c>
      <c r="T51" s="194"/>
      <c r="U51" s="193"/>
    </row>
    <row r="52" spans="2:21" ht="31.5" x14ac:dyDescent="0.25">
      <c r="B52" s="191">
        <f t="shared" si="0"/>
        <v>32</v>
      </c>
      <c r="C52" s="192" t="str">
        <f>'הגבלה לסכום מבוקש (2)'!C52</f>
        <v>מיכל סממה</v>
      </c>
      <c r="D52" s="613">
        <v>1001827360</v>
      </c>
      <c r="E52" s="613">
        <v>1001735501</v>
      </c>
      <c r="F52" s="614">
        <v>2020</v>
      </c>
      <c r="G52" s="607">
        <f t="shared" si="1"/>
        <v>1</v>
      </c>
      <c r="H52" s="608" t="str">
        <f>IF(IFERROR(VLOOKUP(E52,מרכבה!A:K,4,0),"")=K52,"","no")</f>
        <v/>
      </c>
      <c r="I52" s="607">
        <f>IFERROR(VLOOKUP(D52,מרכבה!A:K,7,0),"")</f>
        <v>2025</v>
      </c>
      <c r="J52" s="607">
        <f>IFERROR(VLOOKUP(D52,מרכבה!A:K,5,0),"")</f>
        <v>40000564</v>
      </c>
      <c r="K52" s="607">
        <f>IFERROR(VLOOKUP(D52,מרכבה!A:K,4,0),"")</f>
        <v>580215333</v>
      </c>
      <c r="L52" s="607" t="str">
        <f>IFERROR(VLOOKUP(D52,מרכבה!A:K,6,0),"")</f>
        <v>עמותת הכוריאוגרפים (ע"ר)</v>
      </c>
      <c r="M52" s="607" t="str">
        <f>IFERROR(VLOOKUP(D52,מרכבה!A:K,2,0),"")</f>
        <v>מיכל סמאמה-תמיכה ביוצרת עצמאית</v>
      </c>
      <c r="N52" s="609">
        <f>IFERROR(VLOOKUP(D52,מרכבה!A:K,8,0),"")</f>
        <v>295000</v>
      </c>
      <c r="O52" s="610">
        <f>IFERROR(VLOOKUP(E52,מרכבה!A:K,9,0),0)</f>
        <v>56557</v>
      </c>
      <c r="P52" s="611">
        <f>'הגבלה לסכום מבוקש (2)'!W52</f>
        <v>57262.444126778537</v>
      </c>
      <c r="Q52" s="612">
        <f t="shared" si="2"/>
        <v>1.247315322203324E-2</v>
      </c>
      <c r="R52" s="196">
        <f>'קיזוזים בגין איחורים'!F62</f>
        <v>0</v>
      </c>
      <c r="S52" s="197">
        <f>'קיזוזים- החלטות ועדה'!E62</f>
        <v>0</v>
      </c>
      <c r="T52" s="194"/>
      <c r="U52" s="193" t="s">
        <v>1044</v>
      </c>
    </row>
    <row r="53" spans="2:21" ht="31.5" x14ac:dyDescent="0.25">
      <c r="B53" s="191">
        <f t="shared" si="0"/>
        <v>33</v>
      </c>
      <c r="C53" s="192" t="str">
        <f>'הגבלה לסכום מבוקש (2)'!C53</f>
        <v>מאיה ברינר</v>
      </c>
      <c r="D53" s="613">
        <v>1001827351</v>
      </c>
      <c r="E53" s="613">
        <v>1001735493</v>
      </c>
      <c r="F53" s="614">
        <v>2022</v>
      </c>
      <c r="G53" s="607">
        <f t="shared" si="1"/>
        <v>0</v>
      </c>
      <c r="H53" s="608" t="str">
        <f>IF(IFERROR(VLOOKUP(E53,מרכבה!A:K,4,0),"")=K53,"","no")</f>
        <v/>
      </c>
      <c r="I53" s="607">
        <f>IFERROR(VLOOKUP(D53,מרכבה!A:K,7,0),"")</f>
        <v>2025</v>
      </c>
      <c r="J53" s="607">
        <f>IFERROR(VLOOKUP(D53,מרכבה!A:K,5,0),"")</f>
        <v>40000564</v>
      </c>
      <c r="K53" s="607">
        <f>IFERROR(VLOOKUP(D53,מרכבה!A:K,4,0),"")</f>
        <v>580215333</v>
      </c>
      <c r="L53" s="607" t="str">
        <f>IFERROR(VLOOKUP(D53,מרכבה!A:K,6,0),"")</f>
        <v>עמותת הכוריאוגרפים (ע"ר)</v>
      </c>
      <c r="M53" s="607" t="str">
        <f>IFERROR(VLOOKUP(D53,מרכבה!A:K,2,0),"")</f>
        <v>מאיה ברינר-תמיכה ביוצרת עצמאית</v>
      </c>
      <c r="N53" s="609">
        <f>IFERROR(VLOOKUP(D53,מרכבה!A:K,8,0),"")</f>
        <v>295000</v>
      </c>
      <c r="O53" s="610">
        <f>IFERROR(VLOOKUP(E53,מרכבה!A:K,9,0),0)</f>
        <v>171075</v>
      </c>
      <c r="P53" s="611">
        <f>'הגבלה לסכום מבוקש (2)'!W53</f>
        <v>244337.08564938908</v>
      </c>
      <c r="Q53" s="612">
        <f t="shared" si="2"/>
        <v>0.42824542247195141</v>
      </c>
      <c r="R53" s="196">
        <f>'קיזוזים בגין איחורים'!F63</f>
        <v>0</v>
      </c>
      <c r="S53" s="197">
        <f>'קיזוזים- החלטות ועדה'!E63</f>
        <v>0</v>
      </c>
      <c r="T53" s="194"/>
      <c r="U53" s="193" t="s">
        <v>1044</v>
      </c>
    </row>
    <row r="54" spans="2:21" ht="31.5" x14ac:dyDescent="0.25">
      <c r="B54" s="191">
        <f t="shared" si="0"/>
        <v>34</v>
      </c>
      <c r="C54" s="192" t="str">
        <f>'הגבלה לסכום מבוקש (2)'!C54</f>
        <v>מאיה מכלל גלפנד</v>
      </c>
      <c r="D54" s="616">
        <v>1001827353</v>
      </c>
      <c r="E54" s="616">
        <v>1001735494</v>
      </c>
      <c r="F54" s="614">
        <v>2020</v>
      </c>
      <c r="G54" s="607">
        <f t="shared" si="1"/>
        <v>1</v>
      </c>
      <c r="H54" s="608" t="str">
        <f>IF(IFERROR(VLOOKUP(E54,מרכבה!A:K,4,0),"")=K54,"","no")</f>
        <v/>
      </c>
      <c r="I54" s="607">
        <f>IFERROR(VLOOKUP(D54,מרכבה!A:K,7,0),"")</f>
        <v>2025</v>
      </c>
      <c r="J54" s="607">
        <f>IFERROR(VLOOKUP(D54,מרכבה!A:K,5,0),"")</f>
        <v>40000564</v>
      </c>
      <c r="K54" s="607">
        <f>IFERROR(VLOOKUP(D54,מרכבה!A:K,4,0),"")</f>
        <v>580215333</v>
      </c>
      <c r="L54" s="607" t="str">
        <f>IFERROR(VLOOKUP(D54,מרכבה!A:K,6,0),"")</f>
        <v>עמותת הכוריאוגרפים (ע"ר)</v>
      </c>
      <c r="M54" s="607" t="str">
        <f>IFERROR(VLOOKUP(D54,מרכבה!A:K,2,0),"")</f>
        <v>מאיה מכלל גלפנד-תמיכה ביוצרת עצמאית</v>
      </c>
      <c r="N54" s="609">
        <f>IFERROR(VLOOKUP(D54,מרכבה!A:K,8,0),"")</f>
        <v>295000</v>
      </c>
      <c r="O54" s="610">
        <f>IFERROR(VLOOKUP(E54,מרכבה!A:K,9,0),0)</f>
        <v>39826</v>
      </c>
      <c r="P54" s="611">
        <f>'הגבלה לסכום מבוקש (2)'!W54</f>
        <v>47793.416642515163</v>
      </c>
      <c r="Q54" s="612">
        <f t="shared" si="2"/>
        <v>0.20005565817594451</v>
      </c>
      <c r="R54" s="196">
        <f>'קיזוזים בגין איחורים'!F64</f>
        <v>0</v>
      </c>
      <c r="S54" s="197">
        <f>'קיזוזים- החלטות ועדה'!E64</f>
        <v>0</v>
      </c>
      <c r="T54" s="194"/>
      <c r="U54" s="193" t="s">
        <v>1044</v>
      </c>
    </row>
    <row r="55" spans="2:21" ht="31.5" x14ac:dyDescent="0.25">
      <c r="B55" s="191">
        <f t="shared" si="0"/>
        <v>35</v>
      </c>
      <c r="C55" s="192" t="str">
        <f>'הגבלה לסכום מבוקש (2)'!C55</f>
        <v>מיה שטרן ותומר שרעבי</v>
      </c>
      <c r="D55" s="613">
        <v>1001827356</v>
      </c>
      <c r="E55" s="613">
        <v>1001735497</v>
      </c>
      <c r="F55" s="614">
        <v>2022</v>
      </c>
      <c r="G55" s="607">
        <f t="shared" si="1"/>
        <v>0</v>
      </c>
      <c r="H55" s="608" t="str">
        <f>IF(IFERROR(VLOOKUP(E55,מרכבה!A:K,4,0),"")=K55,"","no")</f>
        <v/>
      </c>
      <c r="I55" s="607">
        <f>IFERROR(VLOOKUP(D55,מרכבה!A:K,7,0),"")</f>
        <v>2025</v>
      </c>
      <c r="J55" s="607">
        <f>IFERROR(VLOOKUP(D55,מרכבה!A:K,5,0),"")</f>
        <v>40000564</v>
      </c>
      <c r="K55" s="607">
        <f>IFERROR(VLOOKUP(D55,מרכבה!A:K,4,0),"")</f>
        <v>580215333</v>
      </c>
      <c r="L55" s="607" t="str">
        <f>IFERROR(VLOOKUP(D55,מרכבה!A:K,6,0),"")</f>
        <v>עמותת הכוריאוגרפים (ע"ר)</v>
      </c>
      <c r="M55" s="607" t="str">
        <f>IFERROR(VLOOKUP(D55,מרכבה!A:K,2,0),"")</f>
        <v>מיה שטרן ותומר שרעבי-תמיכה ביוצרים עצמאי</v>
      </c>
      <c r="N55" s="609">
        <f>IFERROR(VLOOKUP(D55,מרכבה!A:K,8,0),"")</f>
        <v>295000</v>
      </c>
      <c r="O55" s="610">
        <f>IFERROR(VLOOKUP(E55,מרכבה!A:K,9,0),0)</f>
        <v>68651</v>
      </c>
      <c r="P55" s="611">
        <f>'הגבלה לסכום מבוקש (2)'!W55</f>
        <v>57779.60828246786</v>
      </c>
      <c r="Q55" s="612">
        <f t="shared" si="2"/>
        <v>-0.15835736868409989</v>
      </c>
      <c r="R55" s="196">
        <f>'קיזוזים בגין איחורים'!F65</f>
        <v>0</v>
      </c>
      <c r="S55" s="197">
        <f>'קיזוזים- החלטות ועדה'!E65</f>
        <v>0</v>
      </c>
      <c r="T55" s="194"/>
      <c r="U55" s="193" t="s">
        <v>1044</v>
      </c>
    </row>
    <row r="56" spans="2:21" ht="31.5" x14ac:dyDescent="0.25">
      <c r="B56" s="191">
        <f t="shared" si="0"/>
        <v>36</v>
      </c>
      <c r="C56" s="192" t="str">
        <f>'הגבלה לסכום מבוקש (2)'!C56</f>
        <v>מיכאל גטמן</v>
      </c>
      <c r="D56" s="613">
        <v>1001827357</v>
      </c>
      <c r="E56" s="613">
        <v>1001735498</v>
      </c>
      <c r="F56" s="614">
        <v>2022</v>
      </c>
      <c r="G56" s="607">
        <f t="shared" si="1"/>
        <v>0</v>
      </c>
      <c r="H56" s="608" t="str">
        <f>IF(IFERROR(VLOOKUP(E56,מרכבה!A:K,4,0),"")=K56,"","no")</f>
        <v/>
      </c>
      <c r="I56" s="607">
        <f>IFERROR(VLOOKUP(D56,מרכבה!A:K,7,0),"")</f>
        <v>2025</v>
      </c>
      <c r="J56" s="607">
        <f>IFERROR(VLOOKUP(D56,מרכבה!A:K,5,0),"")</f>
        <v>40000564</v>
      </c>
      <c r="K56" s="607">
        <f>IFERROR(VLOOKUP(D56,מרכבה!A:K,4,0),"")</f>
        <v>580215333</v>
      </c>
      <c r="L56" s="607" t="str">
        <f>IFERROR(VLOOKUP(D56,מרכבה!A:K,6,0),"")</f>
        <v>עמותת הכוריאוגרפים (ע"ר)</v>
      </c>
      <c r="M56" s="607" t="str">
        <f>IFERROR(VLOOKUP(D56,מרכבה!A:K,2,0),"")</f>
        <v>מיכאל גטמן-תמיכה ביוצר עצמאי</v>
      </c>
      <c r="N56" s="609">
        <f>IFERROR(VLOOKUP(D56,מרכבה!A:K,8,0),"")</f>
        <v>295000</v>
      </c>
      <c r="O56" s="610">
        <f>IFERROR(VLOOKUP(E56,מרכבה!A:K,9,0),0)</f>
        <v>112592</v>
      </c>
      <c r="P56" s="611">
        <f>'הגבלה לסכום מבוקש (2)'!W56</f>
        <v>121187.52481657032</v>
      </c>
      <c r="Q56" s="612">
        <f t="shared" si="2"/>
        <v>7.6342234053665692E-2</v>
      </c>
      <c r="R56" s="196">
        <f>'קיזוזים בגין איחורים'!F66</f>
        <v>0</v>
      </c>
      <c r="S56" s="197">
        <f>'קיזוזים- החלטות ועדה'!E66</f>
        <v>0</v>
      </c>
      <c r="T56" s="194"/>
      <c r="U56" s="193" t="s">
        <v>1044</v>
      </c>
    </row>
    <row r="57" spans="2:21" ht="31.5" x14ac:dyDescent="0.25">
      <c r="B57" s="191">
        <f t="shared" si="0"/>
        <v>37</v>
      </c>
      <c r="C57" s="192" t="str">
        <f>'הגבלה לסכום מבוקש (2)'!C57</f>
        <v>מיכל הרמן</v>
      </c>
      <c r="D57" s="613">
        <v>1001827359</v>
      </c>
      <c r="E57" s="613">
        <v>1001735500</v>
      </c>
      <c r="F57" s="614">
        <v>2023</v>
      </c>
      <c r="G57" s="607">
        <f t="shared" si="1"/>
        <v>0</v>
      </c>
      <c r="H57" s="608" t="str">
        <f>IF(IFERROR(VLOOKUP(E57,מרכבה!A:K,4,0),"")=K57,"","no")</f>
        <v/>
      </c>
      <c r="I57" s="607">
        <f>IFERROR(VLOOKUP(D57,מרכבה!A:K,7,0),"")</f>
        <v>2025</v>
      </c>
      <c r="J57" s="607">
        <f>IFERROR(VLOOKUP(D57,מרכבה!A:K,5,0),"")</f>
        <v>40000564</v>
      </c>
      <c r="K57" s="607">
        <f>IFERROR(VLOOKUP(D57,מרכבה!A:K,4,0),"")</f>
        <v>580215333</v>
      </c>
      <c r="L57" s="607" t="str">
        <f>IFERROR(VLOOKUP(D57,מרכבה!A:K,6,0),"")</f>
        <v>עמותת הכוריאוגרפים (ע"ר)</v>
      </c>
      <c r="M57" s="607" t="str">
        <f>IFERROR(VLOOKUP(D57,מרכבה!A:K,2,0),"")</f>
        <v>מיכל הרמן-תמיכה ביוצרת עצמאית</v>
      </c>
      <c r="N57" s="609">
        <f>IFERROR(VLOOKUP(D57,מרכבה!A:K,8,0),"")</f>
        <v>295000</v>
      </c>
      <c r="O57" s="610">
        <f>IFERROR(VLOOKUP(E57,מרכבה!A:K,9,0),0)</f>
        <v>50949</v>
      </c>
      <c r="P57" s="611">
        <f>'הגבלה לסכום מבוקש (2)'!W57</f>
        <v>47100.992027626424</v>
      </c>
      <c r="Q57" s="612">
        <f t="shared" si="2"/>
        <v>-7.552666337658398E-2</v>
      </c>
      <c r="R57" s="196">
        <f>'קיזוזים בגין איחורים'!F67</f>
        <v>0</v>
      </c>
      <c r="S57" s="197">
        <f>'קיזוזים- החלטות ועדה'!E67</f>
        <v>0</v>
      </c>
      <c r="T57" s="194"/>
      <c r="U57" s="193" t="s">
        <v>1044</v>
      </c>
    </row>
    <row r="58" spans="2:21" ht="31.5" x14ac:dyDescent="0.25">
      <c r="B58" s="191">
        <f t="shared" si="0"/>
        <v>38</v>
      </c>
      <c r="C58" s="192" t="str">
        <f>'הגבלה לסכום מבוקש (2)'!C58</f>
        <v>מירב דגן</v>
      </c>
      <c r="D58" s="613">
        <v>1001827362</v>
      </c>
      <c r="E58" s="613">
        <v>1001735503</v>
      </c>
      <c r="F58" s="614">
        <v>2019</v>
      </c>
      <c r="G58" s="607">
        <f t="shared" si="1"/>
        <v>1</v>
      </c>
      <c r="H58" s="608" t="str">
        <f>IF(IFERROR(VLOOKUP(E58,מרכבה!A:K,4,0),"")=K58,"","no")</f>
        <v/>
      </c>
      <c r="I58" s="607">
        <f>IFERROR(VLOOKUP(D58,מרכבה!A:K,7,0),"")</f>
        <v>2025</v>
      </c>
      <c r="J58" s="607">
        <f>IFERROR(VLOOKUP(D58,מרכבה!A:K,5,0),"")</f>
        <v>40000564</v>
      </c>
      <c r="K58" s="607">
        <f>IFERROR(VLOOKUP(D58,מרכבה!A:K,4,0),"")</f>
        <v>580215333</v>
      </c>
      <c r="L58" s="607" t="str">
        <f>IFERROR(VLOOKUP(D58,מרכבה!A:K,6,0),"")</f>
        <v>עמותת הכוריאוגרפים (ע"ר)</v>
      </c>
      <c r="M58" s="607" t="str">
        <f>IFERROR(VLOOKUP(D58,מרכבה!A:K,2,0),"")</f>
        <v>מירב דגן-תמיכה ביוצרת עצמאית</v>
      </c>
      <c r="N58" s="609">
        <f>IFERROR(VLOOKUP(D58,מרכבה!A:K,8,0),"")</f>
        <v>295000</v>
      </c>
      <c r="O58" s="610">
        <f>IFERROR(VLOOKUP(E58,מרכבה!A:K,9,0),0)</f>
        <v>64954</v>
      </c>
      <c r="P58" s="611">
        <f>'הגבלה לסכום מבוקש (2)'!W58</f>
        <v>76204.978424139204</v>
      </c>
      <c r="Q58" s="612">
        <f t="shared" si="2"/>
        <v>0.17321455836652411</v>
      </c>
      <c r="R58" s="196">
        <f>'קיזוזים בגין איחורים'!F68</f>
        <v>0</v>
      </c>
      <c r="S58" s="197">
        <f>'קיזוזים- החלטות ועדה'!E68</f>
        <v>0</v>
      </c>
      <c r="T58" s="194"/>
      <c r="U58" s="193" t="s">
        <v>1044</v>
      </c>
    </row>
    <row r="59" spans="2:21" x14ac:dyDescent="0.25">
      <c r="B59" s="191">
        <f t="shared" si="0"/>
        <v>39</v>
      </c>
      <c r="C59" s="192" t="str">
        <f>'הגבלה לסכום מבוקש (2)'!C59</f>
        <v>תמר לם ודיוויד קרן</v>
      </c>
      <c r="D59" s="613">
        <v>1001827787</v>
      </c>
      <c r="E59" s="613">
        <v>1001735569</v>
      </c>
      <c r="F59" s="614">
        <v>2020</v>
      </c>
      <c r="G59" s="607">
        <f t="shared" si="1"/>
        <v>1</v>
      </c>
      <c r="H59" s="608" t="str">
        <f>IF(IFERROR(VLOOKUP(E59,מרכבה!A:K,4,0),"")=K59,"","no")</f>
        <v/>
      </c>
      <c r="I59" s="607">
        <f>IFERROR(VLOOKUP(D59,מרכבה!A:K,7,0),"")</f>
        <v>2025</v>
      </c>
      <c r="J59" s="607">
        <f>IFERROR(VLOOKUP(D59,מרכבה!A:K,5,0),"")</f>
        <v>40000564</v>
      </c>
      <c r="K59" s="607">
        <f>IFERROR(VLOOKUP(D59,מרכבה!A:K,4,0),"")</f>
        <v>580215333</v>
      </c>
      <c r="L59" s="607" t="str">
        <f>IFERROR(VLOOKUP(D59,מרכבה!A:K,6,0),"")</f>
        <v>עמותת הכוריאוגרפים (ע"ר)</v>
      </c>
      <c r="M59" s="607" t="str">
        <f>IFERROR(VLOOKUP(D59,מרכבה!A:K,2,0),"")</f>
        <v>תמר לם ודיוויד קרן-תמיכה ביוצרים עצמאיים</v>
      </c>
      <c r="N59" s="609">
        <f>IFERROR(VLOOKUP(D59,מרכבה!A:K,8,0),"")</f>
        <v>295000</v>
      </c>
      <c r="O59" s="610">
        <f>IFERROR(VLOOKUP(E59,מרכבה!A:K,9,0),0)</f>
        <v>44329</v>
      </c>
      <c r="P59" s="611">
        <f>'הגבלה לסכום מבוקש (2)'!W59</f>
        <v>50172.318265900605</v>
      </c>
      <c r="Q59" s="612">
        <f t="shared" si="2"/>
        <v>0.13181705578516567</v>
      </c>
      <c r="R59" s="196">
        <f>'קיזוזים בגין איחורים'!F69</f>
        <v>0</v>
      </c>
      <c r="S59" s="197">
        <f>'קיזוזים- החלטות ועדה'!E69</f>
        <v>0</v>
      </c>
      <c r="T59" s="194"/>
      <c r="U59" s="193"/>
    </row>
    <row r="60" spans="2:21" ht="31.5" x14ac:dyDescent="0.25">
      <c r="B60" s="191">
        <f t="shared" si="0"/>
        <v>40</v>
      </c>
      <c r="C60" s="192" t="str">
        <f>'הגבלה לסכום מבוקש (2)'!C60</f>
        <v>סיגל ברגמן</v>
      </c>
      <c r="D60" s="613">
        <v>1001827703</v>
      </c>
      <c r="E60" s="613">
        <v>1001735521</v>
      </c>
      <c r="F60" s="614">
        <v>2020</v>
      </c>
      <c r="G60" s="607">
        <f t="shared" si="1"/>
        <v>1</v>
      </c>
      <c r="H60" s="608" t="str">
        <f>IF(IFERROR(VLOOKUP(E60,מרכבה!A:K,4,0),"")=K60,"","no")</f>
        <v/>
      </c>
      <c r="I60" s="607">
        <f>IFERROR(VLOOKUP(D60,מרכבה!A:K,7,0),"")</f>
        <v>2025</v>
      </c>
      <c r="J60" s="607">
        <f>IFERROR(VLOOKUP(D60,מרכבה!A:K,5,0),"")</f>
        <v>40000564</v>
      </c>
      <c r="K60" s="607">
        <f>IFERROR(VLOOKUP(D60,מרכבה!A:K,4,0),"")</f>
        <v>580215333</v>
      </c>
      <c r="L60" s="607" t="str">
        <f>IFERROR(VLOOKUP(D60,מרכבה!A:K,6,0),"")</f>
        <v>עמותת הכוריאוגרפים (ע"ר)</v>
      </c>
      <c r="M60" s="607" t="str">
        <f>IFERROR(VLOOKUP(D60,מרכבה!A:K,2,0),"")</f>
        <v>סיגל ברגמן - תמיכה ביוצרת עצמאית</v>
      </c>
      <c r="N60" s="609">
        <f>IFERROR(VLOOKUP(D60,מרכבה!A:K,8,0),"")</f>
        <v>295000</v>
      </c>
      <c r="O60" s="610">
        <f>IFERROR(VLOOKUP(E60,מרכבה!A:K,9,0),0)</f>
        <v>68033</v>
      </c>
      <c r="P60" s="611">
        <f>'הגבלה לסכום מבוקש (2)'!W60</f>
        <v>71654.83659769567</v>
      </c>
      <c r="Q60" s="612">
        <f t="shared" si="2"/>
        <v>5.3236467562736811E-2</v>
      </c>
      <c r="R60" s="196">
        <f>'קיזוזים בגין איחורים'!F70</f>
        <v>0</v>
      </c>
      <c r="S60" s="197">
        <f>'קיזוזים- החלטות ועדה'!E70</f>
        <v>0</v>
      </c>
      <c r="T60" s="194"/>
      <c r="U60" s="193" t="s">
        <v>1044</v>
      </c>
    </row>
    <row r="61" spans="2:21" ht="31.5" x14ac:dyDescent="0.25">
      <c r="B61" s="191">
        <f t="shared" si="0"/>
        <v>41</v>
      </c>
      <c r="C61" s="192" t="str">
        <f>'הגבלה לסכום מבוקש (2)'!C61</f>
        <v>מעין ליבמן שרון</v>
      </c>
      <c r="D61" s="613">
        <v>1001827369</v>
      </c>
      <c r="E61" s="613">
        <v>1001735507</v>
      </c>
      <c r="F61" s="614">
        <v>2019</v>
      </c>
      <c r="G61" s="607">
        <f t="shared" si="1"/>
        <v>1</v>
      </c>
      <c r="H61" s="608" t="str">
        <f>IF(IFERROR(VLOOKUP(E61,מרכבה!A:K,4,0),"")=K61,"","no")</f>
        <v/>
      </c>
      <c r="I61" s="607">
        <f>IFERROR(VLOOKUP(D61,מרכבה!A:K,7,0),"")</f>
        <v>2025</v>
      </c>
      <c r="J61" s="607">
        <f>IFERROR(VLOOKUP(D61,מרכבה!A:K,5,0),"")</f>
        <v>40000564</v>
      </c>
      <c r="K61" s="607">
        <f>IFERROR(VLOOKUP(D61,מרכבה!A:K,4,0),"")</f>
        <v>580215333</v>
      </c>
      <c r="L61" s="607" t="str">
        <f>IFERROR(VLOOKUP(D61,מרכבה!A:K,6,0),"")</f>
        <v>עמותת הכוריאוגרפים (ע"ר)</v>
      </c>
      <c r="M61" s="607" t="str">
        <f>IFERROR(VLOOKUP(D61,מרכבה!A:K,2,0),"")</f>
        <v>מעין ליבמן שרון-תמיכה ביוצרת עצמאית</v>
      </c>
      <c r="N61" s="609">
        <f>IFERROR(VLOOKUP(D61,מרכבה!A:K,8,0),"")</f>
        <v>295000</v>
      </c>
      <c r="O61" s="610">
        <f>IFERROR(VLOOKUP(E61,מרכבה!A:K,9,0),0)</f>
        <v>75145</v>
      </c>
      <c r="P61" s="611">
        <f>'הגבלה לסכום מבוקש (2)'!W61</f>
        <v>85780.744948069259</v>
      </c>
      <c r="Q61" s="612">
        <f t="shared" si="2"/>
        <v>0.14153629580237226</v>
      </c>
      <c r="R61" s="196">
        <f>'קיזוזים בגין איחורים'!F71</f>
        <v>0</v>
      </c>
      <c r="S61" s="197">
        <f>'קיזוזים- החלטות ועדה'!E71</f>
        <v>0</v>
      </c>
      <c r="T61" s="194"/>
      <c r="U61" s="193" t="s">
        <v>1044</v>
      </c>
    </row>
    <row r="62" spans="2:21" ht="31.5" x14ac:dyDescent="0.25">
      <c r="B62" s="191">
        <f t="shared" si="0"/>
        <v>42</v>
      </c>
      <c r="C62" s="192" t="str">
        <f>'הגבלה לסכום מבוקש (2)'!C62</f>
        <v>אודליה קופרברג</v>
      </c>
      <c r="D62" s="613">
        <v>1001827298</v>
      </c>
      <c r="E62" s="613">
        <v>1001735075</v>
      </c>
      <c r="F62" s="614">
        <v>2020</v>
      </c>
      <c r="G62" s="607">
        <f t="shared" si="1"/>
        <v>1</v>
      </c>
      <c r="H62" s="608" t="str">
        <f>IF(IFERROR(VLOOKUP(E62,מרכבה!A:K,4,0),"")=K62,"","no")</f>
        <v/>
      </c>
      <c r="I62" s="607">
        <f>IFERROR(VLOOKUP(D62,מרכבה!A:K,7,0),"")</f>
        <v>2025</v>
      </c>
      <c r="J62" s="607">
        <f>IFERROR(VLOOKUP(D62,מרכבה!A:K,5,0),"")</f>
        <v>40000564</v>
      </c>
      <c r="K62" s="607">
        <f>IFERROR(VLOOKUP(D62,מרכבה!A:K,4,0),"")</f>
        <v>580215333</v>
      </c>
      <c r="L62" s="607" t="str">
        <f>IFERROR(VLOOKUP(D62,מרכבה!A:K,6,0),"")</f>
        <v>עמותת הכוריאוגרפים (ע"ר)</v>
      </c>
      <c r="M62" s="607" t="str">
        <f>IFERROR(VLOOKUP(D62,מרכבה!A:K,2,0),"")</f>
        <v>אודליה קופרברג - תמיכה ביוצרת עצמאית</v>
      </c>
      <c r="N62" s="609">
        <f>IFERROR(VLOOKUP(D62,מרכבה!A:K,8,0),"")</f>
        <v>295000</v>
      </c>
      <c r="O62" s="610">
        <f>IFERROR(VLOOKUP(E62,מרכבה!A:K,9,0),0)</f>
        <v>50905</v>
      </c>
      <c r="P62" s="611">
        <f>'הגבלה לסכום מבוקש (2)'!W62</f>
        <v>54901.509227587936</v>
      </c>
      <c r="Q62" s="612">
        <f t="shared" si="2"/>
        <v>7.8509168600096935E-2</v>
      </c>
      <c r="R62" s="196">
        <f>'קיזוזים בגין איחורים'!F72</f>
        <v>0</v>
      </c>
      <c r="S62" s="197">
        <f>'קיזוזים- החלטות ועדה'!E72</f>
        <v>0</v>
      </c>
      <c r="T62" s="194"/>
      <c r="U62" s="193" t="s">
        <v>1044</v>
      </c>
    </row>
    <row r="63" spans="2:21" ht="31.5" x14ac:dyDescent="0.25">
      <c r="B63" s="191">
        <f t="shared" si="0"/>
        <v>43</v>
      </c>
      <c r="C63" s="192" t="str">
        <f>'הגבלה לסכום מבוקש (2)'!C63</f>
        <v>נועה צוק</v>
      </c>
      <c r="D63" s="613">
        <v>1001827688</v>
      </c>
      <c r="E63" s="613">
        <v>1001735515</v>
      </c>
      <c r="F63" s="614">
        <v>2019</v>
      </c>
      <c r="G63" s="607">
        <f t="shared" si="1"/>
        <v>1</v>
      </c>
      <c r="H63" s="608" t="str">
        <f>IF(IFERROR(VLOOKUP(E63,מרכבה!A:K,4,0),"")=K63,"","no")</f>
        <v/>
      </c>
      <c r="I63" s="607">
        <f>IFERROR(VLOOKUP(D63,מרכבה!A:K,7,0),"")</f>
        <v>2025</v>
      </c>
      <c r="J63" s="607">
        <f>IFERROR(VLOOKUP(D63,מרכבה!A:K,5,0),"")</f>
        <v>40000564</v>
      </c>
      <c r="K63" s="607">
        <f>IFERROR(VLOOKUP(D63,מרכבה!A:K,4,0),"")</f>
        <v>580215333</v>
      </c>
      <c r="L63" s="607" t="str">
        <f>IFERROR(VLOOKUP(D63,מרכבה!A:K,6,0),"")</f>
        <v>עמותת הכוריאוגרפים (ע"ר)</v>
      </c>
      <c r="M63" s="607" t="str">
        <f>IFERROR(VLOOKUP(D63,מרכבה!A:K,2,0),"")</f>
        <v>נעה צוק - תמיכה ביוצרת עצמאית</v>
      </c>
      <c r="N63" s="609">
        <f>IFERROR(VLOOKUP(D63,מרכבה!A:K,8,0),"")</f>
        <v>295000</v>
      </c>
      <c r="O63" s="610">
        <f>IFERROR(VLOOKUP(E63,מרכבה!A:K,9,0),0)</f>
        <v>67993</v>
      </c>
      <c r="P63" s="611">
        <f>'הגבלה לסכום מבוקש (2)'!W63</f>
        <v>87659.146440685232</v>
      </c>
      <c r="Q63" s="612">
        <f t="shared" si="2"/>
        <v>0.28923781037290941</v>
      </c>
      <c r="R63" s="196">
        <f>'קיזוזים בגין איחורים'!F73</f>
        <v>0</v>
      </c>
      <c r="S63" s="197">
        <f>'קיזוזים- החלטות ועדה'!E73</f>
        <v>0</v>
      </c>
      <c r="T63" s="194"/>
      <c r="U63" s="193" t="s">
        <v>1044</v>
      </c>
    </row>
    <row r="64" spans="2:21" ht="31.5" x14ac:dyDescent="0.25">
      <c r="B64" s="191">
        <f t="shared" si="0"/>
        <v>44</v>
      </c>
      <c r="C64" s="192" t="str">
        <f>'הגבלה לסכום מבוקש (2)'!C64</f>
        <v>נטע פולברמכר</v>
      </c>
      <c r="D64" s="613">
        <v>1001827680</v>
      </c>
      <c r="E64" s="613">
        <v>1001735511</v>
      </c>
      <c r="F64" s="614">
        <v>2019</v>
      </c>
      <c r="G64" s="607">
        <f t="shared" si="1"/>
        <v>1</v>
      </c>
      <c r="H64" s="608" t="str">
        <f>IF(IFERROR(VLOOKUP(E64,מרכבה!A:K,4,0),"")=K64,"","no")</f>
        <v/>
      </c>
      <c r="I64" s="607">
        <f>IFERROR(VLOOKUP(D64,מרכבה!A:K,7,0),"")</f>
        <v>2025</v>
      </c>
      <c r="J64" s="607">
        <f>IFERROR(VLOOKUP(D64,מרכבה!A:K,5,0),"")</f>
        <v>40000564</v>
      </c>
      <c r="K64" s="607">
        <f>IFERROR(VLOOKUP(D64,מרכבה!A:K,4,0),"")</f>
        <v>580215333</v>
      </c>
      <c r="L64" s="607" t="str">
        <f>IFERROR(VLOOKUP(D64,מרכבה!A:K,6,0),"")</f>
        <v>עמותת הכוריאוגרפים (ע"ר)</v>
      </c>
      <c r="M64" s="607" t="str">
        <f>IFERROR(VLOOKUP(D64,מרכבה!A:K,2,0),"")</f>
        <v>נטע פולברמכר - תמיכה ביוצרת עצמאית</v>
      </c>
      <c r="N64" s="609">
        <f>IFERROR(VLOOKUP(D64,מרכבה!A:K,8,0),"")</f>
        <v>295000</v>
      </c>
      <c r="O64" s="610">
        <f>IFERROR(VLOOKUP(E64,מרכבה!A:K,9,0),0)</f>
        <v>88721</v>
      </c>
      <c r="P64" s="611">
        <f>'הגבלה לסכום מבוקש (2)'!W64</f>
        <v>87692.594136023836</v>
      </c>
      <c r="Q64" s="612">
        <f t="shared" si="2"/>
        <v>-1.1591459338557542E-2</v>
      </c>
      <c r="R64" s="196">
        <f>'קיזוזים בגין איחורים'!F74</f>
        <v>0</v>
      </c>
      <c r="S64" s="197">
        <f>'קיזוזים- החלטות ועדה'!E74</f>
        <v>0</v>
      </c>
      <c r="T64" s="194"/>
      <c r="U64" s="193" t="s">
        <v>1044</v>
      </c>
    </row>
    <row r="65" spans="2:21" ht="31.5" x14ac:dyDescent="0.25">
      <c r="B65" s="191">
        <f t="shared" si="0"/>
        <v>45</v>
      </c>
      <c r="C65" s="192" t="str">
        <f>'הגבלה לסכום מבוקש (2)'!C65</f>
        <v>ניב שינפלד ואורן לאור</v>
      </c>
      <c r="D65" s="613">
        <v>1001829548</v>
      </c>
      <c r="E65" s="613">
        <v>1001722728</v>
      </c>
      <c r="F65" s="614">
        <v>2022</v>
      </c>
      <c r="G65" s="607">
        <f t="shared" si="1"/>
        <v>0</v>
      </c>
      <c r="H65" s="608" t="str">
        <f>IF(IFERROR(VLOOKUP(E65,מרכבה!A:K,4,0),"")=K65,"","no")</f>
        <v/>
      </c>
      <c r="I65" s="607">
        <f>IFERROR(VLOOKUP(D65,מרכבה!A:K,7,0),"")</f>
        <v>2025</v>
      </c>
      <c r="J65" s="607">
        <f>IFERROR(VLOOKUP(D65,מרכבה!A:K,5,0),"")</f>
        <v>41489885</v>
      </c>
      <c r="K65" s="607">
        <f>IFERROR(VLOOKUP(D65,מרכבה!A:K,4,0),"")</f>
        <v>580632479</v>
      </c>
      <c r="L65" s="607" t="str">
        <f>IFERROR(VLOOKUP(D65,מרכבה!A:K,6,0),"")</f>
        <v>עמותה למחול ואמנויות ניב שינפלד ואו</v>
      </c>
      <c r="M65" s="607" t="str">
        <f>IFERROR(VLOOKUP(D65,מרכבה!A:K,2,0),"")</f>
        <v>תמיכה ביוצרים ניב שינפלד ואורן לאור</v>
      </c>
      <c r="N65" s="609">
        <f>IFERROR(VLOOKUP(D65,מרכבה!A:K,8,0),"")</f>
        <v>360000</v>
      </c>
      <c r="O65" s="610">
        <f>IFERROR(VLOOKUP(E65,מרכבה!A:K,9,0),0)</f>
        <v>219130</v>
      </c>
      <c r="P65" s="611">
        <f>'הגבלה לסכום מבוקש (2)'!W65</f>
        <v>230514.79311682351</v>
      </c>
      <c r="Q65" s="612">
        <f t="shared" si="2"/>
        <v>5.1954516117480587E-2</v>
      </c>
      <c r="R65" s="196">
        <f>'קיזוזים בגין איחורים'!F75</f>
        <v>0</v>
      </c>
      <c r="S65" s="197">
        <f>'קיזוזים- החלטות ועדה'!E75</f>
        <v>0</v>
      </c>
      <c r="T65" s="194"/>
      <c r="U65" s="193" t="s">
        <v>1044</v>
      </c>
    </row>
    <row r="66" spans="2:21" ht="31.5" x14ac:dyDescent="0.25">
      <c r="B66" s="191">
        <f t="shared" si="0"/>
        <v>46</v>
      </c>
      <c r="C66" s="192" t="str">
        <f>'הגבלה לסכום מבוקש (2)'!C66</f>
        <v>נימה יעקובי</v>
      </c>
      <c r="D66" s="613">
        <v>1001827684</v>
      </c>
      <c r="E66" s="613">
        <v>1001735512</v>
      </c>
      <c r="F66" s="614">
        <v>2019</v>
      </c>
      <c r="G66" s="607">
        <f t="shared" si="1"/>
        <v>1</v>
      </c>
      <c r="H66" s="608" t="str">
        <f>IF(IFERROR(VLOOKUP(E66,מרכבה!A:K,4,0),"")=K66,"","no")</f>
        <v/>
      </c>
      <c r="I66" s="607">
        <f>IFERROR(VLOOKUP(D66,מרכבה!A:K,7,0),"")</f>
        <v>2025</v>
      </c>
      <c r="J66" s="607">
        <f>IFERROR(VLOOKUP(D66,מרכבה!A:K,5,0),"")</f>
        <v>40000564</v>
      </c>
      <c r="K66" s="607">
        <f>IFERROR(VLOOKUP(D66,מרכבה!A:K,4,0),"")</f>
        <v>580215333</v>
      </c>
      <c r="L66" s="607" t="str">
        <f>IFERROR(VLOOKUP(D66,מרכבה!A:K,6,0),"")</f>
        <v>עמותת הכוריאוגרפים (ע"ר)</v>
      </c>
      <c r="M66" s="607" t="str">
        <f>IFERROR(VLOOKUP(D66,מרכבה!A:K,2,0),"")</f>
        <v>נימה יעקובי - תמיכה ביוצרת עצמאית</v>
      </c>
      <c r="N66" s="609">
        <f>IFERROR(VLOOKUP(D66,מרכבה!A:K,8,0),"")</f>
        <v>295000</v>
      </c>
      <c r="O66" s="610">
        <f>IFERROR(VLOOKUP(E66,מרכבה!A:K,9,0),0)</f>
        <v>147533</v>
      </c>
      <c r="P66" s="611">
        <f>'הגבלה לסכום מבוקש (2)'!W66</f>
        <v>177627.2408311023</v>
      </c>
      <c r="Q66" s="612">
        <f t="shared" si="2"/>
        <v>0.20398311449711115</v>
      </c>
      <c r="R66" s="196">
        <f>'קיזוזים בגין איחורים'!F76</f>
        <v>0</v>
      </c>
      <c r="S66" s="197">
        <f>'קיזוזים- החלטות ועדה'!E76</f>
        <v>0</v>
      </c>
      <c r="T66" s="194"/>
      <c r="U66" s="193" t="s">
        <v>1044</v>
      </c>
    </row>
    <row r="67" spans="2:21" ht="31.5" x14ac:dyDescent="0.25">
      <c r="B67" s="191">
        <f t="shared" si="0"/>
        <v>47</v>
      </c>
      <c r="C67" s="192" t="str">
        <f>'הגבלה לסכום מבוקש (2)'!C67</f>
        <v>נמרוד פריד</v>
      </c>
      <c r="D67" s="613">
        <v>1001827685</v>
      </c>
      <c r="E67" s="613">
        <v>1001735513</v>
      </c>
      <c r="F67" s="614">
        <v>2022</v>
      </c>
      <c r="G67" s="607">
        <f t="shared" si="1"/>
        <v>0</v>
      </c>
      <c r="H67" s="608" t="str">
        <f>IF(IFERROR(VLOOKUP(E67,מרכבה!A:K,4,0),"")=K67,"","no")</f>
        <v/>
      </c>
      <c r="I67" s="607">
        <f>IFERROR(VLOOKUP(D67,מרכבה!A:K,7,0),"")</f>
        <v>2025</v>
      </c>
      <c r="J67" s="607">
        <f>IFERROR(VLOOKUP(D67,מרכבה!A:K,5,0),"")</f>
        <v>40000564</v>
      </c>
      <c r="K67" s="607">
        <f>IFERROR(VLOOKUP(D67,מרכבה!A:K,4,0),"")</f>
        <v>580215333</v>
      </c>
      <c r="L67" s="607" t="str">
        <f>IFERROR(VLOOKUP(D67,מרכבה!A:K,6,0),"")</f>
        <v>עמותת הכוריאוגרפים (ע"ר)</v>
      </c>
      <c r="M67" s="607" t="str">
        <f>IFERROR(VLOOKUP(D67,מרכבה!A:K,2,0),"")</f>
        <v>נמרוד פריד- תמיכה ביוצר עצמאי</v>
      </c>
      <c r="N67" s="609">
        <f>IFERROR(VLOOKUP(D67,מרכבה!A:K,8,0),"")</f>
        <v>295000</v>
      </c>
      <c r="O67" s="610">
        <f>IFERROR(VLOOKUP(E67,מרכבה!A:K,9,0),0)</f>
        <v>61023</v>
      </c>
      <c r="P67" s="611">
        <f>'הגבלה לסכום מבוקש (2)'!W67</f>
        <v>57317.825615401831</v>
      </c>
      <c r="Q67" s="612">
        <f t="shared" si="2"/>
        <v>-6.0717670134181723E-2</v>
      </c>
      <c r="R67" s="196">
        <f>'קיזוזים בגין איחורים'!F77</f>
        <v>0</v>
      </c>
      <c r="S67" s="197">
        <f>'קיזוזים- החלטות ועדה'!E77</f>
        <v>0</v>
      </c>
      <c r="T67" s="194"/>
      <c r="U67" s="193" t="s">
        <v>1044</v>
      </c>
    </row>
    <row r="68" spans="2:21" ht="31.5" x14ac:dyDescent="0.25">
      <c r="B68" s="191">
        <f t="shared" si="0"/>
        <v>48</v>
      </c>
      <c r="C68" s="192" t="str">
        <f>'הגבלה לסכום מבוקש (2)'!C68</f>
        <v>נעה דר</v>
      </c>
      <c r="D68" s="613">
        <v>1001827686</v>
      </c>
      <c r="E68" s="613">
        <v>1001735514</v>
      </c>
      <c r="F68" s="614">
        <v>2022</v>
      </c>
      <c r="G68" s="607">
        <f t="shared" si="1"/>
        <v>0</v>
      </c>
      <c r="H68" s="608" t="str">
        <f>IF(IFERROR(VLOOKUP(E68,מרכבה!A:K,4,0),"")=K68,"","no")</f>
        <v/>
      </c>
      <c r="I68" s="607">
        <f>IFERROR(VLOOKUP(D68,מרכבה!A:K,7,0),"")</f>
        <v>2025</v>
      </c>
      <c r="J68" s="607">
        <f>IFERROR(VLOOKUP(D68,מרכבה!A:K,5,0),"")</f>
        <v>40000564</v>
      </c>
      <c r="K68" s="607">
        <f>IFERROR(VLOOKUP(D68,מרכבה!A:K,4,0),"")</f>
        <v>580215333</v>
      </c>
      <c r="L68" s="607" t="str">
        <f>IFERROR(VLOOKUP(D68,מרכבה!A:K,6,0),"")</f>
        <v>עמותת הכוריאוגרפים (ע"ר)</v>
      </c>
      <c r="M68" s="607" t="str">
        <f>IFERROR(VLOOKUP(D68,מרכבה!A:K,2,0),"")</f>
        <v>נעה דר - תמיכה ביוצרת עצמאית</v>
      </c>
      <c r="N68" s="609">
        <f>IFERROR(VLOOKUP(D68,מרכבה!A:K,8,0),"")</f>
        <v>295000</v>
      </c>
      <c r="O68" s="610">
        <f>IFERROR(VLOOKUP(E68,מרכבה!A:K,9,0),0)</f>
        <v>120357</v>
      </c>
      <c r="P68" s="611">
        <f>'הגבלה לסכום מבוקש (2)'!W68</f>
        <v>108324.59493064167</v>
      </c>
      <c r="Q68" s="612">
        <f t="shared" si="2"/>
        <v>-9.9972623689177365E-2</v>
      </c>
      <c r="R68" s="196">
        <f>'קיזוזים בגין איחורים'!F78</f>
        <v>0</v>
      </c>
      <c r="S68" s="197">
        <f>'קיזוזים- החלטות ועדה'!E78</f>
        <v>0</v>
      </c>
      <c r="T68" s="194"/>
      <c r="U68" s="193" t="s">
        <v>1044</v>
      </c>
    </row>
    <row r="69" spans="2:21" ht="31.5" x14ac:dyDescent="0.25">
      <c r="B69" s="191">
        <f t="shared" si="0"/>
        <v>49</v>
      </c>
      <c r="C69" s="192" t="str">
        <f>'הגבלה לסכום מבוקש (2)'!C69</f>
        <v>נעה שדור</v>
      </c>
      <c r="D69" s="613">
        <v>1001827700</v>
      </c>
      <c r="E69" s="613">
        <v>1001735516</v>
      </c>
      <c r="F69" s="614">
        <v>2022</v>
      </c>
      <c r="G69" s="607">
        <f t="shared" si="1"/>
        <v>0</v>
      </c>
      <c r="H69" s="608" t="str">
        <f>IF(IFERROR(VLOOKUP(E69,מרכבה!A:K,4,0),"")=K69,"","no")</f>
        <v/>
      </c>
      <c r="I69" s="607">
        <f>IFERROR(VLOOKUP(D69,מרכבה!A:K,7,0),"")</f>
        <v>2025</v>
      </c>
      <c r="J69" s="607">
        <f>IFERROR(VLOOKUP(D69,מרכבה!A:K,5,0),"")</f>
        <v>40000564</v>
      </c>
      <c r="K69" s="607">
        <f>IFERROR(VLOOKUP(D69,מרכבה!A:K,4,0),"")</f>
        <v>580215333</v>
      </c>
      <c r="L69" s="607" t="str">
        <f>IFERROR(VLOOKUP(D69,מרכבה!A:K,6,0),"")</f>
        <v>עמותת הכוריאוגרפים (ע"ר)</v>
      </c>
      <c r="M69" s="607" t="str">
        <f>IFERROR(VLOOKUP(D69,מרכבה!A:K,2,0),"")</f>
        <v>נעה שדור - תמיכה ביוצרת עצמאית</v>
      </c>
      <c r="N69" s="609">
        <f>IFERROR(VLOOKUP(D69,מרכבה!A:K,8,0),"")</f>
        <v>295000</v>
      </c>
      <c r="O69" s="610">
        <f>IFERROR(VLOOKUP(E69,מרכבה!A:K,9,0),0)</f>
        <v>39601</v>
      </c>
      <c r="P69" s="611">
        <f>'הגבלה לסכום מבוקש (2)'!W69</f>
        <v>45664.255160527464</v>
      </c>
      <c r="Q69" s="612">
        <f t="shared" si="2"/>
        <v>0.15310863767398453</v>
      </c>
      <c r="R69" s="196">
        <f>'קיזוזים בגין איחורים'!F79</f>
        <v>0</v>
      </c>
      <c r="S69" s="197">
        <f>'קיזוזים- החלטות ועדה'!E79</f>
        <v>0</v>
      </c>
      <c r="T69" s="194"/>
      <c r="U69" s="193" t="s">
        <v>1044</v>
      </c>
    </row>
    <row r="70" spans="2:21" ht="31.5" x14ac:dyDescent="0.25">
      <c r="B70" s="191">
        <f t="shared" si="0"/>
        <v>50</v>
      </c>
      <c r="C70" s="192" t="str">
        <f>'הגבלה לסכום מבוקש (2)'!C70</f>
        <v>סאלי אן פרילנד</v>
      </c>
      <c r="D70" s="613">
        <v>1001827701</v>
      </c>
      <c r="E70" s="613">
        <v>1001735517</v>
      </c>
      <c r="F70" s="614">
        <v>2022</v>
      </c>
      <c r="G70" s="607">
        <f t="shared" si="1"/>
        <v>0</v>
      </c>
      <c r="H70" s="608" t="str">
        <f>IF(IFERROR(VLOOKUP(E70,מרכבה!A:K,4,0),"")=K70,"","no")</f>
        <v/>
      </c>
      <c r="I70" s="607">
        <f>IFERROR(VLOOKUP(D70,מרכבה!A:K,7,0),"")</f>
        <v>2025</v>
      </c>
      <c r="J70" s="607">
        <f>IFERROR(VLOOKUP(D70,מרכבה!A:K,5,0),"")</f>
        <v>40000564</v>
      </c>
      <c r="K70" s="607">
        <f>IFERROR(VLOOKUP(D70,מרכבה!A:K,4,0),"")</f>
        <v>580215333</v>
      </c>
      <c r="L70" s="607" t="str">
        <f>IFERROR(VLOOKUP(D70,מרכבה!A:K,6,0),"")</f>
        <v>עמותת הכוריאוגרפים (ע"ר)</v>
      </c>
      <c r="M70" s="607" t="str">
        <f>IFERROR(VLOOKUP(D70,מרכבה!A:K,2,0),"")</f>
        <v>סאלי אן פרידלנד-תמיכה ביוצרת עצמאית</v>
      </c>
      <c r="N70" s="609">
        <f>IFERROR(VLOOKUP(D70,מרכבה!A:K,8,0),"")</f>
        <v>295000</v>
      </c>
      <c r="O70" s="610">
        <f>IFERROR(VLOOKUP(E70,מרכבה!A:K,9,0),0)</f>
        <v>63942</v>
      </c>
      <c r="P70" s="611">
        <f>'הגבלה לסכום מבוקש (2)'!W70</f>
        <v>57408.2809188467</v>
      </c>
      <c r="Q70" s="612">
        <f t="shared" si="2"/>
        <v>-0.10218196304703164</v>
      </c>
      <c r="R70" s="196">
        <f>'קיזוזים בגין איחורים'!F80</f>
        <v>0</v>
      </c>
      <c r="S70" s="197">
        <f>'קיזוזים- החלטות ועדה'!E80</f>
        <v>0</v>
      </c>
      <c r="T70" s="194"/>
      <c r="U70" s="193" t="s">
        <v>1044</v>
      </c>
    </row>
    <row r="71" spans="2:21" ht="31.5" x14ac:dyDescent="0.25">
      <c r="B71" s="191">
        <f t="shared" si="0"/>
        <v>51</v>
      </c>
      <c r="C71" s="192" t="str">
        <f>'הגבלה לסכום מבוקש (2)'!C71</f>
        <v>סהר עזימי</v>
      </c>
      <c r="D71" s="613">
        <v>1001827702</v>
      </c>
      <c r="E71" s="613">
        <v>1001735518</v>
      </c>
      <c r="F71" s="614">
        <v>2022</v>
      </c>
      <c r="G71" s="607">
        <f t="shared" si="1"/>
        <v>0</v>
      </c>
      <c r="H71" s="608" t="str">
        <f>IF(IFERROR(VLOOKUP(E71,מרכבה!A:K,4,0),"")=K71,"","no")</f>
        <v/>
      </c>
      <c r="I71" s="607">
        <f>IFERROR(VLOOKUP(D71,מרכבה!A:K,7,0),"")</f>
        <v>2025</v>
      </c>
      <c r="J71" s="607">
        <f>IFERROR(VLOOKUP(D71,מרכבה!A:K,5,0),"")</f>
        <v>40000564</v>
      </c>
      <c r="K71" s="607">
        <f>IFERROR(VLOOKUP(D71,מרכבה!A:K,4,0),"")</f>
        <v>580215333</v>
      </c>
      <c r="L71" s="607" t="str">
        <f>IFERROR(VLOOKUP(D71,מרכבה!A:K,6,0),"")</f>
        <v>עמותת הכוריאוגרפים (ע"ר)</v>
      </c>
      <c r="M71" s="607" t="str">
        <f>IFERROR(VLOOKUP(D71,מרכבה!A:K,2,0),"")</f>
        <v>סהר עזימי - תמיכה ביוצר עצמאי</v>
      </c>
      <c r="N71" s="609">
        <f>IFERROR(VLOOKUP(D71,מרכבה!A:K,8,0),"")</f>
        <v>295000</v>
      </c>
      <c r="O71" s="610">
        <f>IFERROR(VLOOKUP(E71,מרכבה!A:K,9,0),0)</f>
        <v>79144</v>
      </c>
      <c r="P71" s="611">
        <f>'הגבלה לסכום מבוקש (2)'!W71</f>
        <v>72648.154513605972</v>
      </c>
      <c r="Q71" s="612">
        <f t="shared" si="2"/>
        <v>-8.2076284827580448E-2</v>
      </c>
      <c r="R71" s="196">
        <f>'קיזוזים בגין איחורים'!F81</f>
        <v>0</v>
      </c>
      <c r="S71" s="197">
        <f>'קיזוזים- החלטות ועדה'!E81</f>
        <v>0</v>
      </c>
      <c r="T71" s="194"/>
      <c r="U71" s="193" t="s">
        <v>1044</v>
      </c>
    </row>
    <row r="72" spans="2:21" ht="31.5" x14ac:dyDescent="0.25">
      <c r="B72" s="191">
        <f t="shared" si="0"/>
        <v>52</v>
      </c>
      <c r="C72" s="192" t="str">
        <f>'הגבלה לסכום מבוקש (2)'!C72</f>
        <v>עדו פדר</v>
      </c>
      <c r="D72" s="613">
        <v>1001827705</v>
      </c>
      <c r="E72" s="613">
        <v>1001735523</v>
      </c>
      <c r="F72" s="614">
        <v>2022</v>
      </c>
      <c r="G72" s="607">
        <f t="shared" si="1"/>
        <v>0</v>
      </c>
      <c r="H72" s="608" t="str">
        <f>IF(IFERROR(VLOOKUP(E72,מרכבה!A:K,4,0),"")=K72,"","no")</f>
        <v/>
      </c>
      <c r="I72" s="607">
        <f>IFERROR(VLOOKUP(D72,מרכבה!A:K,7,0),"")</f>
        <v>2025</v>
      </c>
      <c r="J72" s="607">
        <f>IFERROR(VLOOKUP(D72,מרכבה!A:K,5,0),"")</f>
        <v>40000564</v>
      </c>
      <c r="K72" s="607">
        <f>IFERROR(VLOOKUP(D72,מרכבה!A:K,4,0),"")</f>
        <v>580215333</v>
      </c>
      <c r="L72" s="607" t="str">
        <f>IFERROR(VLOOKUP(D72,מרכבה!A:K,6,0),"")</f>
        <v>עמותת הכוריאוגרפים (ע"ר)</v>
      </c>
      <c r="M72" s="607" t="str">
        <f>IFERROR(VLOOKUP(D72,מרכבה!A:K,2,0),"")</f>
        <v>עדו פדר-תמיכה ביוצר עצמאי</v>
      </c>
      <c r="N72" s="609">
        <f>IFERROR(VLOOKUP(D72,מרכבה!A:K,8,0),"")</f>
        <v>295000</v>
      </c>
      <c r="O72" s="610">
        <f>IFERROR(VLOOKUP(E72,מרכבה!A:K,9,0),0)</f>
        <v>57397</v>
      </c>
      <c r="P72" s="611">
        <f>'הגבלה לסכום מבוקש (2)'!W72</f>
        <v>58935.978887936573</v>
      </c>
      <c r="Q72" s="612">
        <f t="shared" si="2"/>
        <v>2.6812880253960447E-2</v>
      </c>
      <c r="R72" s="196">
        <f>'קיזוזים בגין איחורים'!F82</f>
        <v>0</v>
      </c>
      <c r="S72" s="197">
        <f>'קיזוזים- החלטות ועדה'!E82</f>
        <v>0</v>
      </c>
      <c r="T72" s="194"/>
      <c r="U72" s="193" t="s">
        <v>1044</v>
      </c>
    </row>
    <row r="73" spans="2:21" ht="31.5" x14ac:dyDescent="0.25">
      <c r="B73" s="191">
        <f t="shared" si="0"/>
        <v>53</v>
      </c>
      <c r="C73" s="192" t="str">
        <f>'הגבלה לסכום מבוקש (2)'!C73</f>
        <v>עודד רונן</v>
      </c>
      <c r="D73" s="613">
        <v>1001827706</v>
      </c>
      <c r="E73" s="613">
        <v>1001735525</v>
      </c>
      <c r="F73" s="614">
        <v>2022</v>
      </c>
      <c r="G73" s="607">
        <f t="shared" si="1"/>
        <v>0</v>
      </c>
      <c r="H73" s="608" t="str">
        <f>IF(IFERROR(VLOOKUP(E73,מרכבה!A:K,4,0),"")=K73,"","no")</f>
        <v/>
      </c>
      <c r="I73" s="607">
        <f>IFERROR(VLOOKUP(D73,מרכבה!A:K,7,0),"")</f>
        <v>2025</v>
      </c>
      <c r="J73" s="607">
        <f>IFERROR(VLOOKUP(D73,מרכבה!A:K,5,0),"")</f>
        <v>40000564</v>
      </c>
      <c r="K73" s="607">
        <f>IFERROR(VLOOKUP(D73,מרכבה!A:K,4,0),"")</f>
        <v>580215333</v>
      </c>
      <c r="L73" s="607" t="str">
        <f>IFERROR(VLOOKUP(D73,מרכבה!A:K,6,0),"")</f>
        <v>עמותת הכוריאוגרפים (ע"ר)</v>
      </c>
      <c r="M73" s="607" t="str">
        <f>IFERROR(VLOOKUP(D73,מרכבה!A:K,2,0),"")</f>
        <v>עודד רונן - תמיכה ביוצר עצמאי</v>
      </c>
      <c r="N73" s="609">
        <f>IFERROR(VLOOKUP(D73,מרכבה!A:K,8,0),"")</f>
        <v>295000</v>
      </c>
      <c r="O73" s="610">
        <f>IFERROR(VLOOKUP(E73,מרכבה!A:K,9,0),0)</f>
        <v>55682</v>
      </c>
      <c r="P73" s="611">
        <f>'הגבלה לסכום מבוקש (2)'!W73</f>
        <v>56094.934202090648</v>
      </c>
      <c r="Q73" s="612">
        <f t="shared" si="2"/>
        <v>7.4159369650990126E-3</v>
      </c>
      <c r="R73" s="196">
        <f>'קיזוזים בגין איחורים'!F83</f>
        <v>0</v>
      </c>
      <c r="S73" s="197">
        <f>'קיזוזים- החלטות ועדה'!E83</f>
        <v>0</v>
      </c>
      <c r="T73" s="194"/>
      <c r="U73" s="193" t="s">
        <v>1044</v>
      </c>
    </row>
    <row r="74" spans="2:21" ht="31.5" x14ac:dyDescent="0.25">
      <c r="B74" s="191">
        <f t="shared" si="0"/>
        <v>54</v>
      </c>
      <c r="C74" s="192" t="str">
        <f>'הגבלה לסכום מבוקש (2)'!C74</f>
        <v>עידן כהן</v>
      </c>
      <c r="D74" s="613">
        <v>1001827709</v>
      </c>
      <c r="E74" s="613">
        <v>1001735526</v>
      </c>
      <c r="F74" s="614">
        <v>2022</v>
      </c>
      <c r="G74" s="607">
        <f t="shared" si="1"/>
        <v>0</v>
      </c>
      <c r="H74" s="608" t="str">
        <f>IF(IFERROR(VLOOKUP(E74,מרכבה!A:K,4,0),"")=K74,"","no")</f>
        <v/>
      </c>
      <c r="I74" s="607">
        <f>IFERROR(VLOOKUP(D74,מרכבה!A:K,7,0),"")</f>
        <v>2025</v>
      </c>
      <c r="J74" s="607">
        <f>IFERROR(VLOOKUP(D74,מרכבה!A:K,5,0),"")</f>
        <v>40000564</v>
      </c>
      <c r="K74" s="607">
        <f>IFERROR(VLOOKUP(D74,מרכבה!A:K,4,0),"")</f>
        <v>580215333</v>
      </c>
      <c r="L74" s="607" t="str">
        <f>IFERROR(VLOOKUP(D74,מרכבה!A:K,6,0),"")</f>
        <v>עמותת הכוריאוגרפים (ע"ר)</v>
      </c>
      <c r="M74" s="607" t="str">
        <f>IFERROR(VLOOKUP(D74,מרכבה!A:K,2,0),"")</f>
        <v>עידן כהן - תמיכה ביוצר עצמאי</v>
      </c>
      <c r="N74" s="609">
        <f>IFERROR(VLOOKUP(D74,מרכבה!A:K,8,0),"")</f>
        <v>295000</v>
      </c>
      <c r="O74" s="610">
        <f>IFERROR(VLOOKUP(E74,מרכבה!A:K,9,0),0)</f>
        <v>44371</v>
      </c>
      <c r="P74" s="611">
        <f>'הגבלה לסכום מבוקש (2)'!W74</f>
        <v>43588.702306967272</v>
      </c>
      <c r="Q74" s="612">
        <f t="shared" si="2"/>
        <v>-1.7630833044843031E-2</v>
      </c>
      <c r="R74" s="196">
        <f>'קיזוזים בגין איחורים'!F84</f>
        <v>0</v>
      </c>
      <c r="S74" s="197">
        <f>'קיזוזים- החלטות ועדה'!E84</f>
        <v>0</v>
      </c>
      <c r="T74" s="194"/>
      <c r="U74" s="193" t="s">
        <v>1044</v>
      </c>
    </row>
    <row r="75" spans="2:21" ht="31.5" x14ac:dyDescent="0.25">
      <c r="B75" s="191">
        <f t="shared" si="0"/>
        <v>55</v>
      </c>
      <c r="C75" s="192" t="str">
        <f>'הגבלה לסכום מבוקש (2)'!C75</f>
        <v>עידן שרעבי</v>
      </c>
      <c r="D75" s="613">
        <v>1001827710</v>
      </c>
      <c r="E75" s="613">
        <v>1001735527</v>
      </c>
      <c r="F75" s="614">
        <v>2022</v>
      </c>
      <c r="G75" s="607">
        <f t="shared" si="1"/>
        <v>0</v>
      </c>
      <c r="H75" s="608" t="str">
        <f>IF(IFERROR(VLOOKUP(E75,מרכבה!A:K,4,0),"")=K75,"","no")</f>
        <v/>
      </c>
      <c r="I75" s="607">
        <f>IFERROR(VLOOKUP(D75,מרכבה!A:K,7,0),"")</f>
        <v>2025</v>
      </c>
      <c r="J75" s="607">
        <f>IFERROR(VLOOKUP(D75,מרכבה!A:K,5,0),"")</f>
        <v>40000564</v>
      </c>
      <c r="K75" s="607">
        <f>IFERROR(VLOOKUP(D75,מרכבה!A:K,4,0),"")</f>
        <v>580215333</v>
      </c>
      <c r="L75" s="607" t="str">
        <f>IFERROR(VLOOKUP(D75,מרכבה!A:K,6,0),"")</f>
        <v>עמותת הכוריאוגרפים (ע"ר)</v>
      </c>
      <c r="M75" s="607" t="str">
        <f>IFERROR(VLOOKUP(D75,מרכבה!A:K,2,0),"")</f>
        <v>עידן שרעבי - תמיכה ביוצר עצמאי</v>
      </c>
      <c r="N75" s="609">
        <f>IFERROR(VLOOKUP(D75,מרכבה!A:K,8,0),"")</f>
        <v>295000</v>
      </c>
      <c r="O75" s="610">
        <f>IFERROR(VLOOKUP(E75,מרכבה!A:K,9,0),0)</f>
        <v>58491</v>
      </c>
      <c r="P75" s="611">
        <f>'הגבלה לסכום מבוקש (2)'!W75</f>
        <v>60524.126155340658</v>
      </c>
      <c r="Q75" s="612">
        <f t="shared" si="2"/>
        <v>3.4759640890746679E-2</v>
      </c>
      <c r="R75" s="196">
        <f>'קיזוזים בגין איחורים'!F85</f>
        <v>0</v>
      </c>
      <c r="S75" s="197">
        <f>'קיזוזים- החלטות ועדה'!E85</f>
        <v>0</v>
      </c>
      <c r="T75" s="194"/>
      <c r="U75" s="193" t="s">
        <v>1044</v>
      </c>
    </row>
    <row r="76" spans="2:21" ht="31.5" x14ac:dyDescent="0.25">
      <c r="B76" s="191">
        <f t="shared" si="0"/>
        <v>56</v>
      </c>
      <c r="C76" s="192" t="str">
        <f>'הגבלה לסכום מבוקש (2)'!C76</f>
        <v>ענת גריגוריו</v>
      </c>
      <c r="D76" s="613">
        <v>1001827713</v>
      </c>
      <c r="E76" s="613">
        <v>1001735530</v>
      </c>
      <c r="F76" s="614">
        <v>2022</v>
      </c>
      <c r="G76" s="607">
        <f t="shared" si="1"/>
        <v>0</v>
      </c>
      <c r="H76" s="608" t="str">
        <f>IF(IFERROR(VLOOKUP(E76,מרכבה!A:K,4,0),"")=K76,"","no")</f>
        <v/>
      </c>
      <c r="I76" s="607">
        <f>IFERROR(VLOOKUP(D76,מרכבה!A:K,7,0),"")</f>
        <v>2025</v>
      </c>
      <c r="J76" s="607">
        <f>IFERROR(VLOOKUP(D76,מרכבה!A:K,5,0),"")</f>
        <v>40000564</v>
      </c>
      <c r="K76" s="607">
        <f>IFERROR(VLOOKUP(D76,מרכבה!A:K,4,0),"")</f>
        <v>580215333</v>
      </c>
      <c r="L76" s="607" t="str">
        <f>IFERROR(VLOOKUP(D76,מרכבה!A:K,6,0),"")</f>
        <v>עמותת הכוריאוגרפים (ע"ר)</v>
      </c>
      <c r="M76" s="607" t="str">
        <f>IFERROR(VLOOKUP(D76,מרכבה!A:K,2,0),"")</f>
        <v>ענת גרגוריו-תמיכה ביוצרת עצמאית</v>
      </c>
      <c r="N76" s="609">
        <f>IFERROR(VLOOKUP(D76,מרכבה!A:K,8,0),"")</f>
        <v>295000</v>
      </c>
      <c r="O76" s="610">
        <f>IFERROR(VLOOKUP(E76,מרכבה!A:K,9,0),0)</f>
        <v>51589</v>
      </c>
      <c r="P76" s="611">
        <f>'הגבלה לסכום מבוקש (2)'!W76</f>
        <v>64058.295208008618</v>
      </c>
      <c r="Q76" s="612">
        <f t="shared" si="2"/>
        <v>0.24170453406750703</v>
      </c>
      <c r="R76" s="196">
        <f>'קיזוזים בגין איחורים'!F86</f>
        <v>0</v>
      </c>
      <c r="S76" s="197">
        <f>'קיזוזים- החלטות ועדה'!E86</f>
        <v>0</v>
      </c>
      <c r="T76" s="194"/>
      <c r="U76" s="193" t="s">
        <v>1044</v>
      </c>
    </row>
    <row r="77" spans="2:21" ht="31.5" x14ac:dyDescent="0.25">
      <c r="B77" s="191">
        <f t="shared" si="0"/>
        <v>57</v>
      </c>
      <c r="C77" s="192" t="str">
        <f>'הגבלה לסכום מבוקש (2)'!C77</f>
        <v>ענת דניאלי</v>
      </c>
      <c r="D77" s="613">
        <v>1001827714</v>
      </c>
      <c r="E77" s="613">
        <v>1001735531</v>
      </c>
      <c r="F77" s="614">
        <v>2022</v>
      </c>
      <c r="G77" s="607">
        <f t="shared" si="1"/>
        <v>0</v>
      </c>
      <c r="H77" s="608" t="str">
        <f>IF(IFERROR(VLOOKUP(E77,מרכבה!A:K,4,0),"")=K77,"","no")</f>
        <v/>
      </c>
      <c r="I77" s="607">
        <f>IFERROR(VLOOKUP(D77,מרכבה!A:K,7,0),"")</f>
        <v>2025</v>
      </c>
      <c r="J77" s="607">
        <f>IFERROR(VLOOKUP(D77,מרכבה!A:K,5,0),"")</f>
        <v>40000564</v>
      </c>
      <c r="K77" s="607">
        <f>IFERROR(VLOOKUP(D77,מרכבה!A:K,4,0),"")</f>
        <v>580215333</v>
      </c>
      <c r="L77" s="607" t="str">
        <f>IFERROR(VLOOKUP(D77,מרכבה!A:K,6,0),"")</f>
        <v>עמותת הכוריאוגרפים (ע"ר)</v>
      </c>
      <c r="M77" s="607" t="str">
        <f>IFERROR(VLOOKUP(D77,מרכבה!A:K,2,0),"")</f>
        <v>ענת דניאלי-תמיכה ביוצרת עצמאית</v>
      </c>
      <c r="N77" s="609">
        <f>IFERROR(VLOOKUP(D77,מרכבה!A:K,8,0),"")</f>
        <v>295000</v>
      </c>
      <c r="O77" s="610">
        <f>IFERROR(VLOOKUP(E77,מרכבה!A:K,9,0),0)</f>
        <v>79787</v>
      </c>
      <c r="P77" s="611">
        <f>'הגבלה לסכום מבוקש (2)'!W77</f>
        <v>86750.937940007469</v>
      </c>
      <c r="Q77" s="612">
        <f t="shared" si="2"/>
        <v>8.7281611540820814E-2</v>
      </c>
      <c r="R77" s="196">
        <f>'קיזוזים בגין איחורים'!F87</f>
        <v>0</v>
      </c>
      <c r="S77" s="197">
        <f>'קיזוזים- החלטות ועדה'!E87</f>
        <v>0</v>
      </c>
      <c r="T77" s="194"/>
      <c r="U77" s="193" t="s">
        <v>1044</v>
      </c>
    </row>
    <row r="78" spans="2:21" ht="31.5" x14ac:dyDescent="0.25">
      <c r="B78" s="191">
        <f t="shared" si="0"/>
        <v>58</v>
      </c>
      <c r="C78" s="192" t="str">
        <f>'הגבלה לסכום מבוקש (2)'!C78</f>
        <v>ענת כץ וארז מעיין</v>
      </c>
      <c r="D78" s="613">
        <v>1001827715</v>
      </c>
      <c r="E78" s="613">
        <v>1001735532</v>
      </c>
      <c r="F78" s="614">
        <v>2022</v>
      </c>
      <c r="G78" s="607">
        <f t="shared" si="1"/>
        <v>0</v>
      </c>
      <c r="H78" s="608" t="str">
        <f>IF(IFERROR(VLOOKUP(E78,מרכבה!A:K,4,0),"")=K78,"","no")</f>
        <v/>
      </c>
      <c r="I78" s="607">
        <f>IFERROR(VLOOKUP(D78,מרכבה!A:K,7,0),"")</f>
        <v>2025</v>
      </c>
      <c r="J78" s="607">
        <f>IFERROR(VLOOKUP(D78,מרכבה!A:K,5,0),"")</f>
        <v>40000564</v>
      </c>
      <c r="K78" s="607">
        <f>IFERROR(VLOOKUP(D78,מרכבה!A:K,4,0),"")</f>
        <v>580215333</v>
      </c>
      <c r="L78" s="607" t="str">
        <f>IFERROR(VLOOKUP(D78,מרכבה!A:K,6,0),"")</f>
        <v>עמותת הכוריאוגרפים (ע"ר)</v>
      </c>
      <c r="M78" s="607" t="str">
        <f>IFERROR(VLOOKUP(D78,מרכבה!A:K,2,0),"")</f>
        <v>ענת כץ-תמיכה ביוצרת עצמאית</v>
      </c>
      <c r="N78" s="609">
        <f>IFERROR(VLOOKUP(D78,מרכבה!A:K,8,0),"")</f>
        <v>295000</v>
      </c>
      <c r="O78" s="610">
        <f>IFERROR(VLOOKUP(E78,מרכבה!A:K,9,0),0)</f>
        <v>47544</v>
      </c>
      <c r="P78" s="611">
        <f>'הגבלה לסכום מבוקש (2)'!W78</f>
        <v>56878.753950645434</v>
      </c>
      <c r="Q78" s="612">
        <f t="shared" si="2"/>
        <v>0.19633926364305565</v>
      </c>
      <c r="R78" s="196">
        <f>'קיזוזים בגין איחורים'!F88</f>
        <v>0</v>
      </c>
      <c r="S78" s="197">
        <f>'קיזוזים- החלטות ועדה'!E88</f>
        <v>0</v>
      </c>
      <c r="T78" s="194"/>
      <c r="U78" s="193" t="s">
        <v>1044</v>
      </c>
    </row>
    <row r="79" spans="2:21" ht="31.5" x14ac:dyDescent="0.25">
      <c r="B79" s="191">
        <f t="shared" si="0"/>
        <v>59</v>
      </c>
      <c r="C79" s="192" t="str">
        <f>'הגבלה לסכום מבוקש (2)'!C79</f>
        <v>ענת שמגר</v>
      </c>
      <c r="D79" s="613">
        <v>1001827716</v>
      </c>
      <c r="E79" s="613">
        <v>1001735533</v>
      </c>
      <c r="F79" s="614">
        <v>2022</v>
      </c>
      <c r="G79" s="607">
        <f t="shared" si="1"/>
        <v>0</v>
      </c>
      <c r="H79" s="608" t="str">
        <f>IF(IFERROR(VLOOKUP(E79,מרכבה!A:K,4,0),"")=K79,"","no")</f>
        <v/>
      </c>
      <c r="I79" s="607">
        <f>IFERROR(VLOOKUP(D79,מרכבה!A:K,7,0),"")</f>
        <v>2025</v>
      </c>
      <c r="J79" s="607">
        <f>IFERROR(VLOOKUP(D79,מרכבה!A:K,5,0),"")</f>
        <v>40000564</v>
      </c>
      <c r="K79" s="607">
        <f>IFERROR(VLOOKUP(D79,מרכבה!A:K,4,0),"")</f>
        <v>580215333</v>
      </c>
      <c r="L79" s="607" t="str">
        <f>IFERROR(VLOOKUP(D79,מרכבה!A:K,6,0),"")</f>
        <v>עמותת הכוריאוגרפים (ע"ר)</v>
      </c>
      <c r="M79" s="607" t="str">
        <f>IFERROR(VLOOKUP(D79,מרכבה!A:K,2,0),"")</f>
        <v>ענת שמגר-תמיכה ביוצרת עצמאית</v>
      </c>
      <c r="N79" s="609">
        <f>IFERROR(VLOOKUP(D79,מרכבה!A:K,8,0),"")</f>
        <v>295000</v>
      </c>
      <c r="O79" s="610">
        <f>IFERROR(VLOOKUP(E79,מרכבה!A:K,9,0),0)</f>
        <v>63584</v>
      </c>
      <c r="P79" s="611">
        <f>'הגבלה לסכום מבוקש (2)'!W79</f>
        <v>72709.72123387488</v>
      </c>
      <c r="Q79" s="612">
        <f t="shared" si="2"/>
        <v>0.14352228915882748</v>
      </c>
      <c r="R79" s="196">
        <f>'קיזוזים בגין איחורים'!F89</f>
        <v>0</v>
      </c>
      <c r="S79" s="197">
        <f>'קיזוזים- החלטות ועדה'!E89</f>
        <v>0</v>
      </c>
      <c r="T79" s="194"/>
      <c r="U79" s="193" t="s">
        <v>1044</v>
      </c>
    </row>
    <row r="80" spans="2:21" ht="31.5" x14ac:dyDescent="0.25">
      <c r="B80" s="191">
        <f t="shared" si="0"/>
        <v>60</v>
      </c>
      <c r="C80" s="192" t="str">
        <f>'הגבלה לסכום מבוקש (2)'!C80</f>
        <v>ק.ט.מ.ו.ן קבוצת מחול בירושלים</v>
      </c>
      <c r="D80" s="613">
        <v>1001843458</v>
      </c>
      <c r="E80" s="613">
        <v>1001736688</v>
      </c>
      <c r="F80" s="614">
        <v>2022</v>
      </c>
      <c r="G80" s="607">
        <f t="shared" si="1"/>
        <v>0</v>
      </c>
      <c r="H80" s="608" t="str">
        <f>IF(IFERROR(VLOOKUP(E80,מרכבה!A:K,4,0),"")=K80,"","no")</f>
        <v/>
      </c>
      <c r="I80" s="607">
        <f>IFERROR(VLOOKUP(D80,מרכבה!A:K,7,0),"")</f>
        <v>2025</v>
      </c>
      <c r="J80" s="607">
        <f>IFERROR(VLOOKUP(D80,מרכבה!A:K,5,0),"")</f>
        <v>41627319</v>
      </c>
      <c r="K80" s="607">
        <f>IFERROR(VLOOKUP(D80,מרכבה!A:K,4,0),"")</f>
        <v>580641256</v>
      </c>
      <c r="L80" s="607" t="str">
        <f>IFERROR(VLOOKUP(D80,מרכבה!A:K,6,0),"")</f>
        <v>ק.ט.מ.ו.ן - קבוצת מחול בירושלים (ע'</v>
      </c>
      <c r="M80" s="607" t="str">
        <f>IFERROR(VLOOKUP(D80,מרכבה!A:K,2,0),"")</f>
        <v>מחול 2025</v>
      </c>
      <c r="N80" s="609">
        <f>IFERROR(VLOOKUP(D80,מרכבה!A:K,8,0),"")</f>
        <v>300000</v>
      </c>
      <c r="O80" s="610">
        <f>IFERROR(VLOOKUP(E80,מרכבה!A:K,9,0),0)</f>
        <v>99192</v>
      </c>
      <c r="P80" s="611">
        <f>'הגבלה לסכום מבוקש (2)'!W80</f>
        <v>114631.7059434691</v>
      </c>
      <c r="Q80" s="612">
        <f t="shared" si="2"/>
        <v>0.1556547498131815</v>
      </c>
      <c r="R80" s="196">
        <f>'קיזוזים בגין איחורים'!F90</f>
        <v>0</v>
      </c>
      <c r="S80" s="197">
        <f>'קיזוזים- החלטות ועדה'!E90</f>
        <v>0</v>
      </c>
      <c r="T80" s="194"/>
      <c r="U80" s="193" t="s">
        <v>1044</v>
      </c>
    </row>
    <row r="81" spans="2:21" ht="31.5" x14ac:dyDescent="0.25">
      <c r="B81" s="191">
        <f t="shared" si="0"/>
        <v>61</v>
      </c>
      <c r="C81" s="192" t="str">
        <f>'הגבלה לסכום מבוקש (2)'!C81</f>
        <v>רונית זיו</v>
      </c>
      <c r="D81" s="613">
        <v>1001827771</v>
      </c>
      <c r="E81" s="613">
        <v>1001735552</v>
      </c>
      <c r="F81" s="614">
        <v>2022</v>
      </c>
      <c r="G81" s="607">
        <f t="shared" si="1"/>
        <v>0</v>
      </c>
      <c r="H81" s="608" t="str">
        <f>IF(IFERROR(VLOOKUP(E81,מרכבה!A:K,4,0),"")=K81,"","no")</f>
        <v/>
      </c>
      <c r="I81" s="607">
        <f>IFERROR(VLOOKUP(D81,מרכבה!A:K,7,0),"")</f>
        <v>2025</v>
      </c>
      <c r="J81" s="607">
        <f>IFERROR(VLOOKUP(D81,מרכבה!A:K,5,0),"")</f>
        <v>40000564</v>
      </c>
      <c r="K81" s="607">
        <f>IFERROR(VLOOKUP(D81,מרכבה!A:K,4,0),"")</f>
        <v>580215333</v>
      </c>
      <c r="L81" s="607" t="str">
        <f>IFERROR(VLOOKUP(D81,מרכבה!A:K,6,0),"")</f>
        <v>עמותת הכוריאוגרפים (ע"ר)</v>
      </c>
      <c r="M81" s="607" t="str">
        <f>IFERROR(VLOOKUP(D81,מרכבה!A:K,2,0),"")</f>
        <v>רונית זיו-תמיכה ביוצרת עצמאית</v>
      </c>
      <c r="N81" s="609">
        <f>IFERROR(VLOOKUP(D81,מרכבה!A:K,8,0),"")</f>
        <v>295000</v>
      </c>
      <c r="O81" s="610">
        <f>IFERROR(VLOOKUP(E81,מרכבה!A:K,9,0),0)</f>
        <v>88927</v>
      </c>
      <c r="P81" s="611">
        <f>'הגבלה לסכום מבוקש (2)'!W81</f>
        <v>85500.279110332282</v>
      </c>
      <c r="Q81" s="612">
        <f t="shared" si="2"/>
        <v>-3.8534088518309639E-2</v>
      </c>
      <c r="R81" s="196">
        <f>'קיזוזים בגין איחורים'!F91</f>
        <v>0</v>
      </c>
      <c r="S81" s="197">
        <f>'קיזוזים- החלטות ועדה'!E91</f>
        <v>0</v>
      </c>
      <c r="T81" s="194"/>
      <c r="U81" s="193" t="s">
        <v>1044</v>
      </c>
    </row>
    <row r="82" spans="2:21" ht="31.5" x14ac:dyDescent="0.25">
      <c r="B82" s="191">
        <f t="shared" si="0"/>
        <v>62</v>
      </c>
      <c r="C82" s="192" t="str">
        <f>'הגבלה לסכום מבוקש (2)'!C82</f>
        <v>טלי זבילביץ</v>
      </c>
      <c r="D82" s="613">
        <v>1001827344</v>
      </c>
      <c r="E82" s="613">
        <v>1001735479</v>
      </c>
      <c r="F82" s="614">
        <v>2020</v>
      </c>
      <c r="G82" s="607">
        <f t="shared" si="1"/>
        <v>1</v>
      </c>
      <c r="H82" s="608" t="str">
        <f>IF(IFERROR(VLOOKUP(E82,מרכבה!A:K,4,0),"")=K82,"","no")</f>
        <v/>
      </c>
      <c r="I82" s="607">
        <f>IFERROR(VLOOKUP(D82,מרכבה!A:K,7,0),"")</f>
        <v>2025</v>
      </c>
      <c r="J82" s="607">
        <f>IFERROR(VLOOKUP(D82,מרכבה!A:K,5,0),"")</f>
        <v>40000564</v>
      </c>
      <c r="K82" s="607">
        <f>IFERROR(VLOOKUP(D82,מרכבה!A:K,4,0),"")</f>
        <v>580215333</v>
      </c>
      <c r="L82" s="607" t="str">
        <f>IFERROR(VLOOKUP(D82,מרכבה!A:K,6,0),"")</f>
        <v>עמותת הכוריאוגרפים (ע"ר)</v>
      </c>
      <c r="M82" s="607" t="str">
        <f>IFERROR(VLOOKUP(D82,מרכבה!A:K,2,0),"")</f>
        <v>טלי זבילביץ-תמיכה ביוצרת עצמאית</v>
      </c>
      <c r="N82" s="609">
        <f>IFERROR(VLOOKUP(D82,מרכבה!A:K,8,0),"")</f>
        <v>295000</v>
      </c>
      <c r="O82" s="610">
        <f>IFERROR(VLOOKUP(E82,מרכבה!A:K,9,0),0)</f>
        <v>40665</v>
      </c>
      <c r="P82" s="611">
        <f>'הגבלה לסכום מבוקש (2)'!W82</f>
        <v>46241.165975372591</v>
      </c>
      <c r="Q82" s="612">
        <f t="shared" si="2"/>
        <v>0.13712445531470774</v>
      </c>
      <c r="R82" s="196">
        <f>'קיזוזים בגין איחורים'!F92</f>
        <v>0</v>
      </c>
      <c r="S82" s="197">
        <f>'קיזוזים- החלטות ועדה'!E92</f>
        <v>0</v>
      </c>
      <c r="T82" s="194"/>
      <c r="U82" s="193" t="s">
        <v>1044</v>
      </c>
    </row>
    <row r="83" spans="2:21" ht="31.5" x14ac:dyDescent="0.25">
      <c r="B83" s="191">
        <f t="shared" si="0"/>
        <v>63</v>
      </c>
      <c r="C83" s="192" t="str">
        <f>'הגבלה לסכום מבוקש (2)'!C83</f>
        <v>רייצ'ל ארדוס</v>
      </c>
      <c r="D83" s="613">
        <v>1001827774</v>
      </c>
      <c r="E83" s="613">
        <v>1001735555</v>
      </c>
      <c r="F83" s="614">
        <v>2022</v>
      </c>
      <c r="G83" s="607">
        <f t="shared" si="1"/>
        <v>0</v>
      </c>
      <c r="H83" s="608" t="str">
        <f>IF(IFERROR(VLOOKUP(E83,מרכבה!A:K,4,0),"")=K83,"","no")</f>
        <v/>
      </c>
      <c r="I83" s="607">
        <f>IFERROR(VLOOKUP(D83,מרכבה!A:K,7,0),"")</f>
        <v>2025</v>
      </c>
      <c r="J83" s="607">
        <f>IFERROR(VLOOKUP(D83,מרכבה!A:K,5,0),"")</f>
        <v>40000564</v>
      </c>
      <c r="K83" s="607">
        <f>IFERROR(VLOOKUP(D83,מרכבה!A:K,4,0),"")</f>
        <v>580215333</v>
      </c>
      <c r="L83" s="607" t="str">
        <f>IFERROR(VLOOKUP(D83,מרכבה!A:K,6,0),"")</f>
        <v>עמותת הכוריאוגרפים (ע"ר)</v>
      </c>
      <c r="M83" s="607" t="str">
        <f>IFERROR(VLOOKUP(D83,מרכבה!A:K,2,0),"")</f>
        <v>רייצל ארדוס-תמיכה ביוצרת עצמאית</v>
      </c>
      <c r="N83" s="609">
        <f>IFERROR(VLOOKUP(D83,מרכבה!A:K,8,0),"")</f>
        <v>295000</v>
      </c>
      <c r="O83" s="610">
        <f>IFERROR(VLOOKUP(E83,מרכבה!A:K,9,0),0)</f>
        <v>100326</v>
      </c>
      <c r="P83" s="611">
        <f>'הגבלה לסכום מבוקש (2)'!W83</f>
        <v>110559.00114140419</v>
      </c>
      <c r="Q83" s="612">
        <f t="shared" si="2"/>
        <v>0.10199749956545845</v>
      </c>
      <c r="R83" s="196">
        <f>'קיזוזים בגין איחורים'!F93</f>
        <v>0</v>
      </c>
      <c r="S83" s="197">
        <f>'קיזוזים- החלטות ועדה'!E93</f>
        <v>0</v>
      </c>
      <c r="T83" s="194"/>
      <c r="U83" s="193" t="s">
        <v>1044</v>
      </c>
    </row>
    <row r="84" spans="2:21" ht="31.5" x14ac:dyDescent="0.25">
      <c r="B84" s="191">
        <f t="shared" si="0"/>
        <v>64</v>
      </c>
      <c r="C84" s="192" t="str">
        <f>'הגבלה לסכום מבוקש (2)'!C84</f>
        <v>שירה אביתר</v>
      </c>
      <c r="D84" s="613">
        <v>1001827776</v>
      </c>
      <c r="E84" s="613">
        <v>1001735557</v>
      </c>
      <c r="F84" s="614">
        <v>2023</v>
      </c>
      <c r="G84" s="607">
        <f t="shared" si="1"/>
        <v>0</v>
      </c>
      <c r="H84" s="608" t="str">
        <f>IF(IFERROR(VLOOKUP(E84,מרכבה!A:K,4,0),"")=K84,"","no")</f>
        <v/>
      </c>
      <c r="I84" s="607">
        <f>IFERROR(VLOOKUP(D84,מרכבה!A:K,7,0),"")</f>
        <v>2025</v>
      </c>
      <c r="J84" s="607">
        <f>IFERROR(VLOOKUP(D84,מרכבה!A:K,5,0),"")</f>
        <v>40000564</v>
      </c>
      <c r="K84" s="607">
        <f>IFERROR(VLOOKUP(D84,מרכבה!A:K,4,0),"")</f>
        <v>580215333</v>
      </c>
      <c r="L84" s="607" t="str">
        <f>IFERROR(VLOOKUP(D84,מרכבה!A:K,6,0),"")</f>
        <v>עמותת הכוריאוגרפים (ע"ר)</v>
      </c>
      <c r="M84" s="607" t="str">
        <f>IFERROR(VLOOKUP(D84,מרכבה!A:K,2,0),"")</f>
        <v>שירה אביתר-תמיכה ביוצרת עצמאית</v>
      </c>
      <c r="N84" s="609">
        <f>IFERROR(VLOOKUP(D84,מרכבה!A:K,8,0),"")</f>
        <v>295000</v>
      </c>
      <c r="O84" s="610">
        <f>IFERROR(VLOOKUP(E84,מרכבה!A:K,9,0),0)</f>
        <v>52406</v>
      </c>
      <c r="P84" s="611">
        <f>'הגבלה לסכום מבוקש (2)'!W84</f>
        <v>49687.048553462111</v>
      </c>
      <c r="Q84" s="612">
        <f t="shared" si="2"/>
        <v>-5.1882445646259767E-2</v>
      </c>
      <c r="R84" s="196">
        <f>'קיזוזים בגין איחורים'!F94</f>
        <v>0</v>
      </c>
      <c r="S84" s="197">
        <f>'קיזוזים- החלטות ועדה'!E94</f>
        <v>0</v>
      </c>
      <c r="T84" s="194"/>
      <c r="U84" s="193" t="s">
        <v>1044</v>
      </c>
    </row>
    <row r="85" spans="2:21" ht="31.5" x14ac:dyDescent="0.25">
      <c r="B85" s="191">
        <f t="shared" si="0"/>
        <v>65</v>
      </c>
      <c r="C85" s="192" t="str">
        <f>'הגבלה לסכום מבוקש (2)'!C85</f>
        <v>שלומית פונדמינסקי</v>
      </c>
      <c r="D85" s="613">
        <v>1001827777</v>
      </c>
      <c r="E85" s="613">
        <v>1001735559</v>
      </c>
      <c r="F85" s="614">
        <v>2022</v>
      </c>
      <c r="G85" s="607">
        <f t="shared" si="1"/>
        <v>0</v>
      </c>
      <c r="H85" s="608" t="str">
        <f>IF(IFERROR(VLOOKUP(E85,מרכבה!A:K,4,0),"")=K85,"","no")</f>
        <v/>
      </c>
      <c r="I85" s="607">
        <f>IFERROR(VLOOKUP(D85,מרכבה!A:K,7,0),"")</f>
        <v>2025</v>
      </c>
      <c r="J85" s="607">
        <f>IFERROR(VLOOKUP(D85,מרכבה!A:K,5,0),"")</f>
        <v>40000564</v>
      </c>
      <c r="K85" s="607">
        <f>IFERROR(VLOOKUP(D85,מרכבה!A:K,4,0),"")</f>
        <v>580215333</v>
      </c>
      <c r="L85" s="607" t="str">
        <f>IFERROR(VLOOKUP(D85,מרכבה!A:K,6,0),"")</f>
        <v>עמותת הכוריאוגרפים (ע"ר)</v>
      </c>
      <c r="M85" s="607" t="str">
        <f>IFERROR(VLOOKUP(D85,מרכבה!A:K,2,0),"")</f>
        <v>שלומית פונדמינסקי-תמיכה ביוצרת עצמאית</v>
      </c>
      <c r="N85" s="609">
        <f>IFERROR(VLOOKUP(D85,מרכבה!A:K,8,0),"")</f>
        <v>295000</v>
      </c>
      <c r="O85" s="610">
        <f>IFERROR(VLOOKUP(E85,מרכבה!A:K,9,0),0)</f>
        <v>100289</v>
      </c>
      <c r="P85" s="611">
        <f>'הגבלה לסכום מבוקש (2)'!W85</f>
        <v>137754.67302300176</v>
      </c>
      <c r="Q85" s="612">
        <f t="shared" si="2"/>
        <v>0.3735770924328865</v>
      </c>
      <c r="R85" s="196">
        <f>'קיזוזים בגין איחורים'!F95</f>
        <v>0</v>
      </c>
      <c r="S85" s="197">
        <f>'קיזוזים- החלטות ועדה'!E95</f>
        <v>0</v>
      </c>
      <c r="T85" s="194"/>
      <c r="U85" s="193" t="s">
        <v>1044</v>
      </c>
    </row>
    <row r="86" spans="2:21" x14ac:dyDescent="0.25">
      <c r="B86" s="191" t="str">
        <f t="shared" ref="B86:B120" si="3">IF(C86="","",ROW()-20)</f>
        <v/>
      </c>
      <c r="C86" s="192" t="str">
        <f>'הגבלה לסכום מבוקש (2)'!C86</f>
        <v/>
      </c>
      <c r="D86" s="613"/>
      <c r="E86" s="613"/>
      <c r="F86" s="614"/>
      <c r="G86" s="607" t="str">
        <f t="shared" ref="G86:G132" si="4">IF(C86="","",IF($D$1&gt;(F86+3),1,0))</f>
        <v/>
      </c>
      <c r="H86" s="608" t="str">
        <f>IF(IFERROR(VLOOKUP(E86,מרכבה!A:K,4,0),"")=K86,"","no")</f>
        <v/>
      </c>
      <c r="I86" s="607" t="str">
        <f>IFERROR(VLOOKUP(D86,מרכבה!A:K,7,0),"")</f>
        <v/>
      </c>
      <c r="J86" s="607" t="str">
        <f>IFERROR(VLOOKUP(D86,מרכבה!A:K,5,0),"")</f>
        <v/>
      </c>
      <c r="K86" s="607" t="str">
        <f>IFERROR(VLOOKUP(D86,מרכבה!A:K,4,0),"")</f>
        <v/>
      </c>
      <c r="L86" s="607" t="str">
        <f>IFERROR(VLOOKUP(D86,מרכבה!A:K,6,0),"")</f>
        <v/>
      </c>
      <c r="M86" s="607" t="str">
        <f>IFERROR(VLOOKUP(D86,מרכבה!A:K,2,0),"")</f>
        <v/>
      </c>
      <c r="N86" s="609" t="str">
        <f>IFERROR(VLOOKUP(D86,מרכבה!A:K,8,0),"")</f>
        <v/>
      </c>
      <c r="O86" s="610">
        <f>IFERROR(VLOOKUP(E86,מרכבה!A:K,9,0),0)</f>
        <v>0</v>
      </c>
      <c r="P86" s="611" t="str">
        <f>'הגבלה לסכום מבוקש (2)'!W86</f>
        <v/>
      </c>
      <c r="Q86" s="612" t="str">
        <f t="shared" ref="Q86:Q132" si="5">IFERROR(P86/O86-1,"")</f>
        <v/>
      </c>
      <c r="R86" s="196" t="str">
        <f>'קיזוזים בגין איחורים'!F96</f>
        <v/>
      </c>
      <c r="S86" s="197">
        <f>'קיזוזים- החלטות ועדה'!E96</f>
        <v>0</v>
      </c>
      <c r="T86" s="194"/>
      <c r="U86" s="193"/>
    </row>
    <row r="87" spans="2:21" ht="31.5" x14ac:dyDescent="0.25">
      <c r="B87" s="191">
        <f t="shared" si="3"/>
        <v>67</v>
      </c>
      <c r="C87" s="192" t="str">
        <f>'הגבלה לסכום מבוקש (2)'!C87</f>
        <v>שרון וזנה</v>
      </c>
      <c r="D87" s="613">
        <v>1001827780</v>
      </c>
      <c r="E87" s="613">
        <v>1001735563</v>
      </c>
      <c r="F87" s="614">
        <v>2022</v>
      </c>
      <c r="G87" s="607">
        <f t="shared" si="4"/>
        <v>0</v>
      </c>
      <c r="H87" s="608" t="str">
        <f>IF(IFERROR(VLOOKUP(E87,מרכבה!A:K,4,0),"")=K87,"","no")</f>
        <v/>
      </c>
      <c r="I87" s="607">
        <f>IFERROR(VLOOKUP(D87,מרכבה!A:K,7,0),"")</f>
        <v>2025</v>
      </c>
      <c r="J87" s="607">
        <f>IFERROR(VLOOKUP(D87,מרכבה!A:K,5,0),"")</f>
        <v>40000564</v>
      </c>
      <c r="K87" s="607">
        <f>IFERROR(VLOOKUP(D87,מרכבה!A:K,4,0),"")</f>
        <v>580215333</v>
      </c>
      <c r="L87" s="607" t="str">
        <f>IFERROR(VLOOKUP(D87,מרכבה!A:K,6,0),"")</f>
        <v>עמותת הכוריאוגרפים (ע"ר)</v>
      </c>
      <c r="M87" s="607" t="str">
        <f>IFERROR(VLOOKUP(D87,מרכבה!A:K,2,0),"")</f>
        <v>שרון וזאנה-תמיכה ביוצרת עצמאית</v>
      </c>
      <c r="N87" s="609">
        <f>IFERROR(VLOOKUP(D87,מרכבה!A:K,8,0),"")</f>
        <v>295000</v>
      </c>
      <c r="O87" s="610">
        <f>IFERROR(VLOOKUP(E87,מרכבה!A:K,9,0),0)</f>
        <v>72868</v>
      </c>
      <c r="P87" s="611">
        <f>'הגבלה לסכום מבוקש (2)'!W87</f>
        <v>77347.798210162597</v>
      </c>
      <c r="Q87" s="612">
        <f t="shared" si="5"/>
        <v>6.1478264947063099E-2</v>
      </c>
      <c r="R87" s="196">
        <f>'קיזוזים בגין איחורים'!F97</f>
        <v>0</v>
      </c>
      <c r="S87" s="197">
        <f>'קיזוזים- החלטות ועדה'!E97</f>
        <v>0</v>
      </c>
      <c r="T87" s="194"/>
      <c r="U87" s="193" t="s">
        <v>1044</v>
      </c>
    </row>
    <row r="88" spans="2:21" ht="31.5" x14ac:dyDescent="0.25">
      <c r="B88" s="191">
        <f t="shared" si="3"/>
        <v>68</v>
      </c>
      <c r="C88" s="192" t="str">
        <f>'הגבלה לסכום מבוקש (2)'!C88</f>
        <v>שרונה פלורסהיים</v>
      </c>
      <c r="D88" s="613">
        <v>1001827783</v>
      </c>
      <c r="E88" s="613">
        <v>1001735566</v>
      </c>
      <c r="F88" s="614">
        <v>2022</v>
      </c>
      <c r="G88" s="607">
        <f t="shared" si="4"/>
        <v>0</v>
      </c>
      <c r="H88" s="608" t="str">
        <f>IF(IFERROR(VLOOKUP(E88,מרכבה!A:K,4,0),"")=K88,"","no")</f>
        <v/>
      </c>
      <c r="I88" s="607">
        <f>IFERROR(VLOOKUP(D88,מרכבה!A:K,7,0),"")</f>
        <v>2025</v>
      </c>
      <c r="J88" s="607">
        <f>IFERROR(VLOOKUP(D88,מרכבה!A:K,5,0),"")</f>
        <v>40000564</v>
      </c>
      <c r="K88" s="607">
        <f>IFERROR(VLOOKUP(D88,מרכבה!A:K,4,0),"")</f>
        <v>580215333</v>
      </c>
      <c r="L88" s="607" t="str">
        <f>IFERROR(VLOOKUP(D88,מרכבה!A:K,6,0),"")</f>
        <v>עמותת הכוריאוגרפים (ע"ר)</v>
      </c>
      <c r="M88" s="607" t="str">
        <f>IFERROR(VLOOKUP(D88,מרכבה!A:K,2,0),"")</f>
        <v>שרונה פלורסהיים-תמיכה ביוצרת עצמאית</v>
      </c>
      <c r="N88" s="609">
        <f>IFERROR(VLOOKUP(D88,מרכבה!A:K,8,0),"")</f>
        <v>295000</v>
      </c>
      <c r="O88" s="610">
        <f>IFERROR(VLOOKUP(E88,מרכבה!A:K,9,0),0)</f>
        <v>141083</v>
      </c>
      <c r="P88" s="611">
        <f>'הגבלה לסכום מבוקש (2)'!W88</f>
        <v>142184.18015680069</v>
      </c>
      <c r="Q88" s="612">
        <f t="shared" si="5"/>
        <v>7.8051937993994791E-3</v>
      </c>
      <c r="R88" s="196">
        <f>'קיזוזים בגין איחורים'!F98</f>
        <v>0</v>
      </c>
      <c r="S88" s="197">
        <f>'קיזוזים- החלטות ועדה'!E98</f>
        <v>0</v>
      </c>
      <c r="T88" s="194"/>
      <c r="U88" s="193" t="s">
        <v>1044</v>
      </c>
    </row>
    <row r="89" spans="2:21" ht="31.5" x14ac:dyDescent="0.25">
      <c r="B89" s="191">
        <f t="shared" si="3"/>
        <v>69</v>
      </c>
      <c r="C89" s="192" t="str">
        <f>'הגבלה לסכום מבוקש (2)'!C89</f>
        <v>תמי ליבוביץ</v>
      </c>
      <c r="D89" s="615">
        <v>1001827785</v>
      </c>
      <c r="E89" s="615">
        <v>1001735567</v>
      </c>
      <c r="F89" s="614">
        <v>2022</v>
      </c>
      <c r="G89" s="607">
        <f t="shared" si="4"/>
        <v>0</v>
      </c>
      <c r="H89" s="608" t="str">
        <f>IF(IFERROR(VLOOKUP(E89,מרכבה!A:K,4,0),"")=K89,"","no")</f>
        <v/>
      </c>
      <c r="I89" s="607">
        <f>IFERROR(VLOOKUP(D89,מרכבה!A:K,7,0),"")</f>
        <v>2025</v>
      </c>
      <c r="J89" s="607">
        <f>IFERROR(VLOOKUP(D89,מרכבה!A:K,5,0),"")</f>
        <v>40000564</v>
      </c>
      <c r="K89" s="607">
        <f>IFERROR(VLOOKUP(D89,מרכבה!A:K,4,0),"")</f>
        <v>580215333</v>
      </c>
      <c r="L89" s="607" t="str">
        <f>IFERROR(VLOOKUP(D89,מרכבה!A:K,6,0),"")</f>
        <v>עמותת הכוריאוגרפים (ע"ר)</v>
      </c>
      <c r="M89" s="607" t="str">
        <f>IFERROR(VLOOKUP(D89,מרכבה!A:K,2,0),"")</f>
        <v>תמי ליבוביץ-תמיכה ביוצרת עצמאית</v>
      </c>
      <c r="N89" s="609">
        <f>IFERROR(VLOOKUP(D89,מרכבה!A:K,8,0),"")</f>
        <v>295000</v>
      </c>
      <c r="O89" s="610">
        <f>IFERROR(VLOOKUP(E89,מרכבה!A:K,9,0),0)</f>
        <v>61466</v>
      </c>
      <c r="P89" s="611">
        <f>'הגבלה לסכום מבוקש (2)'!W89</f>
        <v>60804.098046678853</v>
      </c>
      <c r="Q89" s="612">
        <f t="shared" si="5"/>
        <v>-1.076858675236958E-2</v>
      </c>
      <c r="R89" s="196">
        <f>'קיזוזים בגין איחורים'!F99</f>
        <v>0</v>
      </c>
      <c r="S89" s="197">
        <f>'קיזוזים- החלטות ועדה'!E99</f>
        <v>0</v>
      </c>
      <c r="T89" s="194"/>
      <c r="U89" s="193" t="s">
        <v>1044</v>
      </c>
    </row>
    <row r="90" spans="2:21" ht="31.5" x14ac:dyDescent="0.25">
      <c r="B90" s="191">
        <f t="shared" si="3"/>
        <v>70</v>
      </c>
      <c r="C90" s="192" t="str">
        <f>'הגבלה לסכום מבוקש (2)'!C90</f>
        <v>תמר בורר</v>
      </c>
      <c r="D90" s="613">
        <v>1001827786</v>
      </c>
      <c r="E90" s="613">
        <v>1001735568</v>
      </c>
      <c r="F90" s="614">
        <v>2022</v>
      </c>
      <c r="G90" s="607">
        <f t="shared" si="4"/>
        <v>0</v>
      </c>
      <c r="H90" s="608" t="str">
        <f>IF(IFERROR(VLOOKUP(E90,מרכבה!A:K,4,0),"")=K90,"","no")</f>
        <v/>
      </c>
      <c r="I90" s="607">
        <f>IFERROR(VLOOKUP(D90,מרכבה!A:K,7,0),"")</f>
        <v>2025</v>
      </c>
      <c r="J90" s="607">
        <f>IFERROR(VLOOKUP(D90,מרכבה!A:K,5,0),"")</f>
        <v>40000564</v>
      </c>
      <c r="K90" s="607">
        <f>IFERROR(VLOOKUP(D90,מרכבה!A:K,4,0),"")</f>
        <v>580215333</v>
      </c>
      <c r="L90" s="607" t="str">
        <f>IFERROR(VLOOKUP(D90,מרכבה!A:K,6,0),"")</f>
        <v>עמותת הכוריאוגרפים (ע"ר)</v>
      </c>
      <c r="M90" s="607" t="str">
        <f>IFERROR(VLOOKUP(D90,מרכבה!A:K,2,0),"")</f>
        <v>תמר בורר-תמיכה ביוצרת עצמאית</v>
      </c>
      <c r="N90" s="609">
        <f>IFERROR(VLOOKUP(D90,מרכבה!A:K,8,0),"")</f>
        <v>295000</v>
      </c>
      <c r="O90" s="610">
        <f>IFERROR(VLOOKUP(E90,מרכבה!A:K,9,0),0)</f>
        <v>76073</v>
      </c>
      <c r="P90" s="611">
        <f>'הגבלה לסכום מבוקש (2)'!W90</f>
        <v>70403.206666451675</v>
      </c>
      <c r="Q90" s="612">
        <f t="shared" si="5"/>
        <v>-7.4530954918937353E-2</v>
      </c>
      <c r="R90" s="196">
        <f>'קיזוזים בגין איחורים'!F100</f>
        <v>0</v>
      </c>
      <c r="S90" s="197">
        <f>'קיזוזים- החלטות ועדה'!E100</f>
        <v>0</v>
      </c>
      <c r="T90" s="194"/>
      <c r="U90" s="193" t="s">
        <v>1044</v>
      </c>
    </row>
    <row r="91" spans="2:21" ht="63" x14ac:dyDescent="0.25">
      <c r="B91" s="191">
        <f t="shared" si="3"/>
        <v>71</v>
      </c>
      <c r="C91" s="192" t="str">
        <f>'הגבלה לסכום מבוקש (2)'!C91</f>
        <v>תמי ורונן יצחקי</v>
      </c>
      <c r="D91" s="615">
        <v>1001827784</v>
      </c>
      <c r="E91" s="615">
        <v>1001777068</v>
      </c>
      <c r="F91" s="614">
        <v>2019</v>
      </c>
      <c r="G91" s="607">
        <f t="shared" si="4"/>
        <v>1</v>
      </c>
      <c r="H91" s="608" t="str">
        <f>IF(IFERROR(VLOOKUP(E91,מרכבה!A:K,4,0),"")=K91,"","no")</f>
        <v>no</v>
      </c>
      <c r="I91" s="607">
        <f>IFERROR(VLOOKUP(D91,מרכבה!A:K,7,0),"")</f>
        <v>2025</v>
      </c>
      <c r="J91" s="607">
        <f>IFERROR(VLOOKUP(D91,מרכבה!A:K,5,0),"")</f>
        <v>40000564</v>
      </c>
      <c r="K91" s="607">
        <f>IFERROR(VLOOKUP(D91,מרכבה!A:K,4,0),"")</f>
        <v>580215333</v>
      </c>
      <c r="L91" s="607" t="str">
        <f>IFERROR(VLOOKUP(D91,מרכבה!A:K,6,0),"")</f>
        <v>עמותת הכוריאוגרפים (ע"ר)</v>
      </c>
      <c r="M91" s="607" t="str">
        <f>IFERROR(VLOOKUP(D91,מרכבה!A:K,2,0),"")</f>
        <v>תמי ורונן יצחקי-תמיכה ביוצרים עצמאיים</v>
      </c>
      <c r="N91" s="609">
        <f>IFERROR(VLOOKUP(D91,מרכבה!A:K,8,0),"")</f>
        <v>295000</v>
      </c>
      <c r="O91" s="610">
        <f>IFERROR(VLOOKUP(E91,מרכבה!A:K,9,0),0)</f>
        <v>91811</v>
      </c>
      <c r="P91" s="611">
        <f>'הגבלה לסכום מבוקש (2)'!W91</f>
        <v>93115.524924557205</v>
      </c>
      <c r="Q91" s="612">
        <f t="shared" si="5"/>
        <v>1.4208808580205012E-2</v>
      </c>
      <c r="R91" s="196">
        <f>'קיזוזים בגין איחורים'!F101</f>
        <v>0</v>
      </c>
      <c r="S91" s="197">
        <f>'קיזוזים- החלטות ועדה'!E101</f>
        <v>0</v>
      </c>
      <c r="T91" s="194"/>
      <c r="U91" s="193" t="s">
        <v>1046</v>
      </c>
    </row>
    <row r="92" spans="2:21" ht="31.5" x14ac:dyDescent="0.25">
      <c r="B92" s="191">
        <f t="shared" si="3"/>
        <v>72</v>
      </c>
      <c r="C92" s="192" t="str">
        <f>'הגבלה לסכום מבוקש (2)'!C92</f>
        <v>רננה רז</v>
      </c>
      <c r="D92" s="615">
        <v>1001843028</v>
      </c>
      <c r="E92" s="615">
        <v>1001754411</v>
      </c>
      <c r="F92" s="614">
        <v>2022</v>
      </c>
      <c r="G92" s="607">
        <f t="shared" si="4"/>
        <v>0</v>
      </c>
      <c r="H92" s="608" t="str">
        <f>IF(IFERROR(VLOOKUP(E92,מרכבה!A:K,4,0),"")=K92,"","no")</f>
        <v/>
      </c>
      <c r="I92" s="607">
        <f>IFERROR(VLOOKUP(D92,מרכבה!A:K,7,0),"")</f>
        <v>2025</v>
      </c>
      <c r="J92" s="607">
        <f>IFERROR(VLOOKUP(D92,מרכבה!A:K,5,0),"")</f>
        <v>41489877</v>
      </c>
      <c r="K92" s="607">
        <f>IFERROR(VLOOKUP(D92,מרכבה!A:K,4,0),"")</f>
        <v>580635423</v>
      </c>
      <c r="L92" s="607" t="str">
        <f>IFERROR(VLOOKUP(D92,מרכבה!A:K,6,0),"")</f>
        <v>עמותת רננה רז - מחול ויצירה רב תחומ</v>
      </c>
      <c r="M92" s="607" t="str">
        <f>IFERROR(VLOOKUP(D92,מרכבה!A:K,2,0),"")</f>
        <v>בקשת תמיכה שוטפת לשנת 2025</v>
      </c>
      <c r="N92" s="609">
        <f>IFERROR(VLOOKUP(D92,מרכבה!A:K,8,0),"")</f>
        <v>230000</v>
      </c>
      <c r="O92" s="610">
        <f>IFERROR(VLOOKUP(E92,מרכבה!A:K,9,0),0)</f>
        <v>185871</v>
      </c>
      <c r="P92" s="611">
        <f>'הגבלה לסכום מבוקש (2)'!W92</f>
        <v>184349.44001703334</v>
      </c>
      <c r="Q92" s="612">
        <f t="shared" si="5"/>
        <v>-8.1861074775875231E-3</v>
      </c>
      <c r="R92" s="196">
        <f>'קיזוזים בגין איחורים'!F102</f>
        <v>0</v>
      </c>
      <c r="S92" s="197">
        <f>'קיזוזים- החלטות ועדה'!E102</f>
        <v>0</v>
      </c>
      <c r="T92" s="194"/>
      <c r="U92" s="193" t="s">
        <v>1044</v>
      </c>
    </row>
    <row r="93" spans="2:21" ht="31.5" x14ac:dyDescent="0.25">
      <c r="B93" s="191">
        <f t="shared" si="3"/>
        <v>73</v>
      </c>
      <c r="C93" s="192" t="str">
        <f>'הגבלה לסכום מבוקש (2)'!C93</f>
        <v>רתם תשח</v>
      </c>
      <c r="D93" s="615">
        <v>1001827772</v>
      </c>
      <c r="E93" s="615">
        <v>1001735553</v>
      </c>
      <c r="F93" s="614">
        <v>2022</v>
      </c>
      <c r="G93" s="607">
        <f t="shared" si="4"/>
        <v>0</v>
      </c>
      <c r="H93" s="608" t="str">
        <f>IF(IFERROR(VLOOKUP(E93,מרכבה!A:K,4,0),"")=K93,"","no")</f>
        <v/>
      </c>
      <c r="I93" s="607">
        <f>IFERROR(VLOOKUP(D93,מרכבה!A:K,7,0),"")</f>
        <v>2025</v>
      </c>
      <c r="J93" s="607">
        <f>IFERROR(VLOOKUP(D93,מרכבה!A:K,5,0),"")</f>
        <v>40000564</v>
      </c>
      <c r="K93" s="607">
        <f>IFERROR(VLOOKUP(D93,מרכבה!A:K,4,0),"")</f>
        <v>580215333</v>
      </c>
      <c r="L93" s="607" t="str">
        <f>IFERROR(VLOOKUP(D93,מרכבה!A:K,6,0),"")</f>
        <v>עמותת הכוריאוגרפים (ע"ר)</v>
      </c>
      <c r="M93" s="607" t="str">
        <f>IFERROR(VLOOKUP(D93,מרכבה!A:K,2,0),"")</f>
        <v>רותם תשח-תמיכה ביוצר עצמאי</v>
      </c>
      <c r="N93" s="609">
        <f>IFERROR(VLOOKUP(D93,מרכבה!A:K,8,0),"")</f>
        <v>295000</v>
      </c>
      <c r="O93" s="610">
        <f>IFERROR(VLOOKUP(E93,מרכבה!A:K,9,0),0)</f>
        <v>37843</v>
      </c>
      <c r="P93" s="611">
        <f>'הגבלה לסכום מבוקש (2)'!W93</f>
        <v>38037.776124086173</v>
      </c>
      <c r="Q93" s="612">
        <f t="shared" si="5"/>
        <v>5.1469525166125685E-3</v>
      </c>
      <c r="R93" s="196">
        <f>'קיזוזים בגין איחורים'!F103</f>
        <v>0</v>
      </c>
      <c r="S93" s="197">
        <f>'קיזוזים- החלטות ועדה'!E103</f>
        <v>0</v>
      </c>
      <c r="T93" s="194"/>
      <c r="U93" s="193" t="s">
        <v>1047</v>
      </c>
    </row>
    <row r="94" spans="2:21" x14ac:dyDescent="0.25">
      <c r="B94" s="191" t="str">
        <f t="shared" si="3"/>
        <v/>
      </c>
      <c r="C94" s="192" t="str">
        <f>'הגבלה לסכום מבוקש (2)'!C94</f>
        <v/>
      </c>
      <c r="D94" s="613"/>
      <c r="E94" s="613"/>
      <c r="F94" s="614"/>
      <c r="G94" s="607" t="str">
        <f t="shared" si="4"/>
        <v/>
      </c>
      <c r="H94" s="608" t="str">
        <f>IF(IFERROR(VLOOKUP(E94,מרכבה!A:K,4,0),"")=K94,"","no")</f>
        <v/>
      </c>
      <c r="I94" s="607" t="str">
        <f>IFERROR(VLOOKUP(D94,מרכבה!A:K,7,0),"")</f>
        <v/>
      </c>
      <c r="J94" s="607" t="str">
        <f>IFERROR(VLOOKUP(D94,מרכבה!A:K,5,0),"")</f>
        <v/>
      </c>
      <c r="K94" s="607" t="str">
        <f>IFERROR(VLOOKUP(D94,מרכבה!A:K,4,0),"")</f>
        <v/>
      </c>
      <c r="L94" s="607" t="str">
        <f>IFERROR(VLOOKUP(D94,מרכבה!A:K,6,0),"")</f>
        <v/>
      </c>
      <c r="M94" s="607" t="str">
        <f>IFERROR(VLOOKUP(D94,מרכבה!A:K,2,0),"")</f>
        <v/>
      </c>
      <c r="N94" s="609" t="str">
        <f>IFERROR(VLOOKUP(D94,מרכבה!A:K,8,0),"")</f>
        <v/>
      </c>
      <c r="O94" s="610">
        <f>IFERROR(VLOOKUP(E94,מרכבה!A:K,9,0),0)</f>
        <v>0</v>
      </c>
      <c r="P94" s="611" t="str">
        <f>'הגבלה לסכום מבוקש (2)'!W94</f>
        <v/>
      </c>
      <c r="Q94" s="612" t="str">
        <f t="shared" si="5"/>
        <v/>
      </c>
      <c r="R94" s="196" t="str">
        <f>'קיזוזים בגין איחורים'!F104</f>
        <v/>
      </c>
      <c r="S94" s="197">
        <f>'קיזוזים- החלטות ועדה'!E104</f>
        <v>0</v>
      </c>
      <c r="T94" s="194"/>
      <c r="U94" s="193"/>
    </row>
    <row r="95" spans="2:21" x14ac:dyDescent="0.25">
      <c r="B95" s="191" t="str">
        <f t="shared" si="3"/>
        <v/>
      </c>
      <c r="C95" s="192" t="str">
        <f>'הגבלה לסכום מבוקש (2)'!C95</f>
        <v/>
      </c>
      <c r="D95" s="613"/>
      <c r="E95" s="613"/>
      <c r="F95" s="614"/>
      <c r="G95" s="607" t="str">
        <f t="shared" si="4"/>
        <v/>
      </c>
      <c r="H95" s="608" t="str">
        <f>IF(IFERROR(VLOOKUP(E95,מרכבה!A:K,4,0),"")=K95,"","no")</f>
        <v/>
      </c>
      <c r="I95" s="607" t="str">
        <f>IFERROR(VLOOKUP(D95,מרכבה!A:K,7,0),"")</f>
        <v/>
      </c>
      <c r="J95" s="607" t="str">
        <f>IFERROR(VLOOKUP(D95,מרכבה!A:K,5,0),"")</f>
        <v/>
      </c>
      <c r="K95" s="607" t="str">
        <f>IFERROR(VLOOKUP(D95,מרכבה!A:K,4,0),"")</f>
        <v/>
      </c>
      <c r="L95" s="607" t="str">
        <f>IFERROR(VLOOKUP(D95,מרכבה!A:K,6,0),"")</f>
        <v/>
      </c>
      <c r="M95" s="607" t="str">
        <f>IFERROR(VLOOKUP(D95,מרכבה!A:K,2,0),"")</f>
        <v/>
      </c>
      <c r="N95" s="609" t="str">
        <f>IFERROR(VLOOKUP(D95,מרכבה!A:K,8,0),"")</f>
        <v/>
      </c>
      <c r="O95" s="610">
        <f>IFERROR(VLOOKUP(E95,מרכבה!A:K,9,0),0)</f>
        <v>0</v>
      </c>
      <c r="P95" s="611" t="str">
        <f>'הגבלה לסכום מבוקש (2)'!W95</f>
        <v/>
      </c>
      <c r="Q95" s="612" t="str">
        <f t="shared" si="5"/>
        <v/>
      </c>
      <c r="R95" s="196" t="str">
        <f>'קיזוזים בגין איחורים'!F105</f>
        <v/>
      </c>
      <c r="S95" s="197">
        <f>'קיזוזים- החלטות ועדה'!E105</f>
        <v>0</v>
      </c>
      <c r="T95" s="194"/>
      <c r="U95" s="193"/>
    </row>
    <row r="96" spans="2:21" ht="31.5" x14ac:dyDescent="0.25">
      <c r="B96" s="191">
        <f t="shared" si="3"/>
        <v>76</v>
      </c>
      <c r="C96" s="192" t="str">
        <f>'הגבלה לסכום מבוקש (2)'!C96</f>
        <v>שרון שגיא - פלמנקו</v>
      </c>
      <c r="D96" s="613">
        <v>1001823658</v>
      </c>
      <c r="E96" s="613">
        <v>1001736496</v>
      </c>
      <c r="F96" s="614">
        <v>2021</v>
      </c>
      <c r="G96" s="607">
        <f t="shared" si="4"/>
        <v>1</v>
      </c>
      <c r="H96" s="608" t="str">
        <f>IF(IFERROR(VLOOKUP(E96,מרכבה!A:K,4,0),"")=K96,"","no")</f>
        <v/>
      </c>
      <c r="I96" s="607">
        <f>IFERROR(VLOOKUP(D96,מרכבה!A:K,7,0),"")</f>
        <v>2025</v>
      </c>
      <c r="J96" s="607">
        <f>IFERROR(VLOOKUP(D96,מרכבה!A:K,5,0),"")</f>
        <v>41556008</v>
      </c>
      <c r="K96" s="607">
        <f>IFERROR(VLOOKUP(D96,מרכבה!A:K,4,0),"")</f>
        <v>580651362</v>
      </c>
      <c r="L96" s="607" t="str">
        <f>IFERROR(VLOOKUP(D96,מרכבה!A:K,6,0),"")</f>
        <v>פלמנקו נטורל - המרכז לאמנות הפלמנקו</v>
      </c>
      <c r="M96" s="607" t="str">
        <f>IFERROR(VLOOKUP(D96,מרכבה!A:K,2,0),"")</f>
        <v>תמיכה לפעילות שוטפת</v>
      </c>
      <c r="N96" s="609">
        <f>IFERROR(VLOOKUP(D96,מרכבה!A:K,8,0),"")</f>
        <v>280000</v>
      </c>
      <c r="O96" s="610">
        <f>IFERROR(VLOOKUP(E96,מרכבה!A:K,9,0),0)</f>
        <v>209701</v>
      </c>
      <c r="P96" s="611">
        <f>'הגבלה לסכום מבוקש (2)'!W96</f>
        <v>246451.7604049053</v>
      </c>
      <c r="Q96" s="612">
        <f t="shared" si="5"/>
        <v>0.17525314807704917</v>
      </c>
      <c r="R96" s="196">
        <f>'קיזוזים בגין איחורים'!F106</f>
        <v>0</v>
      </c>
      <c r="S96" s="197">
        <f>'קיזוזים- החלטות ועדה'!E106</f>
        <v>0</v>
      </c>
      <c r="T96" s="194"/>
      <c r="U96" s="193" t="s">
        <v>1045</v>
      </c>
    </row>
    <row r="97" spans="2:21" x14ac:dyDescent="0.25">
      <c r="B97" s="191" t="str">
        <f t="shared" si="3"/>
        <v/>
      </c>
      <c r="C97" s="192" t="str">
        <f>'הגבלה לסכום מבוקש (2)'!C97</f>
        <v/>
      </c>
      <c r="D97" s="613"/>
      <c r="E97" s="613"/>
      <c r="F97" s="614"/>
      <c r="G97" s="607" t="str">
        <f t="shared" si="4"/>
        <v/>
      </c>
      <c r="H97" s="608" t="str">
        <f>IF(IFERROR(VLOOKUP(E97,מרכבה!A:K,4,0),"")=K97,"","no")</f>
        <v/>
      </c>
      <c r="I97" s="607" t="str">
        <f>IFERROR(VLOOKUP(D97,מרכבה!A:K,7,0),"")</f>
        <v/>
      </c>
      <c r="J97" s="607" t="str">
        <f>IFERROR(VLOOKUP(D97,מרכבה!A:K,5,0),"")</f>
        <v/>
      </c>
      <c r="K97" s="607" t="str">
        <f>IFERROR(VLOOKUP(D97,מרכבה!A:K,4,0),"")</f>
        <v/>
      </c>
      <c r="L97" s="607" t="str">
        <f>IFERROR(VLOOKUP(D97,מרכבה!A:K,6,0),"")</f>
        <v/>
      </c>
      <c r="M97" s="607" t="str">
        <f>IFERROR(VLOOKUP(D97,מרכבה!A:K,2,0),"")</f>
        <v/>
      </c>
      <c r="N97" s="609" t="str">
        <f>IFERROR(VLOOKUP(D97,מרכבה!A:K,8,0),"")</f>
        <v/>
      </c>
      <c r="O97" s="610">
        <f>IFERROR(VLOOKUP(E97,מרכבה!A:K,9,0),0)</f>
        <v>0</v>
      </c>
      <c r="P97" s="611" t="str">
        <f>'הגבלה לסכום מבוקש (2)'!W97</f>
        <v/>
      </c>
      <c r="Q97" s="612" t="str">
        <f t="shared" si="5"/>
        <v/>
      </c>
      <c r="R97" s="196" t="str">
        <f>'קיזוזים בגין איחורים'!F107</f>
        <v/>
      </c>
      <c r="S97" s="197">
        <f>'קיזוזים- החלטות ועדה'!E107</f>
        <v>0</v>
      </c>
      <c r="T97" s="194"/>
      <c r="U97" s="193"/>
    </row>
    <row r="98" spans="2:21" ht="31.5" x14ac:dyDescent="0.25">
      <c r="B98" s="191">
        <f t="shared" si="3"/>
        <v>78</v>
      </c>
      <c r="C98" s="192" t="str">
        <f>'הגבלה לסכום מבוקש (2)'!C98</f>
        <v>אוליביה קורט מסה</v>
      </c>
      <c r="D98" s="613">
        <v>1001827320</v>
      </c>
      <c r="E98" s="613"/>
      <c r="F98" s="614">
        <v>2020</v>
      </c>
      <c r="G98" s="607">
        <f t="shared" si="4"/>
        <v>1</v>
      </c>
      <c r="H98" s="608" t="str">
        <f>IF(IFERROR(VLOOKUP(E98,מרכבה!A:K,4,0),"")=K98,"","no")</f>
        <v>no</v>
      </c>
      <c r="I98" s="607">
        <f>IFERROR(VLOOKUP(D98,מרכבה!A:K,7,0),"")</f>
        <v>2025</v>
      </c>
      <c r="J98" s="607">
        <f>IFERROR(VLOOKUP(D98,מרכבה!A:K,5,0),"")</f>
        <v>40000564</v>
      </c>
      <c r="K98" s="607">
        <f>IFERROR(VLOOKUP(D98,מרכבה!A:K,4,0),"")</f>
        <v>580215333</v>
      </c>
      <c r="L98" s="607" t="str">
        <f>IFERROR(VLOOKUP(D98,מרכבה!A:K,6,0),"")</f>
        <v>עמותת הכוריאוגרפים (ע"ר)</v>
      </c>
      <c r="M98" s="607" t="str">
        <f>IFERROR(VLOOKUP(D98,מרכבה!A:K,2,0),"")</f>
        <v>אוליביה קורט מסה-תמיכה ביוצרת עצמאית</v>
      </c>
      <c r="N98" s="609">
        <f>IFERROR(VLOOKUP(D98,מרכבה!A:K,8,0),"")</f>
        <v>295000</v>
      </c>
      <c r="O98" s="610">
        <f>IFERROR(VLOOKUP(E98,מרכבה!A:K,9,0),0)</f>
        <v>0</v>
      </c>
      <c r="P98" s="611">
        <f>'הגבלה לסכום מבוקש (2)'!W98</f>
        <v>98573.416263819221</v>
      </c>
      <c r="Q98" s="612" t="str">
        <f t="shared" si="5"/>
        <v/>
      </c>
      <c r="R98" s="196">
        <f>'קיזוזים בגין איחורים'!F108</f>
        <v>0</v>
      </c>
      <c r="S98" s="197">
        <f>'קיזוזים- החלטות ועדה'!E108</f>
        <v>0</v>
      </c>
      <c r="T98" s="194"/>
      <c r="U98" s="193" t="s">
        <v>1048</v>
      </c>
    </row>
    <row r="99" spans="2:21" x14ac:dyDescent="0.25">
      <c r="B99" s="191" t="str">
        <f t="shared" si="3"/>
        <v/>
      </c>
      <c r="C99" s="192" t="str">
        <f>'הגבלה לסכום מבוקש (2)'!C99</f>
        <v/>
      </c>
      <c r="D99" s="613"/>
      <c r="E99" s="613"/>
      <c r="F99" s="614"/>
      <c r="G99" s="607" t="str">
        <f t="shared" si="4"/>
        <v/>
      </c>
      <c r="H99" s="608" t="str">
        <f>IF(IFERROR(VLOOKUP(E99,מרכבה!A:K,4,0),"")=K99,"","no")</f>
        <v/>
      </c>
      <c r="I99" s="607" t="str">
        <f>IFERROR(VLOOKUP(D99,מרכבה!A:K,7,0),"")</f>
        <v/>
      </c>
      <c r="J99" s="607" t="str">
        <f>IFERROR(VLOOKUP(D99,מרכבה!A:K,5,0),"")</f>
        <v/>
      </c>
      <c r="K99" s="607" t="str">
        <f>IFERROR(VLOOKUP(D99,מרכבה!A:K,4,0),"")</f>
        <v/>
      </c>
      <c r="L99" s="607" t="str">
        <f>IFERROR(VLOOKUP(D99,מרכבה!A:K,6,0),"")</f>
        <v/>
      </c>
      <c r="M99" s="607" t="str">
        <f>IFERROR(VLOOKUP(D99,מרכבה!A:K,2,0),"")</f>
        <v/>
      </c>
      <c r="N99" s="609" t="str">
        <f>IFERROR(VLOOKUP(D99,מרכבה!A:K,8,0),"")</f>
        <v/>
      </c>
      <c r="O99" s="610">
        <f>IFERROR(VLOOKUP(E99,מרכבה!A:K,9,0),0)</f>
        <v>0</v>
      </c>
      <c r="P99" s="611" t="str">
        <f>'הגבלה לסכום מבוקש (2)'!W99</f>
        <v/>
      </c>
      <c r="Q99" s="612" t="str">
        <f t="shared" si="5"/>
        <v/>
      </c>
      <c r="R99" s="196" t="str">
        <f>'קיזוזים בגין איחורים'!F109</f>
        <v/>
      </c>
      <c r="S99" s="197">
        <f>'קיזוזים- החלטות ועדה'!E109</f>
        <v>0</v>
      </c>
      <c r="T99" s="194"/>
      <c r="U99" s="193"/>
    </row>
    <row r="100" spans="2:21" x14ac:dyDescent="0.25">
      <c r="B100" s="191" t="str">
        <f t="shared" si="3"/>
        <v/>
      </c>
      <c r="C100" s="192" t="str">
        <f>'הגבלה לסכום מבוקש (2)'!C100</f>
        <v/>
      </c>
      <c r="D100" s="615"/>
      <c r="E100" s="615"/>
      <c r="F100" s="614"/>
      <c r="G100" s="607" t="str">
        <f t="shared" si="4"/>
        <v/>
      </c>
      <c r="H100" s="608" t="str">
        <f>IF(IFERROR(VLOOKUP(E100,מרכבה!A:K,4,0),"")=K100,"","no")</f>
        <v/>
      </c>
      <c r="I100" s="607" t="str">
        <f>IFERROR(VLOOKUP(D100,מרכבה!A:K,7,0),"")</f>
        <v/>
      </c>
      <c r="J100" s="607" t="str">
        <f>IFERROR(VLOOKUP(D100,מרכבה!A:K,5,0),"")</f>
        <v/>
      </c>
      <c r="K100" s="607" t="str">
        <f>IFERROR(VLOOKUP(D100,מרכבה!A:K,4,0),"")</f>
        <v/>
      </c>
      <c r="L100" s="607" t="str">
        <f>IFERROR(VLOOKUP(D100,מרכבה!A:K,6,0),"")</f>
        <v/>
      </c>
      <c r="M100" s="607" t="str">
        <f>IFERROR(VLOOKUP(D100,מרכבה!A:K,2,0),"")</f>
        <v/>
      </c>
      <c r="N100" s="609" t="str">
        <f>IFERROR(VLOOKUP(D100,מרכבה!A:K,8,0),"")</f>
        <v/>
      </c>
      <c r="O100" s="610">
        <f>IFERROR(VLOOKUP(E100,מרכבה!A:K,9,0),0)</f>
        <v>0</v>
      </c>
      <c r="P100" s="611" t="str">
        <f>'הגבלה לסכום מבוקש (2)'!W100</f>
        <v/>
      </c>
      <c r="Q100" s="612" t="str">
        <f t="shared" si="5"/>
        <v/>
      </c>
      <c r="R100" s="196" t="str">
        <f>'קיזוזים בגין איחורים'!F110</f>
        <v/>
      </c>
      <c r="S100" s="197">
        <f>'קיזוזים- החלטות ועדה'!E110</f>
        <v>0</v>
      </c>
      <c r="T100" s="194"/>
      <c r="U100" s="193"/>
    </row>
    <row r="101" spans="2:21" ht="31.5" x14ac:dyDescent="0.25">
      <c r="B101" s="191">
        <f t="shared" si="3"/>
        <v>81</v>
      </c>
      <c r="C101" s="192" t="str">
        <f>'הגבלה לסכום מבוקש (2)'!C101</f>
        <v>דגה פדר</v>
      </c>
      <c r="D101" s="615">
        <v>1001827336</v>
      </c>
      <c r="E101" s="615">
        <v>1001735460</v>
      </c>
      <c r="F101" s="614">
        <v>2021</v>
      </c>
      <c r="G101" s="607">
        <f t="shared" si="4"/>
        <v>1</v>
      </c>
      <c r="H101" s="608" t="str">
        <f>IF(IFERROR(VLOOKUP(E101,מרכבה!A:K,4,0),"")=K101,"","no")</f>
        <v/>
      </c>
      <c r="I101" s="607">
        <f>IFERROR(VLOOKUP(D101,מרכבה!A:K,7,0),"")</f>
        <v>2025</v>
      </c>
      <c r="J101" s="607">
        <f>IFERROR(VLOOKUP(D101,מרכבה!A:K,5,0),"")</f>
        <v>40000564</v>
      </c>
      <c r="K101" s="607">
        <f>IFERROR(VLOOKUP(D101,מרכבה!A:K,4,0),"")</f>
        <v>580215333</v>
      </c>
      <c r="L101" s="607" t="str">
        <f>IFERROR(VLOOKUP(D101,מרכבה!A:K,6,0),"")</f>
        <v>עמותת הכוריאוגרפים (ע"ר)</v>
      </c>
      <c r="M101" s="607" t="str">
        <f>IFERROR(VLOOKUP(D101,מרכבה!A:K,2,0),"")</f>
        <v>דגה פדר-תמיכה ביוצרת עצמאית</v>
      </c>
      <c r="N101" s="609">
        <f>IFERROR(VLOOKUP(D101,מרכבה!A:K,8,0),"")</f>
        <v>295000</v>
      </c>
      <c r="O101" s="610">
        <f>IFERROR(VLOOKUP(E101,מרכבה!A:K,9,0),0)</f>
        <v>35296</v>
      </c>
      <c r="P101" s="611">
        <f>'הגבלה לסכום מבוקש (2)'!W101</f>
        <v>35122.323146623959</v>
      </c>
      <c r="Q101" s="612">
        <f t="shared" si="5"/>
        <v>-4.9205817479612834E-3</v>
      </c>
      <c r="R101" s="196">
        <f>'קיזוזים בגין איחורים'!F111</f>
        <v>0</v>
      </c>
      <c r="S101" s="197">
        <f>'קיזוזים- החלטות ועדה'!E111</f>
        <v>0</v>
      </c>
      <c r="T101" s="194"/>
      <c r="U101" s="193" t="s">
        <v>1044</v>
      </c>
    </row>
    <row r="102" spans="2:21" ht="31.5" x14ac:dyDescent="0.25">
      <c r="B102" s="191">
        <f t="shared" si="3"/>
        <v>82</v>
      </c>
      <c r="C102" s="192" t="str">
        <f>'הגבלה לסכום מבוקש (2)'!C102</f>
        <v>דנה חפוטה</v>
      </c>
      <c r="D102" s="613">
        <v>1001827338</v>
      </c>
      <c r="E102" s="613">
        <v>1001735462</v>
      </c>
      <c r="F102" s="614">
        <v>2021</v>
      </c>
      <c r="G102" s="607">
        <f t="shared" si="4"/>
        <v>1</v>
      </c>
      <c r="H102" s="608" t="str">
        <f>IF(IFERROR(VLOOKUP(E102,מרכבה!A:K,4,0),"")=K102,"","no")</f>
        <v/>
      </c>
      <c r="I102" s="607">
        <f>IFERROR(VLOOKUP(D102,מרכבה!A:K,7,0),"")</f>
        <v>2025</v>
      </c>
      <c r="J102" s="607">
        <f>IFERROR(VLOOKUP(D102,מרכבה!A:K,5,0),"")</f>
        <v>40000564</v>
      </c>
      <c r="K102" s="607">
        <f>IFERROR(VLOOKUP(D102,מרכבה!A:K,4,0),"")</f>
        <v>580215333</v>
      </c>
      <c r="L102" s="607" t="str">
        <f>IFERROR(VLOOKUP(D102,מרכבה!A:K,6,0),"")</f>
        <v>עמותת הכוריאוגרפים (ע"ר)</v>
      </c>
      <c r="M102" s="607" t="str">
        <f>IFERROR(VLOOKUP(D102,מרכבה!A:K,2,0),"")</f>
        <v>דנה חפוטה-תמיכה ביוצרת עצמאית</v>
      </c>
      <c r="N102" s="609">
        <f>IFERROR(VLOOKUP(D102,מרכבה!A:K,8,0),"")</f>
        <v>295000</v>
      </c>
      <c r="O102" s="610">
        <f>IFERROR(VLOOKUP(E102,מרכבה!A:K,9,0),0)</f>
        <v>40372</v>
      </c>
      <c r="P102" s="611">
        <f>'הגבלה לסכום מבוקש (2)'!W102</f>
        <v>50641.641837943404</v>
      </c>
      <c r="Q102" s="612">
        <f t="shared" si="5"/>
        <v>0.25437535514572973</v>
      </c>
      <c r="R102" s="196">
        <f>'קיזוזים בגין איחורים'!F112</f>
        <v>0</v>
      </c>
      <c r="S102" s="197">
        <f>'קיזוזים- החלטות ועדה'!E112</f>
        <v>0</v>
      </c>
      <c r="T102" s="194"/>
      <c r="U102" s="193" t="s">
        <v>1044</v>
      </c>
    </row>
    <row r="103" spans="2:21" x14ac:dyDescent="0.25">
      <c r="B103" s="191" t="str">
        <f t="shared" si="3"/>
        <v/>
      </c>
      <c r="C103" s="192" t="str">
        <f>'הגבלה לסכום מבוקש (2)'!C103</f>
        <v/>
      </c>
      <c r="D103" s="613"/>
      <c r="E103" s="613"/>
      <c r="F103" s="614"/>
      <c r="G103" s="607" t="str">
        <f t="shared" si="4"/>
        <v/>
      </c>
      <c r="H103" s="608" t="str">
        <f>IF(IFERROR(VLOOKUP(E103,מרכבה!A:K,4,0),"")=K103,"","no")</f>
        <v/>
      </c>
      <c r="I103" s="607" t="str">
        <f>IFERROR(VLOOKUP(D103,מרכבה!A:K,7,0),"")</f>
        <v/>
      </c>
      <c r="J103" s="607" t="str">
        <f>IFERROR(VLOOKUP(D103,מרכבה!A:K,5,0),"")</f>
        <v/>
      </c>
      <c r="K103" s="607" t="str">
        <f>IFERROR(VLOOKUP(D103,מרכבה!A:K,4,0),"")</f>
        <v/>
      </c>
      <c r="L103" s="607" t="str">
        <f>IFERROR(VLOOKUP(D103,מרכבה!A:K,6,0),"")</f>
        <v/>
      </c>
      <c r="M103" s="607" t="str">
        <f>IFERROR(VLOOKUP(D103,מרכבה!A:K,2,0),"")</f>
        <v/>
      </c>
      <c r="N103" s="609" t="str">
        <f>IFERROR(VLOOKUP(D103,מרכבה!A:K,8,0),"")</f>
        <v/>
      </c>
      <c r="O103" s="610">
        <f>IFERROR(VLOOKUP(E103,מרכבה!A:K,9,0),0)</f>
        <v>0</v>
      </c>
      <c r="P103" s="611" t="str">
        <f>'הגבלה לסכום מבוקש (2)'!W103</f>
        <v/>
      </c>
      <c r="Q103" s="612" t="str">
        <f t="shared" si="5"/>
        <v/>
      </c>
      <c r="R103" s="196" t="str">
        <f>'קיזוזים בגין איחורים'!F113</f>
        <v/>
      </c>
      <c r="S103" s="197">
        <f>'קיזוזים- החלטות ועדה'!E113</f>
        <v>0</v>
      </c>
      <c r="T103" s="194"/>
      <c r="U103" s="193"/>
    </row>
    <row r="104" spans="2:21" x14ac:dyDescent="0.25">
      <c r="B104" s="191" t="str">
        <f t="shared" si="3"/>
        <v/>
      </c>
      <c r="C104" s="192" t="str">
        <f>'הגבלה לסכום מבוקש (2)'!C104</f>
        <v/>
      </c>
      <c r="D104" s="613"/>
      <c r="E104" s="613"/>
      <c r="F104" s="614"/>
      <c r="G104" s="607" t="str">
        <f t="shared" si="4"/>
        <v/>
      </c>
      <c r="H104" s="608" t="str">
        <f>IF(IFERROR(VLOOKUP(E104,מרכבה!A:K,4,0),"")=K104,"","no")</f>
        <v/>
      </c>
      <c r="I104" s="607" t="str">
        <f>IFERROR(VLOOKUP(D104,מרכבה!A:K,7,0),"")</f>
        <v/>
      </c>
      <c r="J104" s="607" t="str">
        <f>IFERROR(VLOOKUP(D104,מרכבה!A:K,5,0),"")</f>
        <v/>
      </c>
      <c r="K104" s="607" t="str">
        <f>IFERROR(VLOOKUP(D104,מרכבה!A:K,4,0),"")</f>
        <v/>
      </c>
      <c r="L104" s="607" t="str">
        <f>IFERROR(VLOOKUP(D104,מרכבה!A:K,6,0),"")</f>
        <v/>
      </c>
      <c r="M104" s="607" t="str">
        <f>IFERROR(VLOOKUP(D104,מרכבה!A:K,2,0),"")</f>
        <v/>
      </c>
      <c r="N104" s="609" t="str">
        <f>IFERROR(VLOOKUP(D104,מרכבה!A:K,8,0),"")</f>
        <v/>
      </c>
      <c r="O104" s="610">
        <f>IFERROR(VLOOKUP(E104,מרכבה!A:K,9,0),0)</f>
        <v>0</v>
      </c>
      <c r="P104" s="611" t="str">
        <f>'הגבלה לסכום מבוקש (2)'!W104</f>
        <v/>
      </c>
      <c r="Q104" s="612" t="str">
        <f t="shared" si="5"/>
        <v/>
      </c>
      <c r="R104" s="196" t="str">
        <f>'קיזוזים בגין איחורים'!F114</f>
        <v/>
      </c>
      <c r="S104" s="197">
        <f>'קיזוזים- החלטות ועדה'!E114</f>
        <v>0</v>
      </c>
      <c r="T104" s="194"/>
      <c r="U104" s="193"/>
    </row>
    <row r="105" spans="2:21" ht="31.5" x14ac:dyDescent="0.25">
      <c r="B105" s="191">
        <f t="shared" si="3"/>
        <v>85</v>
      </c>
      <c r="C105" s="192" t="str">
        <f>'הגבלה לסכום מבוקש (2)'!C105</f>
        <v>יענק'לה פילצר</v>
      </c>
      <c r="D105" s="613">
        <v>1001827347</v>
      </c>
      <c r="E105" s="613">
        <v>1001735491</v>
      </c>
      <c r="F105" s="614">
        <v>2021</v>
      </c>
      <c r="G105" s="607">
        <f t="shared" si="4"/>
        <v>1</v>
      </c>
      <c r="H105" s="608" t="str">
        <f>IF(IFERROR(VLOOKUP(E105,מרכבה!A:K,4,0),"")=K105,"","no")</f>
        <v/>
      </c>
      <c r="I105" s="607">
        <f>IFERROR(VLOOKUP(D105,מרכבה!A:K,7,0),"")</f>
        <v>2025</v>
      </c>
      <c r="J105" s="607">
        <f>IFERROR(VLOOKUP(D105,מרכבה!A:K,5,0),"")</f>
        <v>40000564</v>
      </c>
      <c r="K105" s="607">
        <f>IFERROR(VLOOKUP(D105,מרכבה!A:K,4,0),"")</f>
        <v>580215333</v>
      </c>
      <c r="L105" s="607" t="str">
        <f>IFERROR(VLOOKUP(D105,מרכבה!A:K,6,0),"")</f>
        <v>עמותת הכוריאוגרפים (ע"ר)</v>
      </c>
      <c r="M105" s="607" t="str">
        <f>IFERROR(VLOOKUP(D105,מרכבה!A:K,2,0),"")</f>
        <v>יענקלה פילצר-תמיכה ביוצר עצמאי</v>
      </c>
      <c r="N105" s="609">
        <f>IFERROR(VLOOKUP(D105,מרכבה!A:K,8,0),"")</f>
        <v>295000</v>
      </c>
      <c r="O105" s="610">
        <f>IFERROR(VLOOKUP(E105,מרכבה!A:K,9,0),0)</f>
        <v>118486</v>
      </c>
      <c r="P105" s="611">
        <f>'הגבלה לסכום מבוקש (2)'!W105</f>
        <v>147543.09020021968</v>
      </c>
      <c r="Q105" s="612">
        <f t="shared" si="5"/>
        <v>0.24523648532501463</v>
      </c>
      <c r="R105" s="196">
        <f>'קיזוזים בגין איחורים'!F115</f>
        <v>0</v>
      </c>
      <c r="S105" s="197">
        <f>'קיזוזים- החלטות ועדה'!E115</f>
        <v>0</v>
      </c>
      <c r="T105" s="194"/>
      <c r="U105" s="193" t="s">
        <v>1044</v>
      </c>
    </row>
    <row r="106" spans="2:21" ht="31.5" x14ac:dyDescent="0.25">
      <c r="B106" s="191">
        <f t="shared" si="3"/>
        <v>86</v>
      </c>
      <c r="C106" s="192" t="str">
        <f>'הגבלה לסכום מבוקש (2)'!C106</f>
        <v>ענבל פינטו</v>
      </c>
      <c r="D106" s="613">
        <v>1001827712</v>
      </c>
      <c r="E106" s="613">
        <v>1001735529</v>
      </c>
      <c r="F106" s="614">
        <v>2021</v>
      </c>
      <c r="G106" s="607">
        <f t="shared" si="4"/>
        <v>1</v>
      </c>
      <c r="H106" s="608" t="str">
        <f>IF(IFERROR(VLOOKUP(E106,מרכבה!A:K,4,0),"")=K106,"","no")</f>
        <v/>
      </c>
      <c r="I106" s="607">
        <f>IFERROR(VLOOKUP(D106,מרכבה!A:K,7,0),"")</f>
        <v>2025</v>
      </c>
      <c r="J106" s="607">
        <f>IFERROR(VLOOKUP(D106,מרכבה!A:K,5,0),"")</f>
        <v>40000564</v>
      </c>
      <c r="K106" s="607">
        <f>IFERROR(VLOOKUP(D106,מרכבה!A:K,4,0),"")</f>
        <v>580215333</v>
      </c>
      <c r="L106" s="607" t="str">
        <f>IFERROR(VLOOKUP(D106,מרכבה!A:K,6,0),"")</f>
        <v>עמותת הכוריאוגרפים (ע"ר)</v>
      </c>
      <c r="M106" s="607" t="str">
        <f>IFERROR(VLOOKUP(D106,מרכבה!A:K,2,0),"")</f>
        <v>ענבל פינטו-תמיכה ביוצרת עצמאית</v>
      </c>
      <c r="N106" s="609">
        <f>IFERROR(VLOOKUP(D106,מרכבה!A:K,8,0),"")</f>
        <v>295000</v>
      </c>
      <c r="O106" s="610">
        <f>IFERROR(VLOOKUP(E106,מרכבה!A:K,9,0),0)</f>
        <v>104222</v>
      </c>
      <c r="P106" s="611">
        <f>'הגבלה לסכום מבוקש (2)'!W106</f>
        <v>104815.54946529686</v>
      </c>
      <c r="Q106" s="612">
        <f t="shared" si="5"/>
        <v>5.695049656472273E-3</v>
      </c>
      <c r="R106" s="196">
        <f>'קיזוזים בגין איחורים'!F116</f>
        <v>0</v>
      </c>
      <c r="S106" s="197">
        <f>'קיזוזים- החלטות ועדה'!E116</f>
        <v>0</v>
      </c>
      <c r="T106" s="194"/>
      <c r="U106" s="193" t="s">
        <v>1044</v>
      </c>
    </row>
    <row r="107" spans="2:21" ht="31.5" x14ac:dyDescent="0.25">
      <c r="B107" s="191">
        <f t="shared" si="3"/>
        <v>87</v>
      </c>
      <c r="C107" s="192" t="str">
        <f>'הגבלה לסכום מבוקש (2)'!C107</f>
        <v>רוני חדש</v>
      </c>
      <c r="D107" s="613">
        <v>1001827770</v>
      </c>
      <c r="E107" s="613">
        <v>1001735551</v>
      </c>
      <c r="F107" s="614">
        <v>2021</v>
      </c>
      <c r="G107" s="607">
        <f t="shared" si="4"/>
        <v>1</v>
      </c>
      <c r="H107" s="608" t="str">
        <f>IF(IFERROR(VLOOKUP(E107,מרכבה!A:K,4,0),"")=K107,"","no")</f>
        <v/>
      </c>
      <c r="I107" s="607">
        <f>IFERROR(VLOOKUP(D107,מרכבה!A:K,7,0),"")</f>
        <v>2025</v>
      </c>
      <c r="J107" s="607">
        <f>IFERROR(VLOOKUP(D107,מרכבה!A:K,5,0),"")</f>
        <v>40000564</v>
      </c>
      <c r="K107" s="607">
        <f>IFERROR(VLOOKUP(D107,מרכבה!A:K,4,0),"")</f>
        <v>580215333</v>
      </c>
      <c r="L107" s="607" t="str">
        <f>IFERROR(VLOOKUP(D107,מרכבה!A:K,6,0),"")</f>
        <v>עמותת הכוריאוגרפים (ע"ר)</v>
      </c>
      <c r="M107" s="607" t="str">
        <f>IFERROR(VLOOKUP(D107,מרכבה!A:K,2,0),"")</f>
        <v>רוני חדש-תמיכה ביוצרת עצמאית</v>
      </c>
      <c r="N107" s="609">
        <f>IFERROR(VLOOKUP(D107,מרכבה!A:K,8,0),"")</f>
        <v>295000</v>
      </c>
      <c r="O107" s="610">
        <f>IFERROR(VLOOKUP(E107,מרכבה!A:K,9,0),0)</f>
        <v>113688</v>
      </c>
      <c r="P107" s="611">
        <f>'הגבלה לסכום מבוקש (2)'!W107</f>
        <v>99915.235085259555</v>
      </c>
      <c r="Q107" s="612">
        <f t="shared" si="5"/>
        <v>-0.12114528283319648</v>
      </c>
      <c r="R107" s="196">
        <f>'קיזוזים בגין איחורים'!F117</f>
        <v>0</v>
      </c>
      <c r="S107" s="197">
        <f>'קיזוזים- החלטות ועדה'!E117</f>
        <v>0</v>
      </c>
      <c r="T107" s="194"/>
      <c r="U107" s="193" t="s">
        <v>1044</v>
      </c>
    </row>
    <row r="108" spans="2:21" ht="31.5" x14ac:dyDescent="0.25">
      <c r="B108" s="191">
        <f t="shared" si="3"/>
        <v>88</v>
      </c>
      <c r="C108" s="192" t="str">
        <f>'הגבלה לסכום מבוקש (2)'!C108</f>
        <v>שחר בנימיני</v>
      </c>
      <c r="D108" s="615">
        <v>1001827775</v>
      </c>
      <c r="E108" s="615">
        <v>1001735556</v>
      </c>
      <c r="F108" s="614">
        <v>2021</v>
      </c>
      <c r="G108" s="607">
        <f t="shared" si="4"/>
        <v>1</v>
      </c>
      <c r="H108" s="608" t="str">
        <f>IF(IFERROR(VLOOKUP(E108,מרכבה!A:K,4,0),"")=K108,"","no")</f>
        <v/>
      </c>
      <c r="I108" s="607">
        <f>IFERROR(VLOOKUP(D108,מרכבה!A:K,7,0),"")</f>
        <v>2025</v>
      </c>
      <c r="J108" s="607">
        <f>IFERROR(VLOOKUP(D108,מרכבה!A:K,5,0),"")</f>
        <v>40000564</v>
      </c>
      <c r="K108" s="607">
        <f>IFERROR(VLOOKUP(D108,מרכבה!A:K,4,0),"")</f>
        <v>580215333</v>
      </c>
      <c r="L108" s="607" t="str">
        <f>IFERROR(VLOOKUP(D108,מרכבה!A:K,6,0),"")</f>
        <v>עמותת הכוריאוגרפים (ע"ר)</v>
      </c>
      <c r="M108" s="607" t="str">
        <f>IFERROR(VLOOKUP(D108,מרכבה!A:K,2,0),"")</f>
        <v>שחר בנימיני-תמיכה ביוצר עצמאי</v>
      </c>
      <c r="N108" s="609">
        <f>IFERROR(VLOOKUP(D108,מרכבה!A:K,8,0),"")</f>
        <v>295000</v>
      </c>
      <c r="O108" s="610">
        <f>IFERROR(VLOOKUP(E108,מרכבה!A:K,9,0),0)</f>
        <v>107793</v>
      </c>
      <c r="P108" s="611">
        <f>'הגבלה לסכום מבוקש (2)'!W108</f>
        <v>105211.97108072026</v>
      </c>
      <c r="Q108" s="612">
        <f t="shared" si="5"/>
        <v>-2.3944309178515644E-2</v>
      </c>
      <c r="R108" s="196">
        <f>'קיזוזים בגין איחורים'!F118</f>
        <v>0</v>
      </c>
      <c r="S108" s="197">
        <f>'קיזוזים- החלטות ועדה'!E118</f>
        <v>0</v>
      </c>
      <c r="T108" s="194"/>
      <c r="U108" s="193" t="s">
        <v>1044</v>
      </c>
    </row>
    <row r="109" spans="2:21" ht="31.5" x14ac:dyDescent="0.25">
      <c r="B109" s="191">
        <f t="shared" si="3"/>
        <v>89</v>
      </c>
      <c r="C109" s="192" t="str">
        <f>'הגבלה לסכום מבוקש (2)'!C109</f>
        <v>רביד אברבאנל</v>
      </c>
      <c r="D109" s="615">
        <v>1001827759</v>
      </c>
      <c r="E109" s="615">
        <v>1001735550</v>
      </c>
      <c r="F109" s="614">
        <v>2022</v>
      </c>
      <c r="G109" s="607">
        <f t="shared" si="4"/>
        <v>0</v>
      </c>
      <c r="H109" s="608" t="str">
        <f>IF(IFERROR(VLOOKUP(E109,מרכבה!A:K,4,0),"")=K109,"","no")</f>
        <v/>
      </c>
      <c r="I109" s="607">
        <f>IFERROR(VLOOKUP(D109,מרכבה!A:K,7,0),"")</f>
        <v>2025</v>
      </c>
      <c r="J109" s="607">
        <f>IFERROR(VLOOKUP(D109,מרכבה!A:K,5,0),"")</f>
        <v>40000564</v>
      </c>
      <c r="K109" s="607">
        <f>IFERROR(VLOOKUP(D109,מרכבה!A:K,4,0),"")</f>
        <v>580215333</v>
      </c>
      <c r="L109" s="607" t="str">
        <f>IFERROR(VLOOKUP(D109,מרכבה!A:K,6,0),"")</f>
        <v>עמותת הכוריאוגרפים (ע"ר)</v>
      </c>
      <c r="M109" s="607" t="str">
        <f>IFERROR(VLOOKUP(D109,מרכבה!A:K,2,0),"")</f>
        <v>רביד אברבנל-תמיכה ביוצרת עצמאית</v>
      </c>
      <c r="N109" s="609">
        <f>IFERROR(VLOOKUP(D109,מרכבה!A:K,8,0),"")</f>
        <v>295000</v>
      </c>
      <c r="O109" s="610">
        <f>IFERROR(VLOOKUP(E109,מרכבה!A:K,9,0),0)</f>
        <v>54644</v>
      </c>
      <c r="P109" s="611">
        <f>'הגבלה לסכום מבוקש (2)'!W109</f>
        <v>65375.814765201176</v>
      </c>
      <c r="Q109" s="612">
        <f t="shared" si="5"/>
        <v>0.19639511685091082</v>
      </c>
      <c r="R109" s="196">
        <f>'קיזוזים בגין איחורים'!F119</f>
        <v>0</v>
      </c>
      <c r="S109" s="197">
        <f>'קיזוזים- החלטות ועדה'!E119</f>
        <v>0</v>
      </c>
      <c r="T109" s="194"/>
      <c r="U109" s="193" t="s">
        <v>1044</v>
      </c>
    </row>
    <row r="110" spans="2:21" ht="31.5" x14ac:dyDescent="0.25">
      <c r="B110" s="191">
        <f t="shared" si="3"/>
        <v>90</v>
      </c>
      <c r="C110" s="192" t="str">
        <f>'הגבלה לסכום מבוקש (2)'!C110</f>
        <v>שרון פרידמן</v>
      </c>
      <c r="D110" s="615">
        <v>1001827781</v>
      </c>
      <c r="E110" s="615">
        <v>1001735564</v>
      </c>
      <c r="F110" s="614">
        <v>2022</v>
      </c>
      <c r="G110" s="607">
        <f t="shared" si="4"/>
        <v>0</v>
      </c>
      <c r="H110" s="608" t="str">
        <f>IF(IFERROR(VLOOKUP(E110,מרכבה!A:K,4,0),"")=K110,"","no")</f>
        <v/>
      </c>
      <c r="I110" s="607">
        <f>IFERROR(VLOOKUP(D110,מרכבה!A:K,7,0),"")</f>
        <v>2025</v>
      </c>
      <c r="J110" s="607">
        <f>IFERROR(VLOOKUP(D110,מרכבה!A:K,5,0),"")</f>
        <v>40000564</v>
      </c>
      <c r="K110" s="607">
        <f>IFERROR(VLOOKUP(D110,מרכבה!A:K,4,0),"")</f>
        <v>580215333</v>
      </c>
      <c r="L110" s="607" t="str">
        <f>IFERROR(VLOOKUP(D110,מרכבה!A:K,6,0),"")</f>
        <v>עמותת הכוריאוגרפים (ע"ר)</v>
      </c>
      <c r="M110" s="607" t="str">
        <f>IFERROR(VLOOKUP(D110,מרכבה!A:K,2,0),"")</f>
        <v>שרון פרידמן-תמיכה ביוצר עצמאי</v>
      </c>
      <c r="N110" s="609">
        <f>IFERROR(VLOOKUP(D110,מרכבה!A:K,8,0),"")</f>
        <v>295000</v>
      </c>
      <c r="O110" s="610">
        <f>IFERROR(VLOOKUP(E110,מרכבה!A:K,9,0),0)</f>
        <v>51870</v>
      </c>
      <c r="P110" s="611">
        <f>'הגבלה לסכום מבוקש (2)'!W110</f>
        <v>85426.572974711715</v>
      </c>
      <c r="Q110" s="612">
        <f t="shared" si="5"/>
        <v>0.64693605118009856</v>
      </c>
      <c r="R110" s="196">
        <f>'קיזוזים בגין איחורים'!F120</f>
        <v>0</v>
      </c>
      <c r="S110" s="197">
        <f>'קיזוזים- החלטות ועדה'!E120</f>
        <v>0</v>
      </c>
      <c r="T110" s="194"/>
      <c r="U110" s="193" t="s">
        <v>1044</v>
      </c>
    </row>
    <row r="111" spans="2:21" ht="31.5" x14ac:dyDescent="0.25">
      <c r="B111" s="191">
        <f t="shared" si="3"/>
        <v>91</v>
      </c>
      <c r="C111" s="192" t="str">
        <f>'הגבלה לסכום מבוקש (2)'!C111</f>
        <v>מירב כהן</v>
      </c>
      <c r="D111" s="615">
        <v>1001827363</v>
      </c>
      <c r="E111" s="615">
        <v>1001735504</v>
      </c>
      <c r="F111" s="614">
        <v>2020</v>
      </c>
      <c r="G111" s="607">
        <f t="shared" si="4"/>
        <v>1</v>
      </c>
      <c r="H111" s="608" t="str">
        <f>IF(IFERROR(VLOOKUP(E111,מרכבה!A:K,4,0),"")=K111,"","no")</f>
        <v/>
      </c>
      <c r="I111" s="607">
        <f>IFERROR(VLOOKUP(D111,מרכבה!A:K,7,0),"")</f>
        <v>2025</v>
      </c>
      <c r="J111" s="607">
        <f>IFERROR(VLOOKUP(D111,מרכבה!A:K,5,0),"")</f>
        <v>40000564</v>
      </c>
      <c r="K111" s="607">
        <f>IFERROR(VLOOKUP(D111,מרכבה!A:K,4,0),"")</f>
        <v>580215333</v>
      </c>
      <c r="L111" s="607" t="str">
        <f>IFERROR(VLOOKUP(D111,מרכבה!A:K,6,0),"")</f>
        <v>עמותת הכוריאוגרפים (ע"ר)</v>
      </c>
      <c r="M111" s="607" t="str">
        <f>IFERROR(VLOOKUP(D111,מרכבה!A:K,2,0),"")</f>
        <v>מירב כהן-תמיכה ביוצרת עצמאית</v>
      </c>
      <c r="N111" s="609">
        <f>IFERROR(VLOOKUP(D111,מרכבה!A:K,8,0),"")</f>
        <v>295000</v>
      </c>
      <c r="O111" s="610">
        <f>IFERROR(VLOOKUP(E111,מרכבה!A:K,9,0),0)</f>
        <v>44731</v>
      </c>
      <c r="P111" s="611">
        <f>'הגבלה לסכום מבוקש (2)'!W111</f>
        <v>41436.981331546849</v>
      </c>
      <c r="Q111" s="612">
        <f t="shared" si="5"/>
        <v>-7.3640622129019007E-2</v>
      </c>
      <c r="R111" s="196">
        <f>'קיזוזים בגין איחורים'!F121</f>
        <v>0</v>
      </c>
      <c r="S111" s="197">
        <f>'קיזוזים- החלטות ועדה'!E121</f>
        <v>0</v>
      </c>
      <c r="T111" s="194"/>
      <c r="U111" s="193" t="s">
        <v>1044</v>
      </c>
    </row>
    <row r="112" spans="2:21" ht="31.5" x14ac:dyDescent="0.25">
      <c r="B112" s="191">
        <f t="shared" si="3"/>
        <v>92</v>
      </c>
      <c r="C112" s="192" t="str">
        <f>'הגבלה לסכום מבוקש (2)'!C112</f>
        <v>קים טייטלבאום</v>
      </c>
      <c r="D112" s="615">
        <v>1001827757</v>
      </c>
      <c r="E112" s="615">
        <v>1001735549</v>
      </c>
      <c r="F112" s="614">
        <v>2022</v>
      </c>
      <c r="G112" s="607">
        <f t="shared" si="4"/>
        <v>0</v>
      </c>
      <c r="H112" s="608" t="str">
        <f>IF(IFERROR(VLOOKUP(E112,מרכבה!A:K,4,0),"")=K112,"","no")</f>
        <v/>
      </c>
      <c r="I112" s="607">
        <f>IFERROR(VLOOKUP(D112,מרכבה!A:K,7,0),"")</f>
        <v>2025</v>
      </c>
      <c r="J112" s="607">
        <f>IFERROR(VLOOKUP(D112,מרכבה!A:K,5,0),"")</f>
        <v>40000564</v>
      </c>
      <c r="K112" s="607">
        <f>IFERROR(VLOOKUP(D112,מרכבה!A:K,4,0),"")</f>
        <v>580215333</v>
      </c>
      <c r="L112" s="607" t="str">
        <f>IFERROR(VLOOKUP(D112,מרכבה!A:K,6,0),"")</f>
        <v>עמותת הכוריאוגרפים (ע"ר)</v>
      </c>
      <c r="M112" s="607" t="str">
        <f>IFERROR(VLOOKUP(D112,מרכבה!A:K,2,0),"")</f>
        <v>קימ טייטלבאום-תמיכה ביוצר עצמאי</v>
      </c>
      <c r="N112" s="609">
        <f>IFERROR(VLOOKUP(D112,מרכבה!A:K,8,0),"")</f>
        <v>295000</v>
      </c>
      <c r="O112" s="610">
        <f>IFERROR(VLOOKUP(E112,מרכבה!A:K,9,0),0)</f>
        <v>48987</v>
      </c>
      <c r="P112" s="611">
        <f>'הגבלה לסכום מבוקש (2)'!W112</f>
        <v>47314.329355968453</v>
      </c>
      <c r="Q112" s="612">
        <f t="shared" si="5"/>
        <v>-3.4145194521639333E-2</v>
      </c>
      <c r="R112" s="196">
        <f>'קיזוזים בגין איחורים'!F122</f>
        <v>0</v>
      </c>
      <c r="S112" s="197">
        <f>'קיזוזים- החלטות ועדה'!E122</f>
        <v>0</v>
      </c>
      <c r="T112" s="194"/>
      <c r="U112" s="193" t="s">
        <v>1044</v>
      </c>
    </row>
    <row r="113" spans="2:21" x14ac:dyDescent="0.25">
      <c r="B113" s="191" t="str">
        <f t="shared" si="3"/>
        <v/>
      </c>
      <c r="C113" s="192" t="str">
        <f>'הגבלה לסכום מבוקש (2)'!C113</f>
        <v/>
      </c>
      <c r="D113" s="615"/>
      <c r="E113" s="615"/>
      <c r="F113" s="614"/>
      <c r="G113" s="607" t="str">
        <f t="shared" si="4"/>
        <v/>
      </c>
      <c r="H113" s="608" t="str">
        <f>IF(IFERROR(VLOOKUP(E113,מרכבה!A:K,4,0),"")=K113,"","no")</f>
        <v/>
      </c>
      <c r="I113" s="607" t="str">
        <f>IFERROR(VLOOKUP(D113,מרכבה!A:K,7,0),"")</f>
        <v/>
      </c>
      <c r="J113" s="607" t="str">
        <f>IFERROR(VLOOKUP(D113,מרכבה!A:K,5,0),"")</f>
        <v/>
      </c>
      <c r="K113" s="607" t="str">
        <f>IFERROR(VLOOKUP(D113,מרכבה!A:K,4,0),"")</f>
        <v/>
      </c>
      <c r="L113" s="607" t="str">
        <f>IFERROR(VLOOKUP(D113,מרכבה!A:K,6,0),"")</f>
        <v/>
      </c>
      <c r="M113" s="607" t="str">
        <f>IFERROR(VLOOKUP(D113,מרכבה!A:K,2,0),"")</f>
        <v/>
      </c>
      <c r="N113" s="609" t="str">
        <f>IFERROR(VLOOKUP(D113,מרכבה!A:K,8,0),"")</f>
        <v/>
      </c>
      <c r="O113" s="610">
        <f>IFERROR(VLOOKUP(E113,מרכבה!A:K,9,0),0)</f>
        <v>0</v>
      </c>
      <c r="P113" s="611" t="str">
        <f>'הגבלה לסכום מבוקש (2)'!W113</f>
        <v/>
      </c>
      <c r="Q113" s="612" t="str">
        <f t="shared" si="5"/>
        <v/>
      </c>
      <c r="R113" s="196" t="str">
        <f>'קיזוזים בגין איחורים'!F123</f>
        <v/>
      </c>
      <c r="S113" s="197">
        <f>'קיזוזים- החלטות ועדה'!E123</f>
        <v>0</v>
      </c>
      <c r="T113" s="194"/>
      <c r="U113" s="193"/>
    </row>
    <row r="114" spans="2:21" ht="31.5" x14ac:dyDescent="0.25">
      <c r="B114" s="191">
        <f t="shared" si="3"/>
        <v>94</v>
      </c>
      <c r="C114" s="192" t="str">
        <f>'הגבלה לסכום מבוקש (2)'!C114</f>
        <v>מאי זרחי</v>
      </c>
      <c r="D114" s="615">
        <v>1001827350</v>
      </c>
      <c r="E114" s="615"/>
      <c r="F114" s="614">
        <v>2020</v>
      </c>
      <c r="G114" s="607">
        <f t="shared" si="4"/>
        <v>1</v>
      </c>
      <c r="H114" s="608" t="str">
        <f>IF(IFERROR(VLOOKUP(E114,מרכבה!A:K,4,0),"")=K114,"","no")</f>
        <v>no</v>
      </c>
      <c r="I114" s="607">
        <f>IFERROR(VLOOKUP(D114,מרכבה!A:K,7,0),"")</f>
        <v>2025</v>
      </c>
      <c r="J114" s="607">
        <f>IFERROR(VLOOKUP(D114,מרכבה!A:K,5,0),"")</f>
        <v>40000564</v>
      </c>
      <c r="K114" s="607">
        <f>IFERROR(VLOOKUP(D114,מרכבה!A:K,4,0),"")</f>
        <v>580215333</v>
      </c>
      <c r="L114" s="607" t="str">
        <f>IFERROR(VLOOKUP(D114,מרכבה!A:K,6,0),"")</f>
        <v>עמותת הכוריאוגרפים (ע"ר)</v>
      </c>
      <c r="M114" s="607" t="str">
        <f>IFERROR(VLOOKUP(D114,מרכבה!A:K,2,0),"")</f>
        <v>מאי זרחי-תמיכה ביוצרת עצמאית</v>
      </c>
      <c r="N114" s="609">
        <f>IFERROR(VLOOKUP(D114,מרכבה!A:K,8,0),"")</f>
        <v>295000</v>
      </c>
      <c r="O114" s="610">
        <f>IFERROR(VLOOKUP(E114,מרכבה!A:K,9,0),0)</f>
        <v>0</v>
      </c>
      <c r="P114" s="611">
        <f>'הגבלה לסכום מבוקש (2)'!W114</f>
        <v>46611.395861813027</v>
      </c>
      <c r="Q114" s="612" t="str">
        <f t="shared" si="5"/>
        <v/>
      </c>
      <c r="R114" s="196">
        <f>'קיזוזים בגין איחורים'!F124</f>
        <v>0</v>
      </c>
      <c r="S114" s="197">
        <f>'קיזוזים- החלטות ועדה'!E124</f>
        <v>0</v>
      </c>
      <c r="T114" s="194"/>
      <c r="U114" s="193" t="s">
        <v>1048</v>
      </c>
    </row>
    <row r="115" spans="2:21" ht="31.5" x14ac:dyDescent="0.25">
      <c r="B115" s="191">
        <f t="shared" si="3"/>
        <v>95</v>
      </c>
      <c r="C115" s="192" t="str">
        <f>'הגבלה לסכום מבוקש (2)'!C115</f>
        <v>דנה מרכוס</v>
      </c>
      <c r="D115" s="615">
        <v>1001827340</v>
      </c>
      <c r="E115" s="615">
        <v>1001735465</v>
      </c>
      <c r="F115" s="614">
        <v>2022</v>
      </c>
      <c r="G115" s="607">
        <f t="shared" si="4"/>
        <v>0</v>
      </c>
      <c r="H115" s="608" t="str">
        <f>IF(IFERROR(VLOOKUP(E115,מרכבה!A:K,4,0),"")=K115,"","no")</f>
        <v/>
      </c>
      <c r="I115" s="607">
        <f>IFERROR(VLOOKUP(D115,מרכבה!A:K,7,0),"")</f>
        <v>2025</v>
      </c>
      <c r="J115" s="607">
        <f>IFERROR(VLOOKUP(D115,מרכבה!A:K,5,0),"")</f>
        <v>40000564</v>
      </c>
      <c r="K115" s="607">
        <f>IFERROR(VLOOKUP(D115,מרכבה!A:K,4,0),"")</f>
        <v>580215333</v>
      </c>
      <c r="L115" s="607" t="str">
        <f>IFERROR(VLOOKUP(D115,מרכבה!A:K,6,0),"")</f>
        <v>עמותת הכוריאוגרפים (ע"ר)</v>
      </c>
      <c r="M115" s="607" t="str">
        <f>IFERROR(VLOOKUP(D115,מרכבה!A:K,2,0),"")</f>
        <v>דנה מרכוס-תמיכה ביוצרת עצמאית</v>
      </c>
      <c r="N115" s="609">
        <f>IFERROR(VLOOKUP(D115,מרכבה!A:K,8,0),"")</f>
        <v>295000</v>
      </c>
      <c r="O115" s="610">
        <f>IFERROR(VLOOKUP(E115,מרכבה!A:K,9,0),0)</f>
        <v>52969</v>
      </c>
      <c r="P115" s="611">
        <f>'הגבלה לסכום מבוקש (2)'!W115</f>
        <v>56210.924039478654</v>
      </c>
      <c r="Q115" s="612">
        <f t="shared" si="5"/>
        <v>6.1204176772803986E-2</v>
      </c>
      <c r="R115" s="196">
        <f>'קיזוזים בגין איחורים'!F125</f>
        <v>0</v>
      </c>
      <c r="S115" s="197">
        <f>'קיזוזים- החלטות ועדה'!E125</f>
        <v>0</v>
      </c>
      <c r="T115" s="194"/>
      <c r="U115" s="193" t="s">
        <v>1044</v>
      </c>
    </row>
    <row r="116" spans="2:21" x14ac:dyDescent="0.25">
      <c r="B116" s="191" t="str">
        <f t="shared" si="3"/>
        <v/>
      </c>
      <c r="C116" s="192" t="str">
        <f>'הגבלה לסכום מבוקש (2)'!C116</f>
        <v/>
      </c>
      <c r="D116" s="615"/>
      <c r="E116" s="615"/>
      <c r="F116" s="614"/>
      <c r="G116" s="607" t="str">
        <f t="shared" si="4"/>
        <v/>
      </c>
      <c r="H116" s="608" t="str">
        <f>IF(IFERROR(VLOOKUP(E116,מרכבה!A:K,4,0),"")=K116,"","no")</f>
        <v/>
      </c>
      <c r="I116" s="607" t="str">
        <f>IFERROR(VLOOKUP(D116,מרכבה!A:K,7,0),"")</f>
        <v/>
      </c>
      <c r="J116" s="607" t="str">
        <f>IFERROR(VLOOKUP(D116,מרכבה!A:K,5,0),"")</f>
        <v/>
      </c>
      <c r="K116" s="607" t="str">
        <f>IFERROR(VLOOKUP(D116,מרכבה!A:K,4,0),"")</f>
        <v/>
      </c>
      <c r="L116" s="607" t="str">
        <f>IFERROR(VLOOKUP(D116,מרכבה!A:K,6,0),"")</f>
        <v/>
      </c>
      <c r="M116" s="607" t="str">
        <f>IFERROR(VLOOKUP(D116,מרכבה!A:K,2,0),"")</f>
        <v/>
      </c>
      <c r="N116" s="609" t="str">
        <f>IFERROR(VLOOKUP(D116,מרכבה!A:K,8,0),"")</f>
        <v/>
      </c>
      <c r="O116" s="610">
        <f>IFERROR(VLOOKUP(E116,מרכבה!A:K,9,0),0)</f>
        <v>0</v>
      </c>
      <c r="P116" s="611" t="str">
        <f>'הגבלה לסכום מבוקש (2)'!W116</f>
        <v/>
      </c>
      <c r="Q116" s="612" t="str">
        <f t="shared" si="5"/>
        <v/>
      </c>
      <c r="R116" s="196" t="str">
        <f>'קיזוזים בגין איחורים'!F126</f>
        <v/>
      </c>
      <c r="S116" s="197">
        <f>'קיזוזים- החלטות ועדה'!E126</f>
        <v>0</v>
      </c>
      <c r="T116" s="194"/>
      <c r="U116" s="193"/>
    </row>
    <row r="117" spans="2:21" x14ac:dyDescent="0.25">
      <c r="B117" s="191" t="str">
        <f t="shared" si="3"/>
        <v/>
      </c>
      <c r="C117" s="192" t="str">
        <f>'הגבלה לסכום מבוקש (2)'!C117</f>
        <v/>
      </c>
      <c r="D117" s="615"/>
      <c r="E117" s="615"/>
      <c r="F117" s="614"/>
      <c r="G117" s="607" t="str">
        <f t="shared" si="4"/>
        <v/>
      </c>
      <c r="H117" s="608" t="str">
        <f>IF(IFERROR(VLOOKUP(E117,מרכבה!A:K,4,0),"")=K117,"","no")</f>
        <v/>
      </c>
      <c r="I117" s="607" t="str">
        <f>IFERROR(VLOOKUP(D117,מרכבה!A:K,7,0),"")</f>
        <v/>
      </c>
      <c r="J117" s="607" t="str">
        <f>IFERROR(VLOOKUP(D117,מרכבה!A:K,5,0),"")</f>
        <v/>
      </c>
      <c r="K117" s="607" t="str">
        <f>IFERROR(VLOOKUP(D117,מרכבה!A:K,4,0),"")</f>
        <v/>
      </c>
      <c r="L117" s="607" t="str">
        <f>IFERROR(VLOOKUP(D117,מרכבה!A:K,6,0),"")</f>
        <v/>
      </c>
      <c r="M117" s="607" t="str">
        <f>IFERROR(VLOOKUP(D117,מרכבה!A:K,2,0),"")</f>
        <v/>
      </c>
      <c r="N117" s="609" t="str">
        <f>IFERROR(VLOOKUP(D117,מרכבה!A:K,8,0),"")</f>
        <v/>
      </c>
      <c r="O117" s="610">
        <f>IFERROR(VLOOKUP(E117,מרכבה!A:K,9,0),0)</f>
        <v>0</v>
      </c>
      <c r="P117" s="611" t="str">
        <f>'הגבלה לסכום מבוקש (2)'!W117</f>
        <v/>
      </c>
      <c r="Q117" s="612" t="str">
        <f t="shared" si="5"/>
        <v/>
      </c>
      <c r="R117" s="196" t="str">
        <f>'קיזוזים בגין איחורים'!F127</f>
        <v/>
      </c>
      <c r="S117" s="197">
        <f>'קיזוזים- החלטות ועדה'!E127</f>
        <v>0</v>
      </c>
      <c r="T117" s="194"/>
      <c r="U117" s="193"/>
    </row>
    <row r="118" spans="2:21" ht="31.5" x14ac:dyDescent="0.25">
      <c r="B118" s="191">
        <f t="shared" si="3"/>
        <v>98</v>
      </c>
      <c r="C118" s="192" t="str">
        <f>'הגבלה לסכום מבוקש (2)'!C118</f>
        <v>שקד מוכיח</v>
      </c>
      <c r="D118" s="615">
        <v>1001827778</v>
      </c>
      <c r="E118" s="615">
        <v>1001735561</v>
      </c>
      <c r="F118" s="614">
        <v>2022</v>
      </c>
      <c r="G118" s="607">
        <f t="shared" si="4"/>
        <v>0</v>
      </c>
      <c r="H118" s="608" t="str">
        <f>IF(IFERROR(VLOOKUP(E118,מרכבה!A:K,4,0),"")=K118,"","no")</f>
        <v/>
      </c>
      <c r="I118" s="607">
        <f>IFERROR(VLOOKUP(D118,מרכבה!A:K,7,0),"")</f>
        <v>2025</v>
      </c>
      <c r="J118" s="607">
        <f>IFERROR(VLOOKUP(D118,מרכבה!A:K,5,0),"")</f>
        <v>40000564</v>
      </c>
      <c r="K118" s="607">
        <f>IFERROR(VLOOKUP(D118,מרכבה!A:K,4,0),"")</f>
        <v>580215333</v>
      </c>
      <c r="L118" s="607" t="str">
        <f>IFERROR(VLOOKUP(D118,מרכבה!A:K,6,0),"")</f>
        <v>עמותת הכוריאוגרפים (ע"ר)</v>
      </c>
      <c r="M118" s="607" t="str">
        <f>IFERROR(VLOOKUP(D118,מרכבה!A:K,2,0),"")</f>
        <v>שקד מוכיח-תמיכה ביוצרת עצמאית</v>
      </c>
      <c r="N118" s="609">
        <f>IFERROR(VLOOKUP(D118,מרכבה!A:K,8,0),"")</f>
        <v>295000</v>
      </c>
      <c r="O118" s="610">
        <f>IFERROR(VLOOKUP(E118,מרכבה!A:K,9,0),0)</f>
        <v>54685</v>
      </c>
      <c r="P118" s="611">
        <f>'הגבלה לסכום מבוקש (2)'!W118</f>
        <v>87082.385534881367</v>
      </c>
      <c r="Q118" s="612">
        <f t="shared" si="5"/>
        <v>0.59243641830266736</v>
      </c>
      <c r="R118" s="196">
        <f>'קיזוזים בגין איחורים'!F128</f>
        <v>0</v>
      </c>
      <c r="S118" s="197">
        <f>'קיזוזים- החלטות ועדה'!E128</f>
        <v>0</v>
      </c>
      <c r="T118" s="194"/>
      <c r="U118" s="193" t="s">
        <v>1044</v>
      </c>
    </row>
    <row r="119" spans="2:21" ht="31.5" x14ac:dyDescent="0.25">
      <c r="B119" s="191">
        <f t="shared" si="3"/>
        <v>99</v>
      </c>
      <c r="C119" s="192" t="str">
        <f>'הגבלה לסכום מבוקש (2)'!C119</f>
        <v>שרון הללי אסא</v>
      </c>
      <c r="D119" s="615">
        <v>1001827779</v>
      </c>
      <c r="E119" s="615">
        <v>1001735562</v>
      </c>
      <c r="F119" s="614">
        <v>2020</v>
      </c>
      <c r="G119" s="607">
        <f t="shared" si="4"/>
        <v>1</v>
      </c>
      <c r="H119" s="608" t="str">
        <f>IF(IFERROR(VLOOKUP(E119,מרכבה!A:K,4,0),"")=K119,"","no")</f>
        <v/>
      </c>
      <c r="I119" s="607">
        <f>IFERROR(VLOOKUP(D119,מרכבה!A:K,7,0),"")</f>
        <v>2025</v>
      </c>
      <c r="J119" s="607">
        <f>IFERROR(VLOOKUP(D119,מרכבה!A:K,5,0),"")</f>
        <v>40000564</v>
      </c>
      <c r="K119" s="607">
        <f>IFERROR(VLOOKUP(D119,מרכבה!A:K,4,0),"")</f>
        <v>580215333</v>
      </c>
      <c r="L119" s="607" t="str">
        <f>IFERROR(VLOOKUP(D119,מרכבה!A:K,6,0),"")</f>
        <v>עמותת הכוריאוגרפים (ע"ר)</v>
      </c>
      <c r="M119" s="607" t="str">
        <f>IFERROR(VLOOKUP(D119,מרכבה!A:K,2,0),"")</f>
        <v>שרון הללי אסא-תמיכה ביוצרת עצמאית</v>
      </c>
      <c r="N119" s="609">
        <f>IFERROR(VLOOKUP(D119,מרכבה!A:K,8,0),"")</f>
        <v>295000</v>
      </c>
      <c r="O119" s="610">
        <f>IFERROR(VLOOKUP(E119,מרכבה!A:K,9,0),0)</f>
        <v>63003</v>
      </c>
      <c r="P119" s="611">
        <f>'הגבלה לסכום מבוקש (2)'!W119</f>
        <v>82462.242590156471</v>
      </c>
      <c r="Q119" s="612">
        <f t="shared" si="5"/>
        <v>0.30886215878857315</v>
      </c>
      <c r="R119" s="196">
        <f>'קיזוזים בגין איחורים'!F129</f>
        <v>0</v>
      </c>
      <c r="S119" s="197">
        <f>'קיזוזים- החלטות ועדה'!E129</f>
        <v>0</v>
      </c>
      <c r="T119" s="194"/>
      <c r="U119" s="193" t="s">
        <v>1044</v>
      </c>
    </row>
    <row r="120" spans="2:21" ht="31.5" x14ac:dyDescent="0.25">
      <c r="B120" s="191">
        <f t="shared" si="3"/>
        <v>100</v>
      </c>
      <c r="C120" s="192" t="str">
        <f>'הגבלה לסכום מבוקש (2)'!C120</f>
        <v>להקת ג'אם</v>
      </c>
      <c r="D120" s="615">
        <v>1001843958</v>
      </c>
      <c r="E120" s="615">
        <v>1001778077</v>
      </c>
      <c r="F120" s="614">
        <v>2022</v>
      </c>
      <c r="G120" s="607">
        <f t="shared" si="4"/>
        <v>0</v>
      </c>
      <c r="H120" s="608" t="str">
        <f>IF(IFERROR(VLOOKUP(E120,מרכבה!A:K,4,0),"")=K120,"","no")</f>
        <v/>
      </c>
      <c r="I120" s="607">
        <f>IFERROR(VLOOKUP(D120,מרכבה!A:K,7,0),"")</f>
        <v>2025</v>
      </c>
      <c r="J120" s="607">
        <f>IFERROR(VLOOKUP(D120,מרכבה!A:K,5,0),"")</f>
        <v>42449646</v>
      </c>
      <c r="K120" s="607">
        <f>IFERROR(VLOOKUP(D120,מרכבה!A:K,4,0),"")</f>
        <v>580717494</v>
      </c>
      <c r="L120" s="607" t="str">
        <f>IFERROR(VLOOKUP(D120,מרכבה!A:K,6,0),"")</f>
        <v>ג'אם להקת מחול (ע"ר)</v>
      </c>
      <c r="M120" s="607" t="str">
        <f>IFERROR(VLOOKUP(D120,מרכבה!A:K,2,0),"")</f>
        <v>ג'אם להקת מחול, בקשת תמיכה 2025</v>
      </c>
      <c r="N120" s="609">
        <f>IFERROR(VLOOKUP(D120,מרכבה!A:K,8,0),"")</f>
        <v>150000</v>
      </c>
      <c r="O120" s="610">
        <f>IFERROR(VLOOKUP(E120,מרכבה!A:K,9,0),0)</f>
        <v>34967</v>
      </c>
      <c r="P120" s="611">
        <f>'הגבלה לסכום מבוקש (2)'!W120</f>
        <v>51108.86439438277</v>
      </c>
      <c r="Q120" s="612">
        <f t="shared" si="5"/>
        <v>0.46163137799590381</v>
      </c>
      <c r="R120" s="196">
        <f>'קיזוזים בגין איחורים'!F130</f>
        <v>0</v>
      </c>
      <c r="S120" s="197">
        <f>'קיזוזים- החלטות ועדה'!E130</f>
        <v>0</v>
      </c>
      <c r="T120" s="194"/>
      <c r="U120" s="193" t="s">
        <v>1044</v>
      </c>
    </row>
    <row r="121" spans="2:21" x14ac:dyDescent="0.25">
      <c r="B121" s="191" t="str">
        <f t="shared" ref="B121:B132" si="6">IF(C121="","",ROW()-20)</f>
        <v/>
      </c>
      <c r="C121" s="192" t="str">
        <f>'הגבלה לסכום מבוקש (2)'!C121</f>
        <v/>
      </c>
      <c r="D121" s="615"/>
      <c r="E121" s="615"/>
      <c r="F121" s="614"/>
      <c r="G121" s="607" t="str">
        <f t="shared" si="4"/>
        <v/>
      </c>
      <c r="H121" s="608" t="str">
        <f>IF(IFERROR(VLOOKUP(E121,מרכבה!A:K,4,0),"")=K121,"","no")</f>
        <v/>
      </c>
      <c r="I121" s="607" t="str">
        <f>IFERROR(VLOOKUP(D121,מרכבה!A:K,7,0),"")</f>
        <v/>
      </c>
      <c r="J121" s="607" t="str">
        <f>IFERROR(VLOOKUP(D121,מרכבה!A:K,5,0),"")</f>
        <v/>
      </c>
      <c r="K121" s="607" t="str">
        <f>IFERROR(VLOOKUP(D121,מרכבה!A:K,4,0),"")</f>
        <v/>
      </c>
      <c r="L121" s="607" t="str">
        <f>IFERROR(VLOOKUP(D121,מרכבה!A:K,6,0),"")</f>
        <v/>
      </c>
      <c r="M121" s="607" t="str">
        <f>IFERROR(VLOOKUP(D121,מרכבה!A:K,2,0),"")</f>
        <v/>
      </c>
      <c r="N121" s="609" t="str">
        <f>IFERROR(VLOOKUP(D121,מרכבה!A:K,8,0),"")</f>
        <v/>
      </c>
      <c r="O121" s="610">
        <f>IFERROR(VLOOKUP(E121,מרכבה!A:K,9,0),0)</f>
        <v>0</v>
      </c>
      <c r="P121" s="611" t="str">
        <f>'הגבלה לסכום מבוקש (2)'!W121</f>
        <v/>
      </c>
      <c r="Q121" s="612" t="str">
        <f t="shared" si="5"/>
        <v/>
      </c>
      <c r="R121" s="196" t="str">
        <f>'קיזוזים בגין איחורים'!F131</f>
        <v/>
      </c>
      <c r="S121" s="197">
        <f>'קיזוזים- החלטות ועדה'!E131</f>
        <v>0</v>
      </c>
      <c r="T121" s="194"/>
      <c r="U121" s="193"/>
    </row>
    <row r="122" spans="2:21" x14ac:dyDescent="0.25">
      <c r="B122" s="191" t="str">
        <f t="shared" si="6"/>
        <v/>
      </c>
      <c r="C122" s="192" t="str">
        <f>'הגבלה לסכום מבוקש (2)'!C122</f>
        <v/>
      </c>
      <c r="D122" s="615"/>
      <c r="E122" s="615"/>
      <c r="F122" s="614"/>
      <c r="G122" s="607" t="str">
        <f t="shared" si="4"/>
        <v/>
      </c>
      <c r="H122" s="608" t="str">
        <f>IF(IFERROR(VLOOKUP(E122,מרכבה!A:K,4,0),"")=K122,"","no")</f>
        <v/>
      </c>
      <c r="I122" s="607" t="str">
        <f>IFERROR(VLOOKUP(D122,מרכבה!A:K,7,0),"")</f>
        <v/>
      </c>
      <c r="J122" s="607" t="str">
        <f>IFERROR(VLOOKUP(D122,מרכבה!A:K,5,0),"")</f>
        <v/>
      </c>
      <c r="K122" s="607" t="str">
        <f>IFERROR(VLOOKUP(D122,מרכבה!A:K,4,0),"")</f>
        <v/>
      </c>
      <c r="L122" s="607" t="str">
        <f>IFERROR(VLOOKUP(D122,מרכבה!A:K,6,0),"")</f>
        <v/>
      </c>
      <c r="M122" s="607" t="str">
        <f>IFERROR(VLOOKUP(D122,מרכבה!A:K,2,0),"")</f>
        <v/>
      </c>
      <c r="N122" s="609" t="str">
        <f>IFERROR(VLOOKUP(D122,מרכבה!A:K,8,0),"")</f>
        <v/>
      </c>
      <c r="O122" s="610">
        <f>IFERROR(VLOOKUP(E122,מרכבה!A:K,9,0),0)</f>
        <v>0</v>
      </c>
      <c r="P122" s="611" t="str">
        <f>'הגבלה לסכום מבוקש (2)'!W122</f>
        <v/>
      </c>
      <c r="Q122" s="612" t="str">
        <f t="shared" si="5"/>
        <v/>
      </c>
      <c r="R122" s="196" t="str">
        <f>'קיזוזים בגין איחורים'!F132</f>
        <v/>
      </c>
      <c r="S122" s="197">
        <f>'קיזוזים- החלטות ועדה'!E132</f>
        <v>0</v>
      </c>
      <c r="T122" s="194"/>
      <c r="U122" s="193"/>
    </row>
    <row r="123" spans="2:21" x14ac:dyDescent="0.25">
      <c r="B123" s="191" t="str">
        <f t="shared" si="6"/>
        <v/>
      </c>
      <c r="C123" s="192" t="str">
        <f>'הגבלה לסכום מבוקש (2)'!C123</f>
        <v/>
      </c>
      <c r="D123" s="615"/>
      <c r="E123" s="615"/>
      <c r="F123" s="614"/>
      <c r="G123" s="607" t="str">
        <f t="shared" si="4"/>
        <v/>
      </c>
      <c r="H123" s="608" t="str">
        <f>IF(IFERROR(VLOOKUP(E123,מרכבה!A:K,4,0),"")=K123,"","no")</f>
        <v/>
      </c>
      <c r="I123" s="607" t="str">
        <f>IFERROR(VLOOKUP(D123,מרכבה!A:K,7,0),"")</f>
        <v/>
      </c>
      <c r="J123" s="607" t="str">
        <f>IFERROR(VLOOKUP(D123,מרכבה!A:K,5,0),"")</f>
        <v/>
      </c>
      <c r="K123" s="607" t="str">
        <f>IFERROR(VLOOKUP(D123,מרכבה!A:K,4,0),"")</f>
        <v/>
      </c>
      <c r="L123" s="607" t="str">
        <f>IFERROR(VLOOKUP(D123,מרכבה!A:K,6,0),"")</f>
        <v/>
      </c>
      <c r="M123" s="607" t="str">
        <f>IFERROR(VLOOKUP(D123,מרכבה!A:K,2,0),"")</f>
        <v/>
      </c>
      <c r="N123" s="609" t="str">
        <f>IFERROR(VLOOKUP(D123,מרכבה!A:K,8,0),"")</f>
        <v/>
      </c>
      <c r="O123" s="610">
        <f>IFERROR(VLOOKUP(E123,מרכבה!A:K,9,0),0)</f>
        <v>0</v>
      </c>
      <c r="P123" s="611" t="str">
        <f>'הגבלה לסכום מבוקש (2)'!W123</f>
        <v/>
      </c>
      <c r="Q123" s="612" t="str">
        <f t="shared" si="5"/>
        <v/>
      </c>
      <c r="R123" s="196" t="str">
        <f>'קיזוזים בגין איחורים'!F133</f>
        <v/>
      </c>
      <c r="S123" s="197">
        <f>'קיזוזים- החלטות ועדה'!E133</f>
        <v>0</v>
      </c>
      <c r="T123" s="194"/>
      <c r="U123" s="193"/>
    </row>
    <row r="124" spans="2:21" x14ac:dyDescent="0.25">
      <c r="B124" s="191" t="str">
        <f t="shared" si="6"/>
        <v/>
      </c>
      <c r="C124" s="192" t="str">
        <f>'הגבלה לסכום מבוקש (2)'!C124</f>
        <v/>
      </c>
      <c r="D124" s="615"/>
      <c r="E124" s="615"/>
      <c r="F124" s="614"/>
      <c r="G124" s="607" t="str">
        <f t="shared" si="4"/>
        <v/>
      </c>
      <c r="H124" s="608" t="str">
        <f>IF(IFERROR(VLOOKUP(E124,מרכבה!A:K,4,0),"")=K124,"","no")</f>
        <v/>
      </c>
      <c r="I124" s="607" t="str">
        <f>IFERROR(VLOOKUP(D124,מרכבה!A:K,7,0),"")</f>
        <v/>
      </c>
      <c r="J124" s="607" t="str">
        <f>IFERROR(VLOOKUP(D124,מרכבה!A:K,5,0),"")</f>
        <v/>
      </c>
      <c r="K124" s="607" t="str">
        <f>IFERROR(VLOOKUP(D124,מרכבה!A:K,4,0),"")</f>
        <v/>
      </c>
      <c r="L124" s="607" t="str">
        <f>IFERROR(VLOOKUP(D124,מרכבה!A:K,6,0),"")</f>
        <v/>
      </c>
      <c r="M124" s="607" t="str">
        <f>IFERROR(VLOOKUP(D124,מרכבה!A:K,2,0),"")</f>
        <v/>
      </c>
      <c r="N124" s="609" t="str">
        <f>IFERROR(VLOOKUP(D124,מרכבה!A:K,8,0),"")</f>
        <v/>
      </c>
      <c r="O124" s="610">
        <f>IFERROR(VLOOKUP(E124,מרכבה!A:K,9,0),0)</f>
        <v>0</v>
      </c>
      <c r="P124" s="611" t="str">
        <f>'הגבלה לסכום מבוקש (2)'!W124</f>
        <v/>
      </c>
      <c r="Q124" s="612" t="str">
        <f t="shared" si="5"/>
        <v/>
      </c>
      <c r="R124" s="196" t="str">
        <f>'קיזוזים בגין איחורים'!F134</f>
        <v/>
      </c>
      <c r="S124" s="197">
        <f>'קיזוזים- החלטות ועדה'!E134</f>
        <v>0</v>
      </c>
      <c r="T124" s="194"/>
      <c r="U124" s="193"/>
    </row>
    <row r="125" spans="2:21" ht="31.5" x14ac:dyDescent="0.25">
      <c r="B125" s="191">
        <f t="shared" si="6"/>
        <v>105</v>
      </c>
      <c r="C125" s="192" t="str">
        <f>'הגבלה לסכום מבוקש (2)'!C125</f>
        <v>מורן אברג'ל יצחקי</v>
      </c>
      <c r="D125" s="615">
        <v>1001827355</v>
      </c>
      <c r="E125" s="615"/>
      <c r="F125" s="614">
        <v>2020</v>
      </c>
      <c r="G125" s="607">
        <f t="shared" si="4"/>
        <v>1</v>
      </c>
      <c r="H125" s="608" t="str">
        <f>IF(IFERROR(VLOOKUP(E125,מרכבה!A:K,4,0),"")=K125,"","no")</f>
        <v>no</v>
      </c>
      <c r="I125" s="607">
        <f>IFERROR(VLOOKUP(D125,מרכבה!A:K,7,0),"")</f>
        <v>2025</v>
      </c>
      <c r="J125" s="607">
        <f>IFERROR(VLOOKUP(D125,מרכבה!A:K,5,0),"")</f>
        <v>40000564</v>
      </c>
      <c r="K125" s="607">
        <f>IFERROR(VLOOKUP(D125,מרכבה!A:K,4,0),"")</f>
        <v>580215333</v>
      </c>
      <c r="L125" s="607" t="str">
        <f>IFERROR(VLOOKUP(D125,מרכבה!A:K,6,0),"")</f>
        <v>עמותת הכוריאוגרפים (ע"ר)</v>
      </c>
      <c r="M125" s="607" t="str">
        <f>IFERROR(VLOOKUP(D125,מרכבה!A:K,2,0),"")</f>
        <v>מורן יצחקי אברגל-תמיכה ביוצרת עצמאית</v>
      </c>
      <c r="N125" s="609">
        <f>IFERROR(VLOOKUP(D125,מרכבה!A:K,8,0),"")</f>
        <v>295000</v>
      </c>
      <c r="O125" s="610">
        <f>IFERROR(VLOOKUP(E125,מרכבה!A:K,9,0),0)</f>
        <v>0</v>
      </c>
      <c r="P125" s="611">
        <f>'הגבלה לסכום מבוקש (2)'!W125</f>
        <v>45808.852076211057</v>
      </c>
      <c r="Q125" s="612" t="str">
        <f t="shared" si="5"/>
        <v/>
      </c>
      <c r="R125" s="196">
        <f>'קיזוזים בגין איחורים'!F135</f>
        <v>0</v>
      </c>
      <c r="S125" s="197">
        <f>'קיזוזים- החלטות ועדה'!E135</f>
        <v>0</v>
      </c>
      <c r="T125" s="194"/>
      <c r="U125" s="193" t="s">
        <v>1049</v>
      </c>
    </row>
    <row r="126" spans="2:21" ht="31.5" x14ac:dyDescent="0.25">
      <c r="B126" s="191">
        <f t="shared" si="6"/>
        <v>106</v>
      </c>
      <c r="C126" s="192" t="str">
        <f>'הגבלה לסכום מבוקש (2)'!C126</f>
        <v>מיכל בן צבי</v>
      </c>
      <c r="D126" s="615">
        <v>1001827358</v>
      </c>
      <c r="E126" s="615"/>
      <c r="F126" s="614">
        <v>2020</v>
      </c>
      <c r="G126" s="607">
        <f t="shared" si="4"/>
        <v>1</v>
      </c>
      <c r="H126" s="608" t="str">
        <f>IF(IFERROR(VLOOKUP(E126,מרכבה!A:K,4,0),"")=K126,"","no")</f>
        <v>no</v>
      </c>
      <c r="I126" s="607">
        <f>IFERROR(VLOOKUP(D126,מרכבה!A:K,7,0),"")</f>
        <v>2025</v>
      </c>
      <c r="J126" s="607">
        <f>IFERROR(VLOOKUP(D126,מרכבה!A:K,5,0),"")</f>
        <v>40000564</v>
      </c>
      <c r="K126" s="607">
        <f>IFERROR(VLOOKUP(D126,מרכבה!A:K,4,0),"")</f>
        <v>580215333</v>
      </c>
      <c r="L126" s="607" t="str">
        <f>IFERROR(VLOOKUP(D126,מרכבה!A:K,6,0),"")</f>
        <v>עמותת הכוריאוגרפים (ע"ר)</v>
      </c>
      <c r="M126" s="607" t="str">
        <f>IFERROR(VLOOKUP(D126,מרכבה!A:K,2,0),"")</f>
        <v>מיכל בן צבי-תמיכה ביוצרת עצמאית</v>
      </c>
      <c r="N126" s="609">
        <f>IFERROR(VLOOKUP(D126,מרכבה!A:K,8,0),"")</f>
        <v>295000</v>
      </c>
      <c r="O126" s="610">
        <f>IFERROR(VLOOKUP(E126,מרכבה!A:K,9,0),0)</f>
        <v>0</v>
      </c>
      <c r="P126" s="611">
        <f>'הגבלה לסכום מבוקש (2)'!W126</f>
        <v>60622.093174946414</v>
      </c>
      <c r="Q126" s="612" t="str">
        <f t="shared" si="5"/>
        <v/>
      </c>
      <c r="R126" s="196">
        <f>'קיזוזים בגין איחורים'!F136</f>
        <v>0</v>
      </c>
      <c r="S126" s="197">
        <f>'קיזוזים- החלטות ועדה'!E136</f>
        <v>0</v>
      </c>
      <c r="T126" s="194"/>
      <c r="U126" s="193" t="s">
        <v>1049</v>
      </c>
    </row>
    <row r="127" spans="2:21" ht="31.5" x14ac:dyDescent="0.25">
      <c r="B127" s="191">
        <f t="shared" si="6"/>
        <v>107</v>
      </c>
      <c r="C127" s="192" t="str">
        <f>'הגבלה לסכום מבוקש (2)'!C127</f>
        <v>מיקה קופפר</v>
      </c>
      <c r="D127" s="615">
        <v>1001827361</v>
      </c>
      <c r="E127" s="615">
        <v>1001735502</v>
      </c>
      <c r="F127" s="614">
        <v>2020</v>
      </c>
      <c r="G127" s="607">
        <f t="shared" si="4"/>
        <v>1</v>
      </c>
      <c r="H127" s="608" t="str">
        <f>IF(IFERROR(VLOOKUP(E127,מרכבה!A:K,4,0),"")=K127,"","no")</f>
        <v/>
      </c>
      <c r="I127" s="607">
        <f>IFERROR(VLOOKUP(D127,מרכבה!A:K,7,0),"")</f>
        <v>2025</v>
      </c>
      <c r="J127" s="607">
        <f>IFERROR(VLOOKUP(D127,מרכבה!A:K,5,0),"")</f>
        <v>40000564</v>
      </c>
      <c r="K127" s="607">
        <f>IFERROR(VLOOKUP(D127,מרכבה!A:K,4,0),"")</f>
        <v>580215333</v>
      </c>
      <c r="L127" s="607" t="str">
        <f>IFERROR(VLOOKUP(D127,מרכבה!A:K,6,0),"")</f>
        <v>עמותת הכוריאוגרפים (ע"ר)</v>
      </c>
      <c r="M127" s="607" t="str">
        <f>IFERROR(VLOOKUP(D127,מרכבה!A:K,2,0),"")</f>
        <v>מיקה קופפר-תמיכה ביוצרת עצמאית</v>
      </c>
      <c r="N127" s="609">
        <f>IFERROR(VLOOKUP(D127,מרכבה!A:K,8,0),"")</f>
        <v>295000</v>
      </c>
      <c r="O127" s="610">
        <f>IFERROR(VLOOKUP(E127,מרכבה!A:K,9,0),0)</f>
        <v>60204</v>
      </c>
      <c r="P127" s="611">
        <f>'הגבלה לסכום מבוקש (2)'!W127</f>
        <v>58515.25249562219</v>
      </c>
      <c r="Q127" s="612">
        <f t="shared" si="5"/>
        <v>-2.8050420310574253E-2</v>
      </c>
      <c r="R127" s="196">
        <f>'קיזוזים בגין איחורים'!F137</f>
        <v>0</v>
      </c>
      <c r="S127" s="197">
        <f>'קיזוזים- החלטות ועדה'!E137</f>
        <v>0</v>
      </c>
      <c r="T127" s="194"/>
      <c r="U127" s="193" t="s">
        <v>1044</v>
      </c>
    </row>
    <row r="128" spans="2:21" x14ac:dyDescent="0.25">
      <c r="B128" s="191" t="str">
        <f t="shared" si="6"/>
        <v/>
      </c>
      <c r="C128" s="192" t="str">
        <f>'הגבלה לסכום מבוקש (2)'!C128</f>
        <v/>
      </c>
      <c r="D128" s="615"/>
      <c r="E128" s="615"/>
      <c r="F128" s="614"/>
      <c r="G128" s="607" t="str">
        <f t="shared" si="4"/>
        <v/>
      </c>
      <c r="H128" s="608" t="str">
        <f>IF(IFERROR(VLOOKUP(E128,מרכבה!A:K,4,0),"")=K128,"","no")</f>
        <v/>
      </c>
      <c r="I128" s="607" t="str">
        <f>IFERROR(VLOOKUP(D128,מרכבה!A:K,7,0),"")</f>
        <v/>
      </c>
      <c r="J128" s="607" t="str">
        <f>IFERROR(VLOOKUP(D128,מרכבה!A:K,5,0),"")</f>
        <v/>
      </c>
      <c r="K128" s="607" t="str">
        <f>IFERROR(VLOOKUP(D128,מרכבה!A:K,4,0),"")</f>
        <v/>
      </c>
      <c r="L128" s="607" t="str">
        <f>IFERROR(VLOOKUP(D128,מרכבה!A:K,6,0),"")</f>
        <v/>
      </c>
      <c r="M128" s="607" t="str">
        <f>IFERROR(VLOOKUP(D128,מרכבה!A:K,2,0),"")</f>
        <v/>
      </c>
      <c r="N128" s="609" t="str">
        <f>IFERROR(VLOOKUP(D128,מרכבה!A:K,8,0),"")</f>
        <v/>
      </c>
      <c r="O128" s="610">
        <f>IFERROR(VLOOKUP(E128,מרכבה!A:K,9,0),0)</f>
        <v>0</v>
      </c>
      <c r="P128" s="611" t="str">
        <f>'הגבלה לסכום מבוקש (2)'!W128</f>
        <v/>
      </c>
      <c r="Q128" s="612" t="str">
        <f t="shared" si="5"/>
        <v/>
      </c>
      <c r="R128" s="196" t="str">
        <f>'קיזוזים בגין איחורים'!F138</f>
        <v/>
      </c>
      <c r="S128" s="197">
        <f>'קיזוזים- החלטות ועדה'!E138</f>
        <v>0</v>
      </c>
      <c r="T128" s="194"/>
      <c r="U128" s="193"/>
    </row>
    <row r="129" spans="2:21" ht="31.5" x14ac:dyDescent="0.25">
      <c r="B129" s="191">
        <f t="shared" si="6"/>
        <v>109</v>
      </c>
      <c r="C129" s="192" t="str">
        <f>'הגבלה לסכום מבוקש (2)'!C129</f>
        <v>נועה שילה</v>
      </c>
      <c r="D129" s="615">
        <v>1001827669</v>
      </c>
      <c r="E129" s="615"/>
      <c r="F129" s="614">
        <v>2020</v>
      </c>
      <c r="G129" s="607">
        <f t="shared" si="4"/>
        <v>1</v>
      </c>
      <c r="H129" s="608" t="str">
        <f>IF(IFERROR(VLOOKUP(E129,מרכבה!A:K,4,0),"")=K129,"","no")</f>
        <v>no</v>
      </c>
      <c r="I129" s="607">
        <f>IFERROR(VLOOKUP(D129,מרכבה!A:K,7,0),"")</f>
        <v>2025</v>
      </c>
      <c r="J129" s="607">
        <f>IFERROR(VLOOKUP(D129,מרכבה!A:K,5,0),"")</f>
        <v>40000564</v>
      </c>
      <c r="K129" s="607">
        <f>IFERROR(VLOOKUP(D129,מרכבה!A:K,4,0),"")</f>
        <v>580215333</v>
      </c>
      <c r="L129" s="607" t="str">
        <f>IFERROR(VLOOKUP(D129,מרכבה!A:K,6,0),"")</f>
        <v>עמותת הכוריאוגרפים (ע"ר)</v>
      </c>
      <c r="M129" s="607" t="str">
        <f>IFERROR(VLOOKUP(D129,מרכבה!A:K,2,0),"")</f>
        <v>נעה שילה - תמיכה ביוצרת עצמאית</v>
      </c>
      <c r="N129" s="609">
        <f>IFERROR(VLOOKUP(D129,מרכבה!A:K,8,0),"")</f>
        <v>295000</v>
      </c>
      <c r="O129" s="610">
        <f>IFERROR(VLOOKUP(E129,מרכבה!A:K,9,0),0)</f>
        <v>0</v>
      </c>
      <c r="P129" s="611">
        <f>'הגבלה לסכום מבוקש (2)'!W129</f>
        <v>56320.524973865598</v>
      </c>
      <c r="Q129" s="612" t="str">
        <f t="shared" si="5"/>
        <v/>
      </c>
      <c r="R129" s="196">
        <f>'קיזוזים בגין איחורים'!F139</f>
        <v>0</v>
      </c>
      <c r="S129" s="197">
        <f>'קיזוזים- החלטות ועדה'!E139</f>
        <v>0</v>
      </c>
      <c r="T129" s="194"/>
      <c r="U129" s="193" t="s">
        <v>1049</v>
      </c>
    </row>
    <row r="130" spans="2:21" x14ac:dyDescent="0.25">
      <c r="B130" s="191" t="str">
        <f t="shared" si="6"/>
        <v/>
      </c>
      <c r="C130" s="192" t="str">
        <f>'הגבלה לסכום מבוקש (2)'!C130</f>
        <v/>
      </c>
      <c r="D130" s="615"/>
      <c r="E130" s="615"/>
      <c r="F130" s="614"/>
      <c r="G130" s="607" t="str">
        <f t="shared" si="4"/>
        <v/>
      </c>
      <c r="H130" s="608" t="str">
        <f>IF(IFERROR(VLOOKUP(E130,מרכבה!A:K,4,0),"")=K130,"","no")</f>
        <v/>
      </c>
      <c r="I130" s="607" t="str">
        <f>IFERROR(VLOOKUP(D130,מרכבה!A:K,7,0),"")</f>
        <v/>
      </c>
      <c r="J130" s="607" t="str">
        <f>IFERROR(VLOOKUP(D130,מרכבה!A:K,5,0),"")</f>
        <v/>
      </c>
      <c r="K130" s="607" t="str">
        <f>IFERROR(VLOOKUP(D130,מרכבה!A:K,4,0),"")</f>
        <v/>
      </c>
      <c r="L130" s="607" t="str">
        <f>IFERROR(VLOOKUP(D130,מרכבה!A:K,6,0),"")</f>
        <v/>
      </c>
      <c r="M130" s="607" t="str">
        <f>IFERROR(VLOOKUP(D130,מרכבה!A:K,2,0),"")</f>
        <v/>
      </c>
      <c r="N130" s="609" t="str">
        <f>IFERROR(VLOOKUP(D130,מרכבה!A:K,8,0),"")</f>
        <v/>
      </c>
      <c r="O130" s="610">
        <f>IFERROR(VLOOKUP(E130,מרכבה!A:K,9,0),0)</f>
        <v>0</v>
      </c>
      <c r="P130" s="611" t="str">
        <f>'הגבלה לסכום מבוקש (2)'!W130</f>
        <v/>
      </c>
      <c r="Q130" s="612" t="str">
        <f t="shared" si="5"/>
        <v/>
      </c>
      <c r="R130" s="196" t="str">
        <f>'קיזוזים בגין איחורים'!F140</f>
        <v/>
      </c>
      <c r="S130" s="197">
        <f>'קיזוזים- החלטות ועדה'!E140</f>
        <v>0</v>
      </c>
      <c r="T130" s="194"/>
      <c r="U130" s="193"/>
    </row>
    <row r="131" spans="2:21" ht="31.5" x14ac:dyDescent="0.25">
      <c r="B131" s="191">
        <f t="shared" si="6"/>
        <v>111</v>
      </c>
      <c r="C131" s="192" t="str">
        <f>'הגבלה לסכום מבוקש (2)'!C131</f>
        <v>עדי בוטרוס אמנויות הבמה (ע"ר)</v>
      </c>
      <c r="D131" s="615">
        <v>1001829510</v>
      </c>
      <c r="E131" s="615">
        <v>1001779069</v>
      </c>
      <c r="F131" s="614">
        <v>2020</v>
      </c>
      <c r="G131" s="607">
        <f t="shared" si="4"/>
        <v>1</v>
      </c>
      <c r="H131" s="608" t="str">
        <f>IF(IFERROR(VLOOKUP(E131,מרכבה!A:K,4,0),"")=K131,"","no")</f>
        <v/>
      </c>
      <c r="I131" s="607">
        <f>IFERROR(VLOOKUP(D131,מרכבה!A:K,7,0),"")</f>
        <v>2025</v>
      </c>
      <c r="J131" s="607">
        <f>IFERROR(VLOOKUP(D131,מרכבה!A:K,5,0),"")</f>
        <v>42746928</v>
      </c>
      <c r="K131" s="607">
        <f>IFERROR(VLOOKUP(D131,מרכבה!A:K,4,0),"")</f>
        <v>580737195</v>
      </c>
      <c r="L131" s="607" t="str">
        <f>IFERROR(VLOOKUP(D131,מרכבה!A:K,6,0),"")</f>
        <v>עדי בוטרוס אמנויות הבמה (ע"ר)</v>
      </c>
      <c r="M131" s="607" t="str">
        <f>IFERROR(VLOOKUP(D131,מרכבה!A:K,2,0),"")</f>
        <v>עדי בוטרוס 2025 תמיכה שוטפת</v>
      </c>
      <c r="N131" s="609">
        <f>IFERROR(VLOOKUP(D131,מרכבה!A:K,8,0),"")</f>
        <v>400000</v>
      </c>
      <c r="O131" s="610">
        <f>IFERROR(VLOOKUP(E131,מרכבה!A:K,9,0),0)</f>
        <v>75978</v>
      </c>
      <c r="P131" s="611">
        <f>'הגבלה לסכום מבוקש (2)'!W131</f>
        <v>100645.73096221808</v>
      </c>
      <c r="Q131" s="612">
        <f t="shared" si="5"/>
        <v>0.32466939064226596</v>
      </c>
      <c r="R131" s="196">
        <f>'קיזוזים בגין איחורים'!F141</f>
        <v>0</v>
      </c>
      <c r="S131" s="197">
        <f>'קיזוזים- החלטות ועדה'!E141</f>
        <v>0</v>
      </c>
      <c r="T131" s="194"/>
      <c r="U131" s="193" t="s">
        <v>1044</v>
      </c>
    </row>
    <row r="132" spans="2:21" ht="16.5" thickBot="1" x14ac:dyDescent="0.3">
      <c r="B132" s="191" t="str">
        <f t="shared" si="6"/>
        <v/>
      </c>
      <c r="C132" s="192" t="str">
        <f>'הגבלה לסכום מבוקש (2)'!C132</f>
        <v/>
      </c>
      <c r="D132" s="615"/>
      <c r="E132" s="615"/>
      <c r="F132" s="614"/>
      <c r="G132" s="607" t="str">
        <f t="shared" si="4"/>
        <v/>
      </c>
      <c r="H132" s="608" t="str">
        <f>IF(IFERROR(VLOOKUP(E132,מרכבה!A:K,4,0),"")=K132,"","no")</f>
        <v/>
      </c>
      <c r="I132" s="607" t="str">
        <f>IFERROR(VLOOKUP(D132,מרכבה!A:K,7,0),"")</f>
        <v/>
      </c>
      <c r="J132" s="607" t="str">
        <f>IFERROR(VLOOKUP(D132,מרכבה!A:K,5,0),"")</f>
        <v/>
      </c>
      <c r="K132" s="607" t="str">
        <f>IFERROR(VLOOKUP(D132,מרכבה!A:K,4,0),"")</f>
        <v/>
      </c>
      <c r="L132" s="607" t="str">
        <f>IFERROR(VLOOKUP(D132,מרכבה!A:K,6,0),"")</f>
        <v/>
      </c>
      <c r="M132" s="607" t="str">
        <f>IFERROR(VLOOKUP(D132,מרכבה!A:K,2,0),"")</f>
        <v/>
      </c>
      <c r="N132" s="609" t="str">
        <f>IFERROR(VLOOKUP(D132,מרכבה!A:K,8,0),"")</f>
        <v/>
      </c>
      <c r="O132" s="610">
        <f>IFERROR(VLOOKUP(E132,מרכבה!A:K,9,0),0)</f>
        <v>0</v>
      </c>
      <c r="P132" s="611" t="str">
        <f>'הגבלה לסכום מבוקש (2)'!W132</f>
        <v/>
      </c>
      <c r="Q132" s="612" t="str">
        <f t="shared" si="5"/>
        <v/>
      </c>
      <c r="R132" s="196" t="str">
        <f>'קיזוזים בגין איחורים'!F142</f>
        <v/>
      </c>
      <c r="S132" s="197">
        <f>'קיזוזים- החלטות ועדה'!E142</f>
        <v>0</v>
      </c>
      <c r="T132" s="194"/>
      <c r="U132" s="193"/>
    </row>
    <row r="133" spans="2:21" ht="20.25" thickTop="1" thickBot="1" x14ac:dyDescent="0.3">
      <c r="B133" s="918" t="s">
        <v>41</v>
      </c>
      <c r="C133" s="918"/>
      <c r="D133" s="198"/>
      <c r="E133" s="606"/>
      <c r="F133" s="606"/>
      <c r="G133" s="606"/>
      <c r="H133" s="606"/>
      <c r="I133" s="606"/>
      <c r="J133" s="606"/>
      <c r="K133" s="606"/>
      <c r="L133" s="606"/>
      <c r="M133" s="198"/>
      <c r="N133" s="198"/>
      <c r="O133" s="198"/>
      <c r="P133" s="198"/>
      <c r="Q133" s="198"/>
      <c r="R133" s="182">
        <f>SUM(R21:R120)</f>
        <v>0</v>
      </c>
      <c r="S133" s="182">
        <f>SUM(S21:S120)</f>
        <v>0</v>
      </c>
      <c r="T133" s="182"/>
      <c r="U133" s="182"/>
    </row>
    <row r="134" spans="2:21" ht="16.5" thickTop="1" x14ac:dyDescent="0.25"/>
  </sheetData>
  <sheetProtection algorithmName="SHA-512" hashValue="SP/qdX89/z0WYsHD48bK2+o0AEXiB45PRrQE7LQ/DFeMHtwh8truxFyyoKDoppNy2KO9rE/6NsGXWxU/dp0puw==" saltValue="eu+AEnQ59KxwNgC0XTc5fA==" spinCount="100000" sheet="1" objects="1" scenarios="1" autoFilter="0"/>
  <autoFilter ref="B20:AL133" xr:uid="{00000000-0001-0000-1700-000000000000}"/>
  <mergeCells count="1">
    <mergeCell ref="B133:C133"/>
  </mergeCells>
  <phoneticPr fontId="98" type="noConversion"/>
  <conditionalFormatting sqref="B21:C132 R21:S132">
    <cfRule type="containsBlanks" dxfId="5" priority="81">
      <formula>LEN(TRIM(B21))=0</formula>
    </cfRule>
  </conditionalFormatting>
  <conditionalFormatting sqref="D21:F132">
    <cfRule type="expression" dxfId="4" priority="1">
      <formula>IF($C21="",0,1)</formula>
    </cfRule>
  </conditionalFormatting>
  <conditionalFormatting sqref="D1:Q2">
    <cfRule type="containsBlanks" dxfId="3" priority="78">
      <formula>LEN(TRIM(D1))=0</formula>
    </cfRule>
  </conditionalFormatting>
  <conditionalFormatting sqref="T21:U132">
    <cfRule type="expression" dxfId="2" priority="67">
      <formula>IF($C21="",0,1)</formula>
    </cfRule>
  </conditionalFormatting>
  <printOptions horizontalCentered="1"/>
  <pageMargins left="0.27559055118110237" right="0.19685039370078741" top="0.62992125984251968" bottom="0.47244094488188981" header="0.31496062992125984" footer="0.23622047244094491"/>
  <pageSetup paperSize="9" scale="18" orientation="portrait" horizontalDpi="1200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6">
    <tabColor theme="5" tint="-0.249977111117893"/>
    <pageSetUpPr fitToPage="1"/>
  </sheetPr>
  <dimension ref="B1:U134"/>
  <sheetViews>
    <sheetView rightToLeft="1" tabSelected="1" view="pageBreakPreview" zoomScale="85" zoomScaleNormal="70" zoomScaleSheetLayoutView="85" workbookViewId="0">
      <pane xSplit="3" ySplit="20" topLeftCell="L21" activePane="bottomRight" state="frozen"/>
      <selection pane="topRight" activeCell="E1" sqref="E1:E2"/>
      <selection pane="bottomLeft" activeCell="E1" sqref="E1:E2"/>
      <selection pane="bottomRight" activeCell="Z23" sqref="Z23"/>
    </sheetView>
  </sheetViews>
  <sheetFormatPr defaultColWidth="9.140625" defaultRowHeight="15.75" x14ac:dyDescent="0.25"/>
  <cols>
    <col min="1" max="1" width="2.42578125" style="11" customWidth="1"/>
    <col min="2" max="2" width="7.42578125" style="11" customWidth="1"/>
    <col min="3" max="3" width="29.85546875" style="11" customWidth="1"/>
    <col min="4" max="4" width="19.85546875" style="11" customWidth="1"/>
    <col min="5" max="5" width="15" style="11" customWidth="1"/>
    <col min="6" max="6" width="18.85546875" style="11" hidden="1" customWidth="1"/>
    <col min="7" max="7" width="35.42578125" style="380" hidden="1" customWidth="1"/>
    <col min="8" max="8" width="30.7109375" style="380" hidden="1" customWidth="1"/>
    <col min="9" max="9" width="20.42578125" style="11" customWidth="1"/>
    <col min="10" max="10" width="18.42578125" style="11" customWidth="1"/>
    <col min="11" max="11" width="22.28515625" style="11" customWidth="1"/>
    <col min="12" max="12" width="38.28515625" style="11" bestFit="1" customWidth="1"/>
    <col min="13" max="13" width="44" style="11" bestFit="1" customWidth="1"/>
    <col min="14" max="14" width="18.42578125" style="11" customWidth="1"/>
    <col min="15" max="15" width="14.28515625" style="11" customWidth="1"/>
    <col min="16" max="16" width="17.7109375" style="11" customWidth="1"/>
    <col min="17" max="17" width="18.28515625" style="11" customWidth="1"/>
    <col min="18" max="18" width="19.28515625" style="11" hidden="1" customWidth="1"/>
    <col min="19" max="19" width="17.42578125" style="11" hidden="1" customWidth="1"/>
    <col min="20" max="20" width="36.7109375" style="626" hidden="1" customWidth="1"/>
    <col min="21" max="21" width="29.5703125" style="11" bestFit="1" customWidth="1"/>
    <col min="22" max="16384" width="9.140625" style="11"/>
  </cols>
  <sheetData>
    <row r="1" spans="3:5" ht="18.75" x14ac:dyDescent="0.25">
      <c r="D1" s="100" t="str">
        <f>'פרמטרים לעקרונות חישוב התמיכה'!$B$1</f>
        <v>שנה</v>
      </c>
      <c r="E1" s="13">
        <f>'פרמטרים לעקרונות חישוב התמיכה'!$C$1</f>
        <v>2025</v>
      </c>
    </row>
    <row r="2" spans="3:5" ht="19.5" thickBot="1" x14ac:dyDescent="0.3">
      <c r="D2" s="101" t="str">
        <f>'פרמטרים לעקרונות חישוב התמיכה'!$B$2</f>
        <v>תקציב התמיכה</v>
      </c>
      <c r="E2" s="14">
        <f>'פרמטרים לעקרונות חישוב התמיכה'!$C$2</f>
        <v>8082764</v>
      </c>
    </row>
    <row r="3" spans="3:5" x14ac:dyDescent="0.25">
      <c r="C3" s="383" t="str">
        <f>IF(SUBTOTAL(102,B$31:B$120)=SUBTOTAL(2,B$31:B$120),"","ישנן שורות מוסתרות")</f>
        <v/>
      </c>
    </row>
    <row r="4" spans="3:5" hidden="1" x14ac:dyDescent="0.25"/>
    <row r="5" spans="3:5" hidden="1" x14ac:dyDescent="0.25"/>
    <row r="6" spans="3:5" hidden="1" x14ac:dyDescent="0.25"/>
    <row r="7" spans="3:5" hidden="1" x14ac:dyDescent="0.25"/>
    <row r="8" spans="3:5" hidden="1" x14ac:dyDescent="0.25"/>
    <row r="9" spans="3:5" hidden="1" x14ac:dyDescent="0.25"/>
    <row r="10" spans="3:5" hidden="1" x14ac:dyDescent="0.25"/>
    <row r="11" spans="3:5" hidden="1" x14ac:dyDescent="0.25"/>
    <row r="12" spans="3:5" hidden="1" x14ac:dyDescent="0.25"/>
    <row r="13" spans="3:5" hidden="1" x14ac:dyDescent="0.25"/>
    <row r="14" spans="3:5" hidden="1" x14ac:dyDescent="0.25"/>
    <row r="15" spans="3:5" hidden="1" x14ac:dyDescent="0.25"/>
    <row r="16" spans="3:5" hidden="1" x14ac:dyDescent="0.25"/>
    <row r="17" spans="2:21" hidden="1" x14ac:dyDescent="0.25"/>
    <row r="18" spans="2:21" x14ac:dyDescent="0.25">
      <c r="D18" s="16"/>
      <c r="E18" s="16"/>
    </row>
    <row r="19" spans="2:21" ht="16.5" customHeight="1" thickBot="1" x14ac:dyDescent="0.3"/>
    <row r="20" spans="2:21" ht="46.5" customHeight="1" thickBot="1" x14ac:dyDescent="0.3">
      <c r="B20" s="199" t="s">
        <v>206</v>
      </c>
      <c r="C20" s="200" t="str">
        <f>'סיכום לועדה- הזנת נתונים'!C20</f>
        <v>שם המוסד</v>
      </c>
      <c r="D20" s="201" t="str">
        <f>'סיכום לועדה- הזנת נתונים'!D20</f>
        <v>מס' בקשה שנ תמיכה</v>
      </c>
      <c r="E20" s="201" t="str">
        <f>'סיכום לועדה- הזנת נתונים'!E20</f>
        <v>מס' בקשה שנה קודמת</v>
      </c>
      <c r="F20" s="201" t="str">
        <f>'סיכום לועדה- הזנת נתונים'!F20</f>
        <v>השנה האחרונה בה ניתנה הגנה לצורך 80% (מנגנון הגנה ביחס לשנה קודמת)</v>
      </c>
      <c r="G20" s="201" t="str">
        <f>'סיכום לועדה- הזנת נתונים'!G20</f>
        <v>זכאות להגנה של 80% (מנגנון הגנה ביחס לשנה קודמת)</v>
      </c>
      <c r="H20" s="201" t="str">
        <f>'סיכום לועדה- הזנת נתונים'!H20</f>
        <v>זיהוי מספר הבקשה לאותו גוף</v>
      </c>
      <c r="I20" s="201" t="str">
        <f>'סיכום לועדה- הזנת נתונים'!I20</f>
        <v>שנת בקשה</v>
      </c>
      <c r="J20" s="201" t="str">
        <f>'סיכום לועדה- הזנת נתונים'!J20</f>
        <v>מגיש בקשה</v>
      </c>
      <c r="K20" s="201" t="str">
        <f>'סיכום לועדה- הזנת נתונים'!K20</f>
        <v>מספר העמותה</v>
      </c>
      <c r="L20" s="201" t="str">
        <f>'סיכום לועדה- הזנת נתונים'!L20</f>
        <v>שם הגוף</v>
      </c>
      <c r="M20" s="201" t="str">
        <f>'סיכום לועדה- הזנת נתונים'!M20</f>
        <v>מהות הבקשה</v>
      </c>
      <c r="N20" s="201" t="str">
        <f>'סיכום לועדה- הזנת נתונים'!N20</f>
        <v>סכום מבוקש</v>
      </c>
      <c r="O20" s="201" t="str">
        <f>'סיכום לועדה- הזנת נתונים'!O20</f>
        <v>סכום תמיכה בשנה קודמת</v>
      </c>
      <c r="P20" s="201" t="str">
        <f>'סיכום לועדה- הזנת נתונים'!P20</f>
        <v>סכום תמיכה מומלץ</v>
      </c>
      <c r="Q20" s="201" t="str">
        <f>'סיכום לועדה- הזנת נתונים'!Q20</f>
        <v>שיעור שינוי מול שנה קודמת</v>
      </c>
      <c r="R20" s="201" t="str">
        <f>'סיכום לועדה- הזנת נתונים'!R20</f>
        <v>קיזוזים בגין ימי איחור</v>
      </c>
      <c r="S20" s="201" t="str">
        <f>'סיכום לועדה- הזנת נתונים'!S20</f>
        <v>קיזוזים בגין החלטות ועדה</v>
      </c>
      <c r="T20" s="201" t="str">
        <f>'סיכום לועדה- הזנת נתונים'!T20</f>
        <v>סיבות לשינויים ביחס לשנה קודמת</v>
      </c>
      <c r="U20" s="201" t="str">
        <f>'סיכום לועדה- הזנת נתונים'!U20</f>
        <v>נימוקים</v>
      </c>
    </row>
    <row r="21" spans="2:21" s="12" customFormat="1" ht="32.25" thickBot="1" x14ac:dyDescent="0.25">
      <c r="B21" s="305">
        <f>IF(C21="","",ROW()-20)</f>
        <v>1</v>
      </c>
      <c r="C21" s="306" t="str">
        <f>'סיכום לועדה- הזנת נתונים'!C21</f>
        <v>סילביה דוראן</v>
      </c>
      <c r="D21" s="570">
        <f>'סיכום לועדה- הזנת נתונים'!D21</f>
        <v>1001827704</v>
      </c>
      <c r="E21" s="571">
        <f>'סיכום לועדה- הזנת נתונים'!E21</f>
        <v>1001735522</v>
      </c>
      <c r="F21" s="571">
        <f>'סיכום לועדה- הזנת נתונים'!F21</f>
        <v>2023</v>
      </c>
      <c r="G21" s="384">
        <f>'סיכום לועדה- הזנת נתונים'!G21</f>
        <v>0</v>
      </c>
      <c r="H21" s="384" t="str">
        <f>'סיכום לועדה- הזנת נתונים'!H21</f>
        <v/>
      </c>
      <c r="I21" s="623">
        <f>'סיכום לועדה- הזנת נתונים'!I21</f>
        <v>2025</v>
      </c>
      <c r="J21" s="623">
        <f>'סיכום לועדה- הזנת נתונים'!J21</f>
        <v>40000564</v>
      </c>
      <c r="K21" s="623">
        <f>'סיכום לועדה- הזנת נתונים'!K21</f>
        <v>580215333</v>
      </c>
      <c r="L21" s="308" t="str">
        <f>'סיכום לועדה- הזנת נתונים'!L21</f>
        <v>עמותת הכוריאוגרפים (ע"ר)</v>
      </c>
      <c r="M21" s="309" t="str">
        <f>'סיכום לועדה- הזנת נתונים'!M21</f>
        <v>סילביה דוראן-תמיכה ביוצרת עצמאית</v>
      </c>
      <c r="N21" s="310">
        <f>'סיכום לועדה- הזנת נתונים'!N21</f>
        <v>295000</v>
      </c>
      <c r="O21" s="310">
        <f>'סיכום לועדה- הזנת נתונים'!O21</f>
        <v>28695</v>
      </c>
      <c r="P21" s="310">
        <f>'סיכום לועדה- הזנת נתונים'!P21</f>
        <v>20481.936442862843</v>
      </c>
      <c r="Q21" s="637">
        <f>'סיכום לועדה- הזנת נתונים'!Q21</f>
        <v>-0.28621932591521715</v>
      </c>
      <c r="R21" s="307">
        <f>'סיכום לועדה- הזנת נתונים'!R21</f>
        <v>0</v>
      </c>
      <c r="S21" s="307">
        <f>'סיכום לועדה- הזנת נתונים'!S21</f>
        <v>0</v>
      </c>
      <c r="T21" s="384">
        <f>'סיכום לועדה- הזנת נתונים'!T21</f>
        <v>0</v>
      </c>
      <c r="U21" s="384" t="str">
        <f>'סיכום לועדה- הזנת נתונים'!U21</f>
        <v>התמיכה מומלצת בהתאם למבחן התמיכה</v>
      </c>
    </row>
    <row r="22" spans="2:21" ht="32.25" thickBot="1" x14ac:dyDescent="0.3">
      <c r="B22" s="311">
        <f>IF(C22="","",ROW()-20)</f>
        <v>2</v>
      </c>
      <c r="C22" s="312" t="str">
        <f>'סיכום לועדה- הזנת נתונים'!C22</f>
        <v>רנה שינפלד</v>
      </c>
      <c r="D22" s="572">
        <f>'סיכום לועדה- הזנת נתונים'!D22</f>
        <v>1001825298</v>
      </c>
      <c r="E22" s="573">
        <f>'סיכום לועדה- הזנת נתונים'!E22</f>
        <v>1001778130</v>
      </c>
      <c r="F22" s="573">
        <f>'סיכום לועדה- הזנת נתונים'!F22</f>
        <v>2022</v>
      </c>
      <c r="G22" s="458">
        <f>'סיכום לועדה- הזנת נתונים'!G22</f>
        <v>0</v>
      </c>
      <c r="H22" s="458" t="str">
        <f>'סיכום לועדה- הזנת נתונים'!H22</f>
        <v/>
      </c>
      <c r="I22" s="624">
        <f>'סיכום לועדה- הזנת נתונים'!I22</f>
        <v>2025</v>
      </c>
      <c r="J22" s="624">
        <f>'סיכום לועדה- הזנת נתונים'!J22</f>
        <v>40000174</v>
      </c>
      <c r="K22" s="624">
        <f>'סיכום לועדה- הזנת נתונים'!K22</f>
        <v>580198554</v>
      </c>
      <c r="L22" s="459" t="str">
        <f>'סיכום לועדה- הזנת נתונים'!L22</f>
        <v>פרויקטים במחול - שליד תיאטרון מחול</v>
      </c>
      <c r="M22" s="460" t="str">
        <f>'סיכום לועדה- הזנת נתונים'!M22</f>
        <v>רנה שינפלד - תמיכה שוטפת 2025</v>
      </c>
      <c r="N22" s="461">
        <f>'סיכום לועדה- הזנת נתונים'!N22</f>
        <v>250000</v>
      </c>
      <c r="O22" s="461">
        <f>'סיכום לועדה- הזנת נתונים'!O22</f>
        <v>119206</v>
      </c>
      <c r="P22" s="461">
        <f>'סיכום לועדה- הזנת נתונים'!P22</f>
        <v>109814.96724117095</v>
      </c>
      <c r="Q22" s="638">
        <f>'סיכום לועדה- הזנת נתונים'!Q22</f>
        <v>-7.8779866439852464E-2</v>
      </c>
      <c r="R22" s="457">
        <f>'סיכום לועדה- הזנת נתונים'!R22</f>
        <v>0</v>
      </c>
      <c r="S22" s="457">
        <f>'סיכום לועדה- הזנת נתונים'!S22</f>
        <v>0</v>
      </c>
      <c r="T22" s="458">
        <f>'סיכום לועדה- הזנת נתונים'!T22</f>
        <v>0</v>
      </c>
      <c r="U22" s="384" t="str">
        <f>'סיכום לועדה- הזנת נתונים'!U22</f>
        <v>התמיכה מומלצת בהתאם למבחן התמיכה</v>
      </c>
    </row>
    <row r="23" spans="2:21" ht="32.25" thickBot="1" x14ac:dyDescent="0.3">
      <c r="B23" s="311">
        <f t="shared" ref="B23:B86" si="0">IF(C23="","",ROW()-20)</f>
        <v>3</v>
      </c>
      <c r="C23" s="312" t="str">
        <f>'סיכום לועדה- הזנת נתונים'!C23</f>
        <v>אבי קייזר וסרג'יו אנטוניניו</v>
      </c>
      <c r="D23" s="572">
        <f>'סיכום לועדה- הזנת נתונים'!D23</f>
        <v>1001827293</v>
      </c>
      <c r="E23" s="573">
        <f>'סיכום לועדה- הזנת נתונים'!E23</f>
        <v>1001735023</v>
      </c>
      <c r="F23" s="573">
        <f>'סיכום לועדה- הזנת נתונים'!F23</f>
        <v>2019</v>
      </c>
      <c r="G23" s="458">
        <f>'סיכום לועדה- הזנת נתונים'!G23</f>
        <v>1</v>
      </c>
      <c r="H23" s="458" t="str">
        <f>'סיכום לועדה- הזנת נתונים'!H23</f>
        <v/>
      </c>
      <c r="I23" s="624">
        <f>'סיכום לועדה- הזנת נתונים'!I23</f>
        <v>2025</v>
      </c>
      <c r="J23" s="624">
        <f>'סיכום לועדה- הזנת נתונים'!J23</f>
        <v>40000564</v>
      </c>
      <c r="K23" s="624">
        <f>'סיכום לועדה- הזנת נתונים'!K23</f>
        <v>580215333</v>
      </c>
      <c r="L23" s="459" t="str">
        <f>'סיכום לועדה- הזנת נתונים'!L23</f>
        <v>עמותת הכוריאוגרפים (ע"ר)</v>
      </c>
      <c r="M23" s="460" t="str">
        <f>'סיכום לועדה- הזנת נתונים'!M23</f>
        <v>אבי קייזר - תמיכה ביוצר עצמאי</v>
      </c>
      <c r="N23" s="461">
        <f>'סיכום לועדה- הזנת נתונים'!N23</f>
        <v>295000</v>
      </c>
      <c r="O23" s="461">
        <f>'סיכום לועדה- הזנת נתונים'!O23</f>
        <v>63582</v>
      </c>
      <c r="P23" s="461">
        <f>'סיכום לועדה- הזנת נתונים'!P23</f>
        <v>66612.83254511538</v>
      </c>
      <c r="Q23" s="638">
        <f>'סיכום לועדה- הזנת נתונים'!Q23</f>
        <v>4.766809073504108E-2</v>
      </c>
      <c r="R23" s="457">
        <f>'סיכום לועדה- הזנת נתונים'!R23</f>
        <v>0</v>
      </c>
      <c r="S23" s="457">
        <f>'סיכום לועדה- הזנת נתונים'!S23</f>
        <v>0</v>
      </c>
      <c r="T23" s="458">
        <f>'סיכום לועדה- הזנת נתונים'!T23</f>
        <v>0</v>
      </c>
      <c r="U23" s="384" t="str">
        <f>'סיכום לועדה- הזנת נתונים'!U23</f>
        <v>התמיכה מומלצת בהתאם למבחן התמיכה</v>
      </c>
    </row>
    <row r="24" spans="2:21" ht="16.5" thickBot="1" x14ac:dyDescent="0.3">
      <c r="B24" s="311" t="str">
        <f t="shared" si="0"/>
        <v/>
      </c>
      <c r="C24" s="312" t="str">
        <f>'סיכום לועדה- הזנת נתונים'!C24</f>
        <v/>
      </c>
      <c r="D24" s="572">
        <f>'סיכום לועדה- הזנת נתונים'!D24</f>
        <v>0</v>
      </c>
      <c r="E24" s="573">
        <f>'סיכום לועדה- הזנת נתונים'!E24</f>
        <v>0</v>
      </c>
      <c r="F24" s="573">
        <f>'סיכום לועדה- הזנת נתונים'!F24</f>
        <v>0</v>
      </c>
      <c r="G24" s="458" t="str">
        <f>'סיכום לועדה- הזנת נתונים'!G24</f>
        <v/>
      </c>
      <c r="H24" s="458" t="str">
        <f>'סיכום לועדה- הזנת נתונים'!H24</f>
        <v/>
      </c>
      <c r="I24" s="624" t="str">
        <f>'סיכום לועדה- הזנת נתונים'!I24</f>
        <v/>
      </c>
      <c r="J24" s="624" t="str">
        <f>'סיכום לועדה- הזנת נתונים'!J24</f>
        <v/>
      </c>
      <c r="K24" s="624" t="str">
        <f>'סיכום לועדה- הזנת נתונים'!K24</f>
        <v/>
      </c>
      <c r="L24" s="459" t="str">
        <f>'סיכום לועדה- הזנת נתונים'!L24</f>
        <v/>
      </c>
      <c r="M24" s="460" t="str">
        <f>'סיכום לועדה- הזנת נתונים'!M24</f>
        <v/>
      </c>
      <c r="N24" s="461" t="str">
        <f>'סיכום לועדה- הזנת נתונים'!N24</f>
        <v/>
      </c>
      <c r="O24" s="461">
        <f>'סיכום לועדה- הזנת נתונים'!O24</f>
        <v>0</v>
      </c>
      <c r="P24" s="461" t="str">
        <f>'סיכום לועדה- הזנת נתונים'!P24</f>
        <v/>
      </c>
      <c r="Q24" s="638" t="str">
        <f>'סיכום לועדה- הזנת נתונים'!Q24</f>
        <v/>
      </c>
      <c r="R24" s="457" t="str">
        <f>'סיכום לועדה- הזנת נתונים'!R24</f>
        <v/>
      </c>
      <c r="S24" s="457">
        <f>'סיכום לועדה- הזנת נתונים'!S24</f>
        <v>0</v>
      </c>
      <c r="T24" s="458">
        <f>'סיכום לועדה- הזנת נתונים'!T24</f>
        <v>0</v>
      </c>
      <c r="U24" s="384">
        <f>'סיכום לועדה- הזנת נתונים'!U24</f>
        <v>0</v>
      </c>
    </row>
    <row r="25" spans="2:21" ht="32.25" thickBot="1" x14ac:dyDescent="0.3">
      <c r="B25" s="311">
        <f t="shared" si="0"/>
        <v>5</v>
      </c>
      <c r="C25" s="312" t="str">
        <f>'סיכום לועדה- הזנת נתונים'!C25</f>
        <v>אדוה ירמיהו</v>
      </c>
      <c r="D25" s="572">
        <f>'סיכום לועדה- הזנת נתונים'!D25</f>
        <v>1001827296</v>
      </c>
      <c r="E25" s="573">
        <f>'סיכום לועדה- הזנת נתונים'!E25</f>
        <v>1001735072</v>
      </c>
      <c r="F25" s="573">
        <f>'סיכום לועדה- הזנת נתונים'!F25</f>
        <v>2019</v>
      </c>
      <c r="G25" s="458">
        <f>'סיכום לועדה- הזנת נתונים'!G25</f>
        <v>1</v>
      </c>
      <c r="H25" s="458" t="str">
        <f>'סיכום לועדה- הזנת נתונים'!H25</f>
        <v/>
      </c>
      <c r="I25" s="624">
        <f>'סיכום לועדה- הזנת נתונים'!I25</f>
        <v>2025</v>
      </c>
      <c r="J25" s="624">
        <f>'סיכום לועדה- הזנת נתונים'!J25</f>
        <v>40000564</v>
      </c>
      <c r="K25" s="624">
        <f>'סיכום לועדה- הזנת נתונים'!K25</f>
        <v>580215333</v>
      </c>
      <c r="L25" s="459" t="str">
        <f>'סיכום לועדה- הזנת נתונים'!L25</f>
        <v>עמותת הכוריאוגרפים (ע"ר)</v>
      </c>
      <c r="M25" s="460" t="str">
        <f>'סיכום לועדה- הזנת נתונים'!M25</f>
        <v>אדוה ירמיהו - תמיכה ביוצרת עצמאית</v>
      </c>
      <c r="N25" s="461">
        <f>'סיכום לועדה- הזנת נתונים'!N25</f>
        <v>295000</v>
      </c>
      <c r="O25" s="461">
        <f>'סיכום לועדה- הזנת נתונים'!O25</f>
        <v>89585</v>
      </c>
      <c r="P25" s="461">
        <f>'סיכום לועדה- הזנת נתונים'!P25</f>
        <v>97426.027791732995</v>
      </c>
      <c r="Q25" s="638">
        <f>'סיכום לועדה- הזנת נתונים'!Q25</f>
        <v>8.7526123700764513E-2</v>
      </c>
      <c r="R25" s="457">
        <f>'סיכום לועדה- הזנת נתונים'!R25</f>
        <v>0</v>
      </c>
      <c r="S25" s="457">
        <f>'סיכום לועדה- הזנת נתונים'!S25</f>
        <v>0</v>
      </c>
      <c r="T25" s="458">
        <f>'סיכום לועדה- הזנת נתונים'!T25</f>
        <v>0</v>
      </c>
      <c r="U25" s="384" t="str">
        <f>'סיכום לועדה- הזנת נתונים'!U25</f>
        <v>התמיכה מומלצת בהתאם למבחן התמיכה</v>
      </c>
    </row>
    <row r="26" spans="2:21" ht="32.25" thickBot="1" x14ac:dyDescent="0.3">
      <c r="B26" s="311">
        <f t="shared" si="0"/>
        <v>6</v>
      </c>
      <c r="C26" s="312" t="str">
        <f>'סיכום לועדה- הזנת נתונים'!C26</f>
        <v>אהרונה ישראל</v>
      </c>
      <c r="D26" s="572">
        <f>'סיכום לועדה- הזנת נתונים'!D26</f>
        <v>1001827297</v>
      </c>
      <c r="E26" s="573">
        <f>'סיכום לועדה- הזנת נתונים'!E26</f>
        <v>1001735074</v>
      </c>
      <c r="F26" s="573">
        <f>'סיכום לועדה- הזנת נתונים'!F26</f>
        <v>2019</v>
      </c>
      <c r="G26" s="458">
        <f>'סיכום לועדה- הזנת נתונים'!G26</f>
        <v>1</v>
      </c>
      <c r="H26" s="458" t="str">
        <f>'סיכום לועדה- הזנת נתונים'!H26</f>
        <v/>
      </c>
      <c r="I26" s="624">
        <f>'סיכום לועדה- הזנת נתונים'!I26</f>
        <v>2025</v>
      </c>
      <c r="J26" s="624">
        <f>'סיכום לועדה- הזנת נתונים'!J26</f>
        <v>40000564</v>
      </c>
      <c r="K26" s="624">
        <f>'סיכום לועדה- הזנת נתונים'!K26</f>
        <v>580215333</v>
      </c>
      <c r="L26" s="459" t="str">
        <f>'סיכום לועדה- הזנת נתונים'!L26</f>
        <v>עמותת הכוריאוגרפים (ע"ר)</v>
      </c>
      <c r="M26" s="460" t="str">
        <f>'סיכום לועדה- הזנת נתונים'!M26</f>
        <v>אהרונה ישראל - תמיכה ביוצרת עצמאית</v>
      </c>
      <c r="N26" s="461">
        <f>'סיכום לועדה- הזנת נתונים'!N26</f>
        <v>295000</v>
      </c>
      <c r="O26" s="461">
        <f>'סיכום לועדה- הזנת נתונים'!O26</f>
        <v>61327</v>
      </c>
      <c r="P26" s="461">
        <f>'סיכום לועדה- הזנת נתונים'!P26</f>
        <v>52345.893988859607</v>
      </c>
      <c r="Q26" s="638">
        <f>'סיכום לועדה- הזנת נתונים'!Q26</f>
        <v>-0.14644619843038775</v>
      </c>
      <c r="R26" s="457">
        <f>'סיכום לועדה- הזנת נתונים'!R26</f>
        <v>0</v>
      </c>
      <c r="S26" s="457">
        <f>'סיכום לועדה- הזנת נתונים'!S26</f>
        <v>0</v>
      </c>
      <c r="T26" s="458">
        <f>'סיכום לועדה- הזנת נתונים'!T26</f>
        <v>0</v>
      </c>
      <c r="U26" s="384" t="str">
        <f>'סיכום לועדה- הזנת נתונים'!U26</f>
        <v>התמיכה מומלצת בהתאם למבחן התמיכה</v>
      </c>
    </row>
    <row r="27" spans="2:21" ht="32.25" thickBot="1" x14ac:dyDescent="0.3">
      <c r="B27" s="311">
        <f t="shared" si="0"/>
        <v>7</v>
      </c>
      <c r="C27" s="312" t="str">
        <f>'סיכום לועדה- הזנת נתונים'!C27</f>
        <v>אופיר יודילביץ</v>
      </c>
      <c r="D27" s="572">
        <f>'סיכום לועדה- הזנת נתונים'!D27</f>
        <v>1001827322</v>
      </c>
      <c r="E27" s="573">
        <f>'סיכום לועדה- הזנת נתונים'!E27</f>
        <v>1001735078</v>
      </c>
      <c r="F27" s="573">
        <f>'סיכום לועדה- הזנת נתונים'!F27</f>
        <v>2019</v>
      </c>
      <c r="G27" s="458">
        <f>'סיכום לועדה- הזנת נתונים'!G27</f>
        <v>1</v>
      </c>
      <c r="H27" s="458" t="str">
        <f>'סיכום לועדה- הזנת נתונים'!H27</f>
        <v/>
      </c>
      <c r="I27" s="624">
        <f>'סיכום לועדה- הזנת נתונים'!I27</f>
        <v>2025</v>
      </c>
      <c r="J27" s="624">
        <f>'סיכום לועדה- הזנת נתונים'!J27</f>
        <v>40000564</v>
      </c>
      <c r="K27" s="624">
        <f>'סיכום לועדה- הזנת נתונים'!K27</f>
        <v>580215333</v>
      </c>
      <c r="L27" s="459" t="str">
        <f>'סיכום לועדה- הזנת נתונים'!L27</f>
        <v>עמותת הכוריאוגרפים (ע"ר)</v>
      </c>
      <c r="M27" s="460" t="str">
        <f>'סיכום לועדה- הזנת נתונים'!M27</f>
        <v>אופיר יודלביץ-תמיכה ביוצר עצמאי</v>
      </c>
      <c r="N27" s="461">
        <f>'סיכום לועדה- הזנת נתונים'!N27</f>
        <v>295000</v>
      </c>
      <c r="O27" s="461">
        <f>'סיכום לועדה- הזנת נתונים'!O27</f>
        <v>116698</v>
      </c>
      <c r="P27" s="461">
        <f>'סיכום לועדה- הזנת נתונים'!P27</f>
        <v>114862.59201054432</v>
      </c>
      <c r="Q27" s="638">
        <f>'סיכום לועדה- הזנת נתונים'!Q27</f>
        <v>-1.5727844431401405E-2</v>
      </c>
      <c r="R27" s="457">
        <f>'סיכום לועדה- הזנת נתונים'!R27</f>
        <v>0</v>
      </c>
      <c r="S27" s="457">
        <f>'סיכום לועדה- הזנת נתונים'!S27</f>
        <v>0</v>
      </c>
      <c r="T27" s="458">
        <f>'סיכום לועדה- הזנת נתונים'!T27</f>
        <v>0</v>
      </c>
      <c r="U27" s="384" t="str">
        <f>'סיכום לועדה- הזנת נתונים'!U27</f>
        <v>התמיכה מומלצת בהתאם למבחן התמיכה</v>
      </c>
    </row>
    <row r="28" spans="2:21" ht="32.25" thickBot="1" x14ac:dyDescent="0.3">
      <c r="B28" s="311">
        <f t="shared" si="0"/>
        <v>8</v>
      </c>
      <c r="C28" s="312" t="str">
        <f>'סיכום לועדה- הזנת נתונים'!C28</f>
        <v>אור מרין ואורן נחום</v>
      </c>
      <c r="D28" s="572">
        <f>'סיכום לועדה- הזנת נתונים'!D28</f>
        <v>1001827323</v>
      </c>
      <c r="E28" s="573">
        <f>'סיכום לועדה- הזנת נתונים'!E28</f>
        <v>1001735280</v>
      </c>
      <c r="F28" s="573">
        <f>'סיכום לועדה- הזנת נתונים'!F28</f>
        <v>2019</v>
      </c>
      <c r="G28" s="458">
        <f>'סיכום לועדה- הזנת נתונים'!G28</f>
        <v>1</v>
      </c>
      <c r="H28" s="458" t="str">
        <f>'סיכום לועדה- הזנת נתונים'!H28</f>
        <v/>
      </c>
      <c r="I28" s="624">
        <f>'סיכום לועדה- הזנת נתונים'!I28</f>
        <v>2025</v>
      </c>
      <c r="J28" s="624">
        <f>'סיכום לועדה- הזנת נתונים'!J28</f>
        <v>40000564</v>
      </c>
      <c r="K28" s="624">
        <f>'סיכום לועדה- הזנת נתונים'!K28</f>
        <v>580215333</v>
      </c>
      <c r="L28" s="459" t="str">
        <f>'סיכום לועדה- הזנת נתונים'!L28</f>
        <v>עמותת הכוריאוגרפים (ע"ר)</v>
      </c>
      <c r="M28" s="460" t="str">
        <f>'סיכום לועדה- הזנת נתונים'!M28</f>
        <v>אור מרין-תמיכה ביוצרת עצמאית</v>
      </c>
      <c r="N28" s="461">
        <f>'סיכום לועדה- הזנת נתונים'!N28</f>
        <v>295000</v>
      </c>
      <c r="O28" s="461">
        <f>'סיכום לועדה- הזנת נתונים'!O28</f>
        <v>99738</v>
      </c>
      <c r="P28" s="461">
        <f>'סיכום לועדה- הזנת נתונים'!P28</f>
        <v>93831.416403847703</v>
      </c>
      <c r="Q28" s="638">
        <f>'סיכום לועדה- הזנת נתונים'!Q28</f>
        <v>-5.9220994968339991E-2</v>
      </c>
      <c r="R28" s="457">
        <f>'סיכום לועדה- הזנת נתונים'!R28</f>
        <v>0</v>
      </c>
      <c r="S28" s="457">
        <f>'סיכום לועדה- הזנת נתונים'!S28</f>
        <v>0</v>
      </c>
      <c r="T28" s="458">
        <f>'סיכום לועדה- הזנת נתונים'!T28</f>
        <v>0</v>
      </c>
      <c r="U28" s="384" t="str">
        <f>'סיכום לועדה- הזנת נתונים'!U28</f>
        <v>התמיכה מומלצת בהתאם למבחן התמיכה</v>
      </c>
    </row>
    <row r="29" spans="2:21" ht="32.25" thickBot="1" x14ac:dyDescent="0.3">
      <c r="B29" s="311">
        <f t="shared" si="0"/>
        <v>9</v>
      </c>
      <c r="C29" s="312" t="str">
        <f>'סיכום לועדה- הזנת נתונים'!C29</f>
        <v>אורי שפיר</v>
      </c>
      <c r="D29" s="572">
        <f>'סיכום לועדה- הזנת נתונים'!D29</f>
        <v>1001827325</v>
      </c>
      <c r="E29" s="573">
        <f>'סיכום לועדה- הזנת נתונים'!E29</f>
        <v>1001735282</v>
      </c>
      <c r="F29" s="573">
        <f>'סיכום לועדה- הזנת נתונים'!F29</f>
        <v>2019</v>
      </c>
      <c r="G29" s="458">
        <f>'סיכום לועדה- הזנת נתונים'!G29</f>
        <v>1</v>
      </c>
      <c r="H29" s="458" t="str">
        <f>'סיכום לועדה- הזנת נתונים'!H29</f>
        <v/>
      </c>
      <c r="I29" s="624">
        <f>'סיכום לועדה- הזנת נתונים'!I29</f>
        <v>2025</v>
      </c>
      <c r="J29" s="624">
        <f>'סיכום לועדה- הזנת נתונים'!J29</f>
        <v>40000564</v>
      </c>
      <c r="K29" s="624">
        <f>'סיכום לועדה- הזנת נתונים'!K29</f>
        <v>580215333</v>
      </c>
      <c r="L29" s="459" t="str">
        <f>'סיכום לועדה- הזנת נתונים'!L29</f>
        <v>עמותת הכוריאוגרפים (ע"ר)</v>
      </c>
      <c r="M29" s="460" t="str">
        <f>'סיכום לועדה- הזנת נתונים'!M29</f>
        <v>אורי שפיר-תמיכה ביוצר עצמאי</v>
      </c>
      <c r="N29" s="461">
        <f>'סיכום לועדה- הזנת נתונים'!N29</f>
        <v>295000</v>
      </c>
      <c r="O29" s="461">
        <f>'סיכום לועדה- הזנת נתונים'!O29</f>
        <v>79664</v>
      </c>
      <c r="P29" s="461">
        <f>'סיכום לועדה- הזנת נתונים'!P29</f>
        <v>97444.123020957282</v>
      </c>
      <c r="Q29" s="638">
        <f>'סיכום לועדה- הזנת נתונים'!Q29</f>
        <v>0.22318893127331396</v>
      </c>
      <c r="R29" s="457">
        <f>'סיכום לועדה- הזנת נתונים'!R29</f>
        <v>0</v>
      </c>
      <c r="S29" s="457">
        <f>'סיכום לועדה- הזנת נתונים'!S29</f>
        <v>0</v>
      </c>
      <c r="T29" s="458">
        <f>'סיכום לועדה- הזנת נתונים'!T29</f>
        <v>0</v>
      </c>
      <c r="U29" s="384" t="str">
        <f>'סיכום לועדה- הזנת נתונים'!U29</f>
        <v>התמיכה מומלצת בהתאם למבחן התמיכה</v>
      </c>
    </row>
    <row r="30" spans="2:21" ht="32.25" thickBot="1" x14ac:dyDescent="0.3">
      <c r="B30" s="311">
        <f t="shared" si="0"/>
        <v>10</v>
      </c>
      <c r="C30" s="312" t="str">
        <f>'סיכום לועדה- הזנת נתונים'!C30</f>
        <v>אורלי פורטל</v>
      </c>
      <c r="D30" s="572">
        <f>'סיכום לועדה- הזנת נתונים'!D30</f>
        <v>1001827328</v>
      </c>
      <c r="E30" s="573">
        <f>'סיכום לועדה- הזנת נתונים'!E30</f>
        <v>1001735441</v>
      </c>
      <c r="F30" s="573">
        <f>'סיכום לועדה- הזנת נתונים'!F30</f>
        <v>2019</v>
      </c>
      <c r="G30" s="458">
        <f>'סיכום לועדה- הזנת נתונים'!G30</f>
        <v>1</v>
      </c>
      <c r="H30" s="458" t="str">
        <f>'סיכום לועדה- הזנת נתונים'!H30</f>
        <v/>
      </c>
      <c r="I30" s="624">
        <f>'סיכום לועדה- הזנת נתונים'!I30</f>
        <v>2025</v>
      </c>
      <c r="J30" s="624">
        <f>'סיכום לועדה- הזנת נתונים'!J30</f>
        <v>40000564</v>
      </c>
      <c r="K30" s="624">
        <f>'סיכום לועדה- הזנת נתונים'!K30</f>
        <v>580215333</v>
      </c>
      <c r="L30" s="459" t="str">
        <f>'סיכום לועדה- הזנת נתונים'!L30</f>
        <v>עמותת הכוריאוגרפים (ע"ר)</v>
      </c>
      <c r="M30" s="460" t="str">
        <f>'סיכום לועדה- הזנת נתונים'!M30</f>
        <v>אורלי פורטל- תמיכה ביוצרת עצמאית</v>
      </c>
      <c r="N30" s="461">
        <f>'סיכום לועדה- הזנת נתונים'!N30</f>
        <v>295000</v>
      </c>
      <c r="O30" s="461">
        <f>'סיכום לועדה- הזנת נתונים'!O30</f>
        <v>166463</v>
      </c>
      <c r="P30" s="461">
        <f>'סיכום לועדה- הזנת נתונים'!P30</f>
        <v>161399.68566352938</v>
      </c>
      <c r="Q30" s="638">
        <f>'סיכום לועדה- הזנת נתונים'!Q30</f>
        <v>-3.0417055660841297E-2</v>
      </c>
      <c r="R30" s="457">
        <f>'סיכום לועדה- הזנת נתונים'!R30</f>
        <v>0</v>
      </c>
      <c r="S30" s="457">
        <f>'סיכום לועדה- הזנת נתונים'!S30</f>
        <v>0</v>
      </c>
      <c r="T30" s="458">
        <f>'סיכום לועדה- הזנת נתונים'!T30</f>
        <v>0</v>
      </c>
      <c r="U30" s="384" t="str">
        <f>'סיכום לועדה- הזנת נתונים'!U30</f>
        <v>התמיכה מומלצת בהתאם למבחן התמיכה</v>
      </c>
    </row>
    <row r="31" spans="2:21" ht="16.5" thickBot="1" x14ac:dyDescent="0.3">
      <c r="B31" s="311" t="str">
        <f t="shared" si="0"/>
        <v/>
      </c>
      <c r="C31" s="312" t="str">
        <f>'סיכום לועדה- הזנת נתונים'!C31</f>
        <v/>
      </c>
      <c r="D31" s="572">
        <f>'סיכום לועדה- הזנת נתונים'!D31</f>
        <v>0</v>
      </c>
      <c r="E31" s="573">
        <f>'סיכום לועדה- הזנת נתונים'!E31</f>
        <v>0</v>
      </c>
      <c r="F31" s="573">
        <f>'סיכום לועדה- הזנת נתונים'!F31</f>
        <v>0</v>
      </c>
      <c r="G31" s="458" t="str">
        <f>'סיכום לועדה- הזנת נתונים'!G31</f>
        <v/>
      </c>
      <c r="H31" s="458" t="str">
        <f>'סיכום לועדה- הזנת נתונים'!H31</f>
        <v/>
      </c>
      <c r="I31" s="624" t="str">
        <f>'סיכום לועדה- הזנת נתונים'!I31</f>
        <v/>
      </c>
      <c r="J31" s="624" t="str">
        <f>'סיכום לועדה- הזנת נתונים'!J31</f>
        <v/>
      </c>
      <c r="K31" s="624" t="str">
        <f>'סיכום לועדה- הזנת נתונים'!K31</f>
        <v/>
      </c>
      <c r="L31" s="459" t="str">
        <f>'סיכום לועדה- הזנת נתונים'!L31</f>
        <v/>
      </c>
      <c r="M31" s="460" t="str">
        <f>'סיכום לועדה- הזנת נתונים'!M31</f>
        <v/>
      </c>
      <c r="N31" s="461" t="str">
        <f>'סיכום לועדה- הזנת נתונים'!N31</f>
        <v/>
      </c>
      <c r="O31" s="461">
        <f>'סיכום לועדה- הזנת נתונים'!O31</f>
        <v>0</v>
      </c>
      <c r="P31" s="461" t="str">
        <f>'סיכום לועדה- הזנת נתונים'!P31</f>
        <v/>
      </c>
      <c r="Q31" s="638" t="str">
        <f>'סיכום לועדה- הזנת נתונים'!Q31</f>
        <v/>
      </c>
      <c r="R31" s="457" t="str">
        <f>'סיכום לועדה- הזנת נתונים'!R31</f>
        <v/>
      </c>
      <c r="S31" s="457">
        <f>'סיכום לועדה- הזנת נתונים'!S31</f>
        <v>0</v>
      </c>
      <c r="T31" s="458">
        <f>'סיכום לועדה- הזנת נתונים'!T31</f>
        <v>0</v>
      </c>
      <c r="U31" s="384">
        <f>'סיכום לועדה- הזנת נתונים'!U31</f>
        <v>0</v>
      </c>
    </row>
    <row r="32" spans="2:21" ht="32.25" thickBot="1" x14ac:dyDescent="0.3">
      <c r="B32" s="311">
        <f t="shared" si="0"/>
        <v>12</v>
      </c>
      <c r="C32" s="312" t="str">
        <f>'סיכום לועדה- הזנת נתונים'!C32</f>
        <v>אורין יוחנן</v>
      </c>
      <c r="D32" s="572">
        <f>'סיכום לועדה- הזנת נתונים'!D32</f>
        <v>1001827326</v>
      </c>
      <c r="E32" s="573">
        <f>'סיכום לועדה- הזנת נתונים'!E32</f>
        <v>1001735287</v>
      </c>
      <c r="F32" s="573">
        <f>'סיכום לועדה- הזנת נתונים'!F32</f>
        <v>2020</v>
      </c>
      <c r="G32" s="458">
        <f>'סיכום לועדה- הזנת נתונים'!G32</f>
        <v>1</v>
      </c>
      <c r="H32" s="458" t="str">
        <f>'סיכום לועדה- הזנת נתונים'!H32</f>
        <v/>
      </c>
      <c r="I32" s="624">
        <f>'סיכום לועדה- הזנת נתונים'!I32</f>
        <v>2025</v>
      </c>
      <c r="J32" s="624">
        <f>'סיכום לועדה- הזנת נתונים'!J32</f>
        <v>40000564</v>
      </c>
      <c r="K32" s="624">
        <f>'סיכום לועדה- הזנת נתונים'!K32</f>
        <v>580215333</v>
      </c>
      <c r="L32" s="459" t="str">
        <f>'סיכום לועדה- הזנת נתונים'!L32</f>
        <v>עמותת הכוריאוגרפים (ע"ר)</v>
      </c>
      <c r="M32" s="460" t="str">
        <f>'סיכום לועדה- הזנת נתונים'!M32</f>
        <v>אורין יוחנן-תמיכה ביוצרת עצמאית</v>
      </c>
      <c r="N32" s="461">
        <f>'סיכום לועדה- הזנת נתונים'!N32</f>
        <v>295000</v>
      </c>
      <c r="O32" s="461">
        <f>'סיכום לועדה- הזנת נתונים'!O32</f>
        <v>58656</v>
      </c>
      <c r="P32" s="461">
        <f>'סיכום לועדה- הזנת נתונים'!P32</f>
        <v>60307.824388644942</v>
      </c>
      <c r="Q32" s="638">
        <f>'סיכום לועדה- הזנת נתונים'!Q32</f>
        <v>2.8161217755130696E-2</v>
      </c>
      <c r="R32" s="457">
        <f>'סיכום לועדה- הזנת נתונים'!R32</f>
        <v>0</v>
      </c>
      <c r="S32" s="457">
        <f>'סיכום לועדה- הזנת נתונים'!S32</f>
        <v>0</v>
      </c>
      <c r="T32" s="458">
        <f>'סיכום לועדה- הזנת נתונים'!T32</f>
        <v>0</v>
      </c>
      <c r="U32" s="384" t="str">
        <f>'סיכום לועדה- הזנת נתונים'!U32</f>
        <v>התמיכה מומלצת בהתאם למבחן התמיכה</v>
      </c>
    </row>
    <row r="33" spans="2:21" ht="32.25" thickBot="1" x14ac:dyDescent="0.3">
      <c r="B33" s="311">
        <f t="shared" si="0"/>
        <v>13</v>
      </c>
      <c r="C33" s="312" t="str">
        <f>'סיכום לועדה- הזנת נתונים'!C33</f>
        <v>איריס ארז</v>
      </c>
      <c r="D33" s="572">
        <f>'סיכום לועדה- הזנת נתונים'!D33</f>
        <v>1001827329</v>
      </c>
      <c r="E33" s="573">
        <f>'סיכום לועדה- הזנת נתונים'!E33</f>
        <v>1001735442</v>
      </c>
      <c r="F33" s="573">
        <f>'סיכום לועדה- הזנת נתונים'!F33</f>
        <v>2019</v>
      </c>
      <c r="G33" s="458">
        <f>'סיכום לועדה- הזנת נתונים'!G33</f>
        <v>1</v>
      </c>
      <c r="H33" s="458" t="str">
        <f>'סיכום לועדה- הזנת נתונים'!H33</f>
        <v/>
      </c>
      <c r="I33" s="624">
        <f>'סיכום לועדה- הזנת נתונים'!I33</f>
        <v>2025</v>
      </c>
      <c r="J33" s="624">
        <f>'סיכום לועדה- הזנת נתונים'!J33</f>
        <v>40000564</v>
      </c>
      <c r="K33" s="624">
        <f>'סיכום לועדה- הזנת נתונים'!K33</f>
        <v>580215333</v>
      </c>
      <c r="L33" s="459" t="str">
        <f>'סיכום לועדה- הזנת נתונים'!L33</f>
        <v>עמותת הכוריאוגרפים (ע"ר)</v>
      </c>
      <c r="M33" s="460" t="str">
        <f>'סיכום לועדה- הזנת נתונים'!M33</f>
        <v>איריס ארז-תמיכה ביוצרת עצמאית</v>
      </c>
      <c r="N33" s="461">
        <f>'סיכום לועדה- הזנת נתונים'!N33</f>
        <v>295000</v>
      </c>
      <c r="O33" s="461">
        <f>'סיכום לועדה- הזנת נתונים'!O33</f>
        <v>141036</v>
      </c>
      <c r="P33" s="461">
        <f>'סיכום לועדה- הזנת נתונים'!P33</f>
        <v>178616.29437415116</v>
      </c>
      <c r="Q33" s="638">
        <f>'סיכום לועדה- הזנת נתונים'!Q33</f>
        <v>0.26645887840091298</v>
      </c>
      <c r="R33" s="457">
        <f>'סיכום לועדה- הזנת נתונים'!R33</f>
        <v>0</v>
      </c>
      <c r="S33" s="457">
        <f>'סיכום לועדה- הזנת נתונים'!S33</f>
        <v>0</v>
      </c>
      <c r="T33" s="458">
        <f>'סיכום לועדה- הזנת נתונים'!T33</f>
        <v>0</v>
      </c>
      <c r="U33" s="384" t="str">
        <f>'סיכום לועדה- הזנת נתונים'!U33</f>
        <v>התמיכה מומלצת בהתאם למבחן התמיכה</v>
      </c>
    </row>
    <row r="34" spans="2:21" ht="16.5" thickBot="1" x14ac:dyDescent="0.3">
      <c r="B34" s="311" t="str">
        <f t="shared" si="0"/>
        <v/>
      </c>
      <c r="C34" s="312" t="str">
        <f>'סיכום לועדה- הזנת נתונים'!C34</f>
        <v/>
      </c>
      <c r="D34" s="572">
        <f>'סיכום לועדה- הזנת נתונים'!D34</f>
        <v>0</v>
      </c>
      <c r="E34" s="573">
        <f>'סיכום לועדה- הזנת נתונים'!E34</f>
        <v>0</v>
      </c>
      <c r="F34" s="573">
        <f>'סיכום לועדה- הזנת נתונים'!F34</f>
        <v>0</v>
      </c>
      <c r="G34" s="458" t="str">
        <f>'סיכום לועדה- הזנת נתונים'!G34</f>
        <v/>
      </c>
      <c r="H34" s="458" t="str">
        <f>'סיכום לועדה- הזנת נתונים'!H34</f>
        <v/>
      </c>
      <c r="I34" s="624" t="str">
        <f>'סיכום לועדה- הזנת נתונים'!I34</f>
        <v/>
      </c>
      <c r="J34" s="624" t="str">
        <f>'סיכום לועדה- הזנת נתונים'!J34</f>
        <v/>
      </c>
      <c r="K34" s="624" t="str">
        <f>'סיכום לועדה- הזנת נתונים'!K34</f>
        <v/>
      </c>
      <c r="L34" s="459" t="str">
        <f>'סיכום לועדה- הזנת נתונים'!L34</f>
        <v/>
      </c>
      <c r="M34" s="460" t="str">
        <f>'סיכום לועדה- הזנת נתונים'!M34</f>
        <v/>
      </c>
      <c r="N34" s="461" t="str">
        <f>'סיכום לועדה- הזנת נתונים'!N34</f>
        <v/>
      </c>
      <c r="O34" s="461">
        <f>'סיכום לועדה- הזנת נתונים'!O34</f>
        <v>0</v>
      </c>
      <c r="P34" s="461" t="str">
        <f>'סיכום לועדה- הזנת נתונים'!P34</f>
        <v/>
      </c>
      <c r="Q34" s="638" t="str">
        <f>'סיכום לועדה- הזנת נתונים'!Q34</f>
        <v/>
      </c>
      <c r="R34" s="457" t="str">
        <f>'סיכום לועדה- הזנת נתונים'!R34</f>
        <v/>
      </c>
      <c r="S34" s="457">
        <f>'סיכום לועדה- הזנת נתונים'!S34</f>
        <v>0</v>
      </c>
      <c r="T34" s="458">
        <f>'סיכום לועדה- הזנת נתונים'!T34</f>
        <v>0</v>
      </c>
      <c r="U34" s="384">
        <f>'סיכום לועדה- הזנת נתונים'!U34</f>
        <v>0</v>
      </c>
    </row>
    <row r="35" spans="2:21" ht="32.25" thickBot="1" x14ac:dyDescent="0.3">
      <c r="B35" s="311">
        <f t="shared" si="0"/>
        <v>15</v>
      </c>
      <c r="C35" s="312" t="str">
        <f>'סיכום לועדה- הזנת נתונים'!C35</f>
        <v>ענבל אושמן</v>
      </c>
      <c r="D35" s="572">
        <f>'סיכום לועדה- הזנת נתונים'!D35</f>
        <v>1001827711</v>
      </c>
      <c r="E35" s="573">
        <f>'סיכום לועדה- הזנת נתונים'!E35</f>
        <v>1001735528</v>
      </c>
      <c r="F35" s="573">
        <f>'סיכום לועדה- הזנת נתונים'!F35</f>
        <v>2020</v>
      </c>
      <c r="G35" s="458">
        <f>'סיכום לועדה- הזנת נתונים'!G35</f>
        <v>1</v>
      </c>
      <c r="H35" s="458" t="str">
        <f>'סיכום לועדה- הזנת נתונים'!H35</f>
        <v/>
      </c>
      <c r="I35" s="624">
        <f>'סיכום לועדה- הזנת נתונים'!I35</f>
        <v>2025</v>
      </c>
      <c r="J35" s="624">
        <f>'סיכום לועדה- הזנת נתונים'!J35</f>
        <v>40000564</v>
      </c>
      <c r="K35" s="624">
        <f>'סיכום לועדה- הזנת נתונים'!K35</f>
        <v>580215333</v>
      </c>
      <c r="L35" s="459" t="str">
        <f>'סיכום לועדה- הזנת נתונים'!L35</f>
        <v>עמותת הכוריאוגרפים (ע"ר)</v>
      </c>
      <c r="M35" s="460" t="str">
        <f>'סיכום לועדה- הזנת נתונים'!M35</f>
        <v>ענבל אושמן - תמיכה ביוצרת עצמאית</v>
      </c>
      <c r="N35" s="461">
        <f>'סיכום לועדה- הזנת נתונים'!N35</f>
        <v>295000</v>
      </c>
      <c r="O35" s="461">
        <f>'סיכום לועדה- הזנת נתונים'!O35</f>
        <v>53042</v>
      </c>
      <c r="P35" s="461">
        <f>'סיכום לועדה- הזנת נתונים'!P35</f>
        <v>72687.542690752685</v>
      </c>
      <c r="Q35" s="638">
        <f>'סיכום לועדה- הזנת נתונים'!Q35</f>
        <v>0.37037711041726706</v>
      </c>
      <c r="R35" s="457">
        <f>'סיכום לועדה- הזנת נתונים'!R35</f>
        <v>0</v>
      </c>
      <c r="S35" s="457">
        <f>'סיכום לועדה- הזנת נתונים'!S35</f>
        <v>0</v>
      </c>
      <c r="T35" s="458">
        <f>'סיכום לועדה- הזנת נתונים'!T35</f>
        <v>0</v>
      </c>
      <c r="U35" s="384" t="str">
        <f>'סיכום לועדה- הזנת נתונים'!U35</f>
        <v>התמיכה מומלצת בהתאם למבחן התמיכה</v>
      </c>
    </row>
    <row r="36" spans="2:21" ht="32.25" thickBot="1" x14ac:dyDescent="0.3">
      <c r="B36" s="311">
        <f t="shared" si="0"/>
        <v>16</v>
      </c>
      <c r="C36" s="312" t="str">
        <f>'סיכום לועדה- הזנת נתונים'!C36</f>
        <v>אנדריאה מרטיני</v>
      </c>
      <c r="D36" s="572">
        <f>'סיכום לועדה- הזנת נתונים'!D36</f>
        <v>1001827332</v>
      </c>
      <c r="E36" s="573">
        <f>'סיכום לועדה- הזנת נתונים'!E36</f>
        <v>1001735446</v>
      </c>
      <c r="F36" s="573">
        <f>'סיכום לועדה- הזנת נתונים'!F36</f>
        <v>2019</v>
      </c>
      <c r="G36" s="458">
        <f>'סיכום לועדה- הזנת נתונים'!G36</f>
        <v>1</v>
      </c>
      <c r="H36" s="458" t="str">
        <f>'סיכום לועדה- הזנת נתונים'!H36</f>
        <v/>
      </c>
      <c r="I36" s="624">
        <f>'סיכום לועדה- הזנת נתונים'!I36</f>
        <v>2025</v>
      </c>
      <c r="J36" s="624">
        <f>'סיכום לועדה- הזנת נתונים'!J36</f>
        <v>40000564</v>
      </c>
      <c r="K36" s="624">
        <f>'סיכום לועדה- הזנת נתונים'!K36</f>
        <v>580215333</v>
      </c>
      <c r="L36" s="459" t="str">
        <f>'סיכום לועדה- הזנת נתונים'!L36</f>
        <v>עמותת הכוריאוגרפים (ע"ר)</v>
      </c>
      <c r="M36" s="460" t="str">
        <f>'סיכום לועדה- הזנת נתונים'!M36</f>
        <v>אנדראה מרטיני-תמיכה ביוצר עצמאי</v>
      </c>
      <c r="N36" s="461">
        <f>'סיכום לועדה- הזנת נתונים'!N36</f>
        <v>295000</v>
      </c>
      <c r="O36" s="461">
        <f>'סיכום לועדה- הזנת נתונים'!O36</f>
        <v>93916</v>
      </c>
      <c r="P36" s="461">
        <f>'סיכום לועדה- הזנת נתונים'!P36</f>
        <v>88493.252872254612</v>
      </c>
      <c r="Q36" s="638">
        <f>'סיכום לועדה- הזנת נתונים'!Q36</f>
        <v>-5.7740397032937762E-2</v>
      </c>
      <c r="R36" s="457">
        <f>'סיכום לועדה- הזנת נתונים'!R36</f>
        <v>0</v>
      </c>
      <c r="S36" s="457">
        <f>'סיכום לועדה- הזנת נתונים'!S36</f>
        <v>0</v>
      </c>
      <c r="T36" s="458">
        <f>'סיכום לועדה- הזנת נתונים'!T36</f>
        <v>0</v>
      </c>
      <c r="U36" s="384" t="str">
        <f>'סיכום לועדה- הזנת נתונים'!U36</f>
        <v>התמיכה מומלצת בהתאם למבחן התמיכה</v>
      </c>
    </row>
    <row r="37" spans="2:21" ht="32.25" thickBot="1" x14ac:dyDescent="0.3">
      <c r="B37" s="311">
        <f t="shared" si="0"/>
        <v>17</v>
      </c>
      <c r="C37" s="312" t="str">
        <f>'סיכום לועדה- הזנת נתונים'!C37</f>
        <v>אפרת רובין</v>
      </c>
      <c r="D37" s="572">
        <f>'סיכום לועדה- הזנת נתונים'!D37</f>
        <v>1001827333</v>
      </c>
      <c r="E37" s="573">
        <f>'סיכום לועדה- הזנת נתונים'!E37</f>
        <v>1001735447</v>
      </c>
      <c r="F37" s="573">
        <f>'סיכום לועדה- הזנת נתונים'!F37</f>
        <v>2019</v>
      </c>
      <c r="G37" s="458">
        <f>'סיכום לועדה- הזנת נתונים'!G37</f>
        <v>1</v>
      </c>
      <c r="H37" s="458" t="str">
        <f>'סיכום לועדה- הזנת נתונים'!H37</f>
        <v/>
      </c>
      <c r="I37" s="624">
        <f>'סיכום לועדה- הזנת נתונים'!I37</f>
        <v>2025</v>
      </c>
      <c r="J37" s="624">
        <f>'סיכום לועדה- הזנת נתונים'!J37</f>
        <v>40000564</v>
      </c>
      <c r="K37" s="624">
        <f>'סיכום לועדה- הזנת נתונים'!K37</f>
        <v>580215333</v>
      </c>
      <c r="L37" s="459" t="str">
        <f>'סיכום לועדה- הזנת נתונים'!L37</f>
        <v>עמותת הכוריאוגרפים (ע"ר)</v>
      </c>
      <c r="M37" s="460" t="str">
        <f>'סיכום לועדה- הזנת נתונים'!M37</f>
        <v>אפרת רובין-תמיכה ביוצרת עצמאית</v>
      </c>
      <c r="N37" s="461">
        <f>'סיכום לועדה- הזנת נתונים'!N37</f>
        <v>295000</v>
      </c>
      <c r="O37" s="461">
        <f>'סיכום לועדה- הזנת נתונים'!O37</f>
        <v>43708</v>
      </c>
      <c r="P37" s="461">
        <f>'סיכום לועדה- הזנת נתונים'!P37</f>
        <v>53850.49750944128</v>
      </c>
      <c r="Q37" s="638">
        <f>'סיכום לועדה- הזנת נתונים'!Q37</f>
        <v>0.23205128373389949</v>
      </c>
      <c r="R37" s="457">
        <f>'סיכום לועדה- הזנת נתונים'!R37</f>
        <v>0</v>
      </c>
      <c r="S37" s="457">
        <f>'סיכום לועדה- הזנת נתונים'!S37</f>
        <v>0</v>
      </c>
      <c r="T37" s="458">
        <f>'סיכום לועדה- הזנת נתונים'!T37</f>
        <v>0</v>
      </c>
      <c r="U37" s="384" t="str">
        <f>'סיכום לועדה- הזנת נתונים'!U37</f>
        <v>התמיכה מומלצת בהתאם למבחן התמיכה</v>
      </c>
    </row>
    <row r="38" spans="2:21" ht="32.25" thickBot="1" x14ac:dyDescent="0.3">
      <c r="B38" s="311">
        <f t="shared" si="0"/>
        <v>18</v>
      </c>
      <c r="C38" s="312" t="str">
        <f>'סיכום לועדה- הזנת נתונים'!C38</f>
        <v>שרון צוקרמן</v>
      </c>
      <c r="D38" s="572">
        <f>'סיכום לועדה- הזנת נתונים'!D38</f>
        <v>1001827782</v>
      </c>
      <c r="E38" s="573">
        <f>'סיכום לועדה- הזנת נתונים'!E38</f>
        <v>1001735565</v>
      </c>
      <c r="F38" s="573">
        <f>'סיכום לועדה- הזנת נתונים'!F38</f>
        <v>2020</v>
      </c>
      <c r="G38" s="458">
        <f>'סיכום לועדה- הזנת נתונים'!G38</f>
        <v>1</v>
      </c>
      <c r="H38" s="458" t="str">
        <f>'סיכום לועדה- הזנת נתונים'!H38</f>
        <v/>
      </c>
      <c r="I38" s="624">
        <f>'סיכום לועדה- הזנת נתונים'!I38</f>
        <v>2025</v>
      </c>
      <c r="J38" s="624">
        <f>'סיכום לועדה- הזנת נתונים'!J38</f>
        <v>40000564</v>
      </c>
      <c r="K38" s="624">
        <f>'סיכום לועדה- הזנת נתונים'!K38</f>
        <v>580215333</v>
      </c>
      <c r="L38" s="459" t="str">
        <f>'סיכום לועדה- הזנת נתונים'!L38</f>
        <v>עמותת הכוריאוגרפים (ע"ר)</v>
      </c>
      <c r="M38" s="460" t="str">
        <f>'סיכום לועדה- הזנת נתונים'!M38</f>
        <v>שרון צוקרמן-תמיכה ביוצרת עצמאית</v>
      </c>
      <c r="N38" s="461">
        <f>'סיכום לועדה- הזנת נתונים'!N38</f>
        <v>295000</v>
      </c>
      <c r="O38" s="461">
        <f>'סיכום לועדה- הזנת נתונים'!O38</f>
        <v>44924</v>
      </c>
      <c r="P38" s="461">
        <f>'סיכום לועדה- הזנת נתונים'!P38</f>
        <v>57029.991314677958</v>
      </c>
      <c r="Q38" s="638">
        <f>'סיכום לועדה- הזנת נתונים'!Q38</f>
        <v>0.26947714617304697</v>
      </c>
      <c r="R38" s="457">
        <f>'סיכום לועדה- הזנת נתונים'!R38</f>
        <v>0</v>
      </c>
      <c r="S38" s="457">
        <f>'סיכום לועדה- הזנת נתונים'!S38</f>
        <v>0</v>
      </c>
      <c r="T38" s="458">
        <f>'סיכום לועדה- הזנת נתונים'!T38</f>
        <v>0</v>
      </c>
      <c r="U38" s="384" t="str">
        <f>'סיכום לועדה- הזנת נתונים'!U38</f>
        <v>התמיכה מומלצת בהתאם למבחן התמיכה</v>
      </c>
    </row>
    <row r="39" spans="2:21" ht="32.25" thickBot="1" x14ac:dyDescent="0.3">
      <c r="B39" s="311">
        <f t="shared" si="0"/>
        <v>19</v>
      </c>
      <c r="C39" s="312" t="str">
        <f>'סיכום לועדה- הזנת נתונים'!C39</f>
        <v>בשמת נוסן</v>
      </c>
      <c r="D39" s="572">
        <f>'סיכום לועדה- הזנת נתונים'!D39</f>
        <v>1001827334</v>
      </c>
      <c r="E39" s="573">
        <f>'סיכום לועדה- הזנת נתונים'!E39</f>
        <v>1001735448</v>
      </c>
      <c r="F39" s="573">
        <f>'סיכום לועדה- הזנת נתונים'!F39</f>
        <v>2019</v>
      </c>
      <c r="G39" s="458">
        <f>'סיכום לועדה- הזנת נתונים'!G39</f>
        <v>1</v>
      </c>
      <c r="H39" s="458" t="str">
        <f>'סיכום לועדה- הזנת נתונים'!H39</f>
        <v/>
      </c>
      <c r="I39" s="624">
        <f>'סיכום לועדה- הזנת נתונים'!I39</f>
        <v>2025</v>
      </c>
      <c r="J39" s="624">
        <f>'סיכום לועדה- הזנת נתונים'!J39</f>
        <v>40000564</v>
      </c>
      <c r="K39" s="624">
        <f>'סיכום לועדה- הזנת נתונים'!K39</f>
        <v>580215333</v>
      </c>
      <c r="L39" s="459" t="str">
        <f>'סיכום לועדה- הזנת נתונים'!L39</f>
        <v>עמותת הכוריאוגרפים (ע"ר)</v>
      </c>
      <c r="M39" s="460" t="str">
        <f>'סיכום לועדה- הזנת נתונים'!M39</f>
        <v>בשמת נוסן - תמיכה ביוצרת עצמאית</v>
      </c>
      <c r="N39" s="461">
        <f>'סיכום לועדה- הזנת נתונים'!N39</f>
        <v>295000</v>
      </c>
      <c r="O39" s="461">
        <f>'סיכום לועדה- הזנת נתונים'!O39</f>
        <v>97446</v>
      </c>
      <c r="P39" s="461">
        <f>'סיכום לועדה- הזנת נתונים'!P39</f>
        <v>86004.11279195633</v>
      </c>
      <c r="Q39" s="638">
        <f>'סיכום לועדה- הזנת נתונים'!Q39</f>
        <v>-0.11741772066625278</v>
      </c>
      <c r="R39" s="457">
        <f>'סיכום לועדה- הזנת נתונים'!R39</f>
        <v>0</v>
      </c>
      <c r="S39" s="457">
        <f>'סיכום לועדה- הזנת נתונים'!S39</f>
        <v>0</v>
      </c>
      <c r="T39" s="458">
        <f>'סיכום לועדה- הזנת נתונים'!T39</f>
        <v>0</v>
      </c>
      <c r="U39" s="384" t="str">
        <f>'סיכום לועדה- הזנת נתונים'!U39</f>
        <v>התמיכה מומלצת בהתאם למבחן התמיכה</v>
      </c>
    </row>
    <row r="40" spans="2:21" ht="32.25" thickBot="1" x14ac:dyDescent="0.3">
      <c r="B40" s="311">
        <f t="shared" si="0"/>
        <v>20</v>
      </c>
      <c r="C40" s="312" t="str">
        <f>'סיכום לועדה- הזנת נתונים'!C40</f>
        <v>גיל קרר</v>
      </c>
      <c r="D40" s="572">
        <f>'סיכום לועדה- הזנת נתונים'!D40</f>
        <v>1001827335</v>
      </c>
      <c r="E40" s="573">
        <f>'סיכום לועדה- הזנת נתונים'!E40</f>
        <v>1001735449</v>
      </c>
      <c r="F40" s="573">
        <f>'סיכום לועדה- הזנת נתונים'!F40</f>
        <v>2019</v>
      </c>
      <c r="G40" s="458">
        <f>'סיכום לועדה- הזנת נתונים'!G40</f>
        <v>1</v>
      </c>
      <c r="H40" s="458" t="str">
        <f>'סיכום לועדה- הזנת נתונים'!H40</f>
        <v/>
      </c>
      <c r="I40" s="624">
        <f>'סיכום לועדה- הזנת נתונים'!I40</f>
        <v>2025</v>
      </c>
      <c r="J40" s="624">
        <f>'סיכום לועדה- הזנת נתונים'!J40</f>
        <v>40000564</v>
      </c>
      <c r="K40" s="624">
        <f>'סיכום לועדה- הזנת נתונים'!K40</f>
        <v>580215333</v>
      </c>
      <c r="L40" s="459" t="str">
        <f>'סיכום לועדה- הזנת נתונים'!L40</f>
        <v>עמותת הכוריאוגרפים (ע"ר)</v>
      </c>
      <c r="M40" s="460" t="str">
        <f>'סיכום לועדה- הזנת נתונים'!M40</f>
        <v>גיל קרר - תמיכה ביוצר עצמאי</v>
      </c>
      <c r="N40" s="461">
        <f>'סיכום לועדה- הזנת נתונים'!N40</f>
        <v>295000</v>
      </c>
      <c r="O40" s="461">
        <f>'סיכום לועדה- הזנת נתונים'!O40</f>
        <v>100731</v>
      </c>
      <c r="P40" s="461">
        <f>'סיכום לועדה- הזנת נתונים'!P40</f>
        <v>113536.81610402501</v>
      </c>
      <c r="Q40" s="638">
        <f>'סיכום לועדה- הזנת נתונים'!Q40</f>
        <v>0.12712884915294209</v>
      </c>
      <c r="R40" s="457">
        <f>'סיכום לועדה- הזנת נתונים'!R40</f>
        <v>0</v>
      </c>
      <c r="S40" s="457">
        <f>'סיכום לועדה- הזנת נתונים'!S40</f>
        <v>0</v>
      </c>
      <c r="T40" s="458">
        <f>'סיכום לועדה- הזנת נתונים'!T40</f>
        <v>0</v>
      </c>
      <c r="U40" s="384" t="str">
        <f>'סיכום לועדה- הזנת נתונים'!U40</f>
        <v>התמיכה מומלצת בהתאם למבחן התמיכה</v>
      </c>
    </row>
    <row r="41" spans="2:21" ht="32.25" thickBot="1" x14ac:dyDescent="0.3">
      <c r="B41" s="311">
        <f t="shared" si="0"/>
        <v>21</v>
      </c>
      <c r="C41" s="312" t="str">
        <f>'סיכום לועדה- הזנת נתונים'!C41</f>
        <v>דינה תלם</v>
      </c>
      <c r="D41" s="572">
        <f>'סיכום לועדה- הזנת נתונים'!D41</f>
        <v>1001827337</v>
      </c>
      <c r="E41" s="573">
        <f>'סיכום לועדה- הזנת נתונים'!E41</f>
        <v>1001735461</v>
      </c>
      <c r="F41" s="573">
        <f>'סיכום לועדה- הזנת נתונים'!F41</f>
        <v>2019</v>
      </c>
      <c r="G41" s="458">
        <f>'סיכום לועדה- הזנת נתונים'!G41</f>
        <v>1</v>
      </c>
      <c r="H41" s="458" t="str">
        <f>'סיכום לועדה- הזנת נתונים'!H41</f>
        <v/>
      </c>
      <c r="I41" s="624">
        <f>'סיכום לועדה- הזנת נתונים'!I41</f>
        <v>2025</v>
      </c>
      <c r="J41" s="624">
        <f>'סיכום לועדה- הזנת נתונים'!J41</f>
        <v>40000564</v>
      </c>
      <c r="K41" s="624">
        <f>'סיכום לועדה- הזנת נתונים'!K41</f>
        <v>580215333</v>
      </c>
      <c r="L41" s="459" t="str">
        <f>'סיכום לועדה- הזנת נתונים'!L41</f>
        <v>עמותת הכוריאוגרפים (ע"ר)</v>
      </c>
      <c r="M41" s="460" t="str">
        <f>'סיכום לועדה- הזנת נתונים'!M41</f>
        <v>דינה תלם-תמיכה ביוצרת עצמאית</v>
      </c>
      <c r="N41" s="461">
        <f>'סיכום לועדה- הזנת נתונים'!N41</f>
        <v>295000</v>
      </c>
      <c r="O41" s="461">
        <f>'סיכום לועדה- הזנת נתונים'!O41</f>
        <v>78965</v>
      </c>
      <c r="P41" s="461">
        <f>'סיכום לועדה- הזנת נתונים'!P41</f>
        <v>100979.4015680947</v>
      </c>
      <c r="Q41" s="638">
        <f>'סיכום לועדה- הזנת נתונים'!Q41</f>
        <v>0.27878682413847544</v>
      </c>
      <c r="R41" s="457">
        <f>'סיכום לועדה- הזנת נתונים'!R41</f>
        <v>0</v>
      </c>
      <c r="S41" s="457">
        <f>'סיכום לועדה- הזנת נתונים'!S41</f>
        <v>0</v>
      </c>
      <c r="T41" s="458">
        <f>'סיכום לועדה- הזנת נתונים'!T41</f>
        <v>0</v>
      </c>
      <c r="U41" s="384" t="str">
        <f>'סיכום לועדה- הזנת נתונים'!U41</f>
        <v>התמיכה מומלצת בהתאם למבחן התמיכה</v>
      </c>
    </row>
    <row r="42" spans="2:21" ht="32.25" thickBot="1" x14ac:dyDescent="0.3">
      <c r="B42" s="311">
        <f t="shared" si="0"/>
        <v>22</v>
      </c>
      <c r="C42" s="312" t="str">
        <f>'סיכום לועדה- הזנת נתונים'!C42</f>
        <v>דנה יהלומי</v>
      </c>
      <c r="D42" s="572">
        <f>'סיכום לועדה- הזנת נתונים'!D42</f>
        <v>1001827339</v>
      </c>
      <c r="E42" s="573">
        <f>'סיכום לועדה- הזנת נתונים'!E42</f>
        <v>1001735463</v>
      </c>
      <c r="F42" s="573">
        <f>'סיכום לועדה- הזנת נתונים'!F42</f>
        <v>2020</v>
      </c>
      <c r="G42" s="458">
        <f>'סיכום לועדה- הזנת נתונים'!G42</f>
        <v>1</v>
      </c>
      <c r="H42" s="458" t="str">
        <f>'סיכום לועדה- הזנת נתונים'!H42</f>
        <v/>
      </c>
      <c r="I42" s="624">
        <f>'סיכום לועדה- הזנת נתונים'!I42</f>
        <v>2025</v>
      </c>
      <c r="J42" s="624">
        <f>'סיכום לועדה- הזנת נתונים'!J42</f>
        <v>40000564</v>
      </c>
      <c r="K42" s="624">
        <f>'סיכום לועדה- הזנת נתונים'!K42</f>
        <v>580215333</v>
      </c>
      <c r="L42" s="459" t="str">
        <f>'סיכום לועדה- הזנת נתונים'!L42</f>
        <v>עמותת הכוריאוגרפים (ע"ר)</v>
      </c>
      <c r="M42" s="460" t="str">
        <f>'סיכום לועדה- הזנת נתונים'!M42</f>
        <v>דנה יהלומי-תמיכה ביוצרת עצמאית</v>
      </c>
      <c r="N42" s="461">
        <f>'סיכום לועדה- הזנת נתונים'!N42</f>
        <v>295000</v>
      </c>
      <c r="O42" s="461">
        <f>'סיכום לועדה- הזנת נתונים'!O42</f>
        <v>128269</v>
      </c>
      <c r="P42" s="461">
        <f>'סיכום לועדה- הזנת נתונים'!P42</f>
        <v>110933.21754130146</v>
      </c>
      <c r="Q42" s="638">
        <f>'סיכום לועדה- הזנת נתונים'!Q42</f>
        <v>-0.13515177056575278</v>
      </c>
      <c r="R42" s="457">
        <f>'סיכום לועדה- הזנת נתונים'!R42</f>
        <v>0</v>
      </c>
      <c r="S42" s="457">
        <f>'סיכום לועדה- הזנת נתונים'!S42</f>
        <v>0</v>
      </c>
      <c r="T42" s="458">
        <f>'סיכום לועדה- הזנת נתונים'!T42</f>
        <v>0</v>
      </c>
      <c r="U42" s="384" t="str">
        <f>'סיכום לועדה- הזנת נתונים'!U42</f>
        <v>התמיכה מומלצת בהתאם למבחן התמיכה</v>
      </c>
    </row>
    <row r="43" spans="2:21" ht="32.25" thickBot="1" x14ac:dyDescent="0.3">
      <c r="B43" s="311">
        <f t="shared" si="0"/>
        <v>23</v>
      </c>
      <c r="C43" s="312" t="str">
        <f>'סיכום לועדה- הזנת נתונים'!C43</f>
        <v>דנה רוטנברג</v>
      </c>
      <c r="D43" s="572">
        <f>'סיכום לועדה- הזנת נתונים'!D43</f>
        <v>1001827341</v>
      </c>
      <c r="E43" s="573">
        <f>'סיכום לועדה- הזנת נתונים'!E43</f>
        <v>1001735472</v>
      </c>
      <c r="F43" s="573">
        <f>'סיכום לועדה- הזנת נתונים'!F43</f>
        <v>2023</v>
      </c>
      <c r="G43" s="458">
        <f>'סיכום לועדה- הזנת נתונים'!G43</f>
        <v>0</v>
      </c>
      <c r="H43" s="458" t="str">
        <f>'סיכום לועדה- הזנת נתונים'!H43</f>
        <v/>
      </c>
      <c r="I43" s="624">
        <f>'סיכום לועדה- הזנת נתונים'!I43</f>
        <v>2025</v>
      </c>
      <c r="J43" s="624">
        <f>'סיכום לועדה- הזנת נתונים'!J43</f>
        <v>40000564</v>
      </c>
      <c r="K43" s="624">
        <f>'סיכום לועדה- הזנת נתונים'!K43</f>
        <v>580215333</v>
      </c>
      <c r="L43" s="459" t="str">
        <f>'סיכום לועדה- הזנת נתונים'!L43</f>
        <v>עמותת הכוריאוגרפים (ע"ר)</v>
      </c>
      <c r="M43" s="460" t="str">
        <f>'סיכום לועדה- הזנת נתונים'!M43</f>
        <v>דנה רוטנברג-תמיכה ביוצרת עצמאית</v>
      </c>
      <c r="N43" s="461">
        <f>'סיכום לועדה- הזנת נתונים'!N43</f>
        <v>295000</v>
      </c>
      <c r="O43" s="461">
        <f>'סיכום לועדה- הזנת נתונים'!O43</f>
        <v>75628</v>
      </c>
      <c r="P43" s="461">
        <f>'סיכום לועדה- הזנת נתונים'!P43</f>
        <v>109729.5788451051</v>
      </c>
      <c r="Q43" s="638">
        <f>'סיכום לועדה- הזנת נתונים'!Q43</f>
        <v>0.45091208077835065</v>
      </c>
      <c r="R43" s="457">
        <f>'סיכום לועדה- הזנת נתונים'!R43</f>
        <v>0</v>
      </c>
      <c r="S43" s="457">
        <f>'סיכום לועדה- הזנת נתונים'!S43</f>
        <v>0</v>
      </c>
      <c r="T43" s="458">
        <f>'סיכום לועדה- הזנת נתונים'!T43</f>
        <v>0</v>
      </c>
      <c r="U43" s="384" t="str">
        <f>'סיכום לועדה- הזנת נתונים'!U43</f>
        <v>התמיכה מומלצת בהתאם למבחן התמיכה</v>
      </c>
    </row>
    <row r="44" spans="2:21" ht="32.25" thickBot="1" x14ac:dyDescent="0.3">
      <c r="B44" s="311">
        <f t="shared" si="0"/>
        <v>24</v>
      </c>
      <c r="C44" s="312" t="str">
        <f>'סיכום לועדה- הזנת נתונים'!C44</f>
        <v>דפי אלטבב</v>
      </c>
      <c r="D44" s="572">
        <f>'סיכום לועדה- הזנת נתונים'!D44</f>
        <v>1001827342</v>
      </c>
      <c r="E44" s="573">
        <f>'סיכום לועדה- הזנת נתונים'!E44</f>
        <v>1001735476</v>
      </c>
      <c r="F44" s="573">
        <f>'סיכום לועדה- הזנת נתונים'!F44</f>
        <v>2019</v>
      </c>
      <c r="G44" s="458">
        <f>'סיכום לועדה- הזנת נתונים'!G44</f>
        <v>1</v>
      </c>
      <c r="H44" s="458" t="str">
        <f>'סיכום לועדה- הזנת נתונים'!H44</f>
        <v/>
      </c>
      <c r="I44" s="624">
        <f>'סיכום לועדה- הזנת נתונים'!I44</f>
        <v>2025</v>
      </c>
      <c r="J44" s="624">
        <f>'סיכום לועדה- הזנת נתונים'!J44</f>
        <v>40000564</v>
      </c>
      <c r="K44" s="624">
        <f>'סיכום לועדה- הזנת נתונים'!K44</f>
        <v>580215333</v>
      </c>
      <c r="L44" s="459" t="str">
        <f>'סיכום לועדה- הזנת נתונים'!L44</f>
        <v>עמותת הכוריאוגרפים (ע"ר)</v>
      </c>
      <c r="M44" s="460" t="str">
        <f>'סיכום לועדה- הזנת נתונים'!M44</f>
        <v>דפי אלטבב-תמיכה ביוצרת עצמאית</v>
      </c>
      <c r="N44" s="461">
        <f>'סיכום לועדה- הזנת נתונים'!N44</f>
        <v>295000</v>
      </c>
      <c r="O44" s="461">
        <f>'סיכום לועדה- הזנת נתונים'!O44</f>
        <v>100469</v>
      </c>
      <c r="P44" s="461">
        <f>'סיכום לועדה- הזנת נתונים'!P44</f>
        <v>109025.45395516042</v>
      </c>
      <c r="Q44" s="638">
        <f>'סיכום לועדה- הזנת נתונים'!Q44</f>
        <v>8.5165115161496718E-2</v>
      </c>
      <c r="R44" s="457">
        <f>'סיכום לועדה- הזנת נתונים'!R44</f>
        <v>0</v>
      </c>
      <c r="S44" s="457">
        <f>'סיכום לועדה- הזנת נתונים'!S44</f>
        <v>0</v>
      </c>
      <c r="T44" s="458">
        <f>'סיכום לועדה- הזנת נתונים'!T44</f>
        <v>0</v>
      </c>
      <c r="U44" s="384" t="str">
        <f>'סיכום לועדה- הזנת נתונים'!U44</f>
        <v>התמיכה מומלצת בהתאם למבחן התמיכה</v>
      </c>
    </row>
    <row r="45" spans="2:21" ht="32.25" thickBot="1" x14ac:dyDescent="0.3">
      <c r="B45" s="311">
        <f t="shared" si="0"/>
        <v>25</v>
      </c>
      <c r="C45" s="312" t="str">
        <f>'סיכום לועדה- הזנת נתונים'!C45</f>
        <v>הלל קוגן</v>
      </c>
      <c r="D45" s="572">
        <f>'סיכום לועדה- הזנת נתונים'!D45</f>
        <v>1001827343</v>
      </c>
      <c r="E45" s="573">
        <f>'סיכום לועדה- הזנת נתונים'!E45</f>
        <v>1001735478</v>
      </c>
      <c r="F45" s="573">
        <f>'סיכום לועדה- הזנת נתונים'!F45</f>
        <v>2023</v>
      </c>
      <c r="G45" s="458">
        <f>'סיכום לועדה- הזנת נתונים'!G45</f>
        <v>0</v>
      </c>
      <c r="H45" s="458" t="str">
        <f>'סיכום לועדה- הזנת נתונים'!H45</f>
        <v/>
      </c>
      <c r="I45" s="624">
        <f>'סיכום לועדה- הזנת נתונים'!I45</f>
        <v>2025</v>
      </c>
      <c r="J45" s="624">
        <f>'סיכום לועדה- הזנת נתונים'!J45</f>
        <v>40000564</v>
      </c>
      <c r="K45" s="624">
        <f>'סיכום לועדה- הזנת נתונים'!K45</f>
        <v>580215333</v>
      </c>
      <c r="L45" s="459" t="str">
        <f>'סיכום לועדה- הזנת נתונים'!L45</f>
        <v>עמותת הכוריאוגרפים (ע"ר)</v>
      </c>
      <c r="M45" s="460" t="str">
        <f>'סיכום לועדה- הזנת נתונים'!M45</f>
        <v>הלל קוגן-תמיכה ביוצר עצמאי</v>
      </c>
      <c r="N45" s="461">
        <f>'סיכום לועדה- הזנת נתונים'!N45</f>
        <v>295000</v>
      </c>
      <c r="O45" s="461">
        <f>'סיכום לועדה- הזנת נתונים'!O45</f>
        <v>84428</v>
      </c>
      <c r="P45" s="461">
        <f>'סיכום לועדה- הזנת נתונים'!P45</f>
        <v>112702.35206019653</v>
      </c>
      <c r="Q45" s="638">
        <f>'סיכום לועדה- הזנת נתונים'!Q45</f>
        <v>0.33489306936320329</v>
      </c>
      <c r="R45" s="457">
        <f>'סיכום לועדה- הזנת נתונים'!R45</f>
        <v>0</v>
      </c>
      <c r="S45" s="457">
        <f>'סיכום לועדה- הזנת נתונים'!S45</f>
        <v>0</v>
      </c>
      <c r="T45" s="458">
        <f>'סיכום לועדה- הזנת נתונים'!T45</f>
        <v>0</v>
      </c>
      <c r="U45" s="384" t="str">
        <f>'סיכום לועדה- הזנת נתונים'!U45</f>
        <v>התמיכה מומלצת בהתאם למבחן התמיכה</v>
      </c>
    </row>
    <row r="46" spans="2:21" ht="32.25" thickBot="1" x14ac:dyDescent="0.3">
      <c r="B46" s="311">
        <f t="shared" si="0"/>
        <v>26</v>
      </c>
      <c r="C46" s="312" t="str">
        <f>'סיכום לועדה- הזנת נתונים'!C46</f>
        <v>אנאבל דביר</v>
      </c>
      <c r="D46" s="572">
        <f>'סיכום לועדה- הזנת נתונים'!D46</f>
        <v>1001827331</v>
      </c>
      <c r="E46" s="573">
        <f>'סיכום לועדה- הזנת נתונים'!E46</f>
        <v>1001735445</v>
      </c>
      <c r="F46" s="573">
        <f>'סיכום לועדה- הזנת נתונים'!F46</f>
        <v>2020</v>
      </c>
      <c r="G46" s="458">
        <f>'סיכום לועדה- הזנת נתונים'!G46</f>
        <v>1</v>
      </c>
      <c r="H46" s="458" t="str">
        <f>'סיכום לועדה- הזנת נתונים'!H46</f>
        <v/>
      </c>
      <c r="I46" s="624">
        <f>'סיכום לועדה- הזנת נתונים'!I46</f>
        <v>2025</v>
      </c>
      <c r="J46" s="624">
        <f>'סיכום לועדה- הזנת נתונים'!J46</f>
        <v>40000564</v>
      </c>
      <c r="K46" s="624">
        <f>'סיכום לועדה- הזנת נתונים'!K46</f>
        <v>580215333</v>
      </c>
      <c r="L46" s="459" t="str">
        <f>'סיכום לועדה- הזנת נתונים'!L46</f>
        <v>עמותת הכוריאוגרפים (ע"ר)</v>
      </c>
      <c r="M46" s="460" t="str">
        <f>'סיכום לועדה- הזנת נתונים'!M46</f>
        <v>אנאבל דביר-תמיכה ביוצרת עצמאית</v>
      </c>
      <c r="N46" s="461">
        <f>'סיכום לועדה- הזנת נתונים'!N46</f>
        <v>295000</v>
      </c>
      <c r="O46" s="461">
        <f>'סיכום לועדה- הזנת נתונים'!O46</f>
        <v>98208</v>
      </c>
      <c r="P46" s="461">
        <f>'סיכום לועדה- הזנת נתונים'!P46</f>
        <v>116980.91648142906</v>
      </c>
      <c r="Q46" s="638">
        <f>'סיכום לועדה- הזנת נתונים'!Q46</f>
        <v>0.19115465625436889</v>
      </c>
      <c r="R46" s="457">
        <f>'סיכום לועדה- הזנת נתונים'!R46</f>
        <v>0</v>
      </c>
      <c r="S46" s="457">
        <f>'סיכום לועדה- הזנת נתונים'!S46</f>
        <v>0</v>
      </c>
      <c r="T46" s="458">
        <f>'סיכום לועדה- הזנת נתונים'!T46</f>
        <v>0</v>
      </c>
      <c r="U46" s="384" t="str">
        <f>'סיכום לועדה- הזנת נתונים'!U46</f>
        <v>התמיכה מומלצת בהתאם למבחן התמיכה</v>
      </c>
    </row>
    <row r="47" spans="2:21" ht="32.25" thickBot="1" x14ac:dyDescent="0.3">
      <c r="B47" s="311">
        <f t="shared" si="0"/>
        <v>27</v>
      </c>
      <c r="C47" s="312" t="str">
        <f>'סיכום לועדה- הזנת נתונים'!C47</f>
        <v>יוסי ברג ועודד גרף</v>
      </c>
      <c r="D47" s="572">
        <f>'סיכום לועדה- הזנת נתונים'!D47</f>
        <v>1001825689</v>
      </c>
      <c r="E47" s="573">
        <f>'סיכום לועדה- הזנת נתונים'!E47</f>
        <v>1001774239</v>
      </c>
      <c r="F47" s="573">
        <f>'סיכום לועדה- הזנת נתונים'!F47</f>
        <v>2019</v>
      </c>
      <c r="G47" s="458">
        <f>'סיכום לועדה- הזנת נתונים'!G47</f>
        <v>1</v>
      </c>
      <c r="H47" s="458" t="str">
        <f>'סיכום לועדה- הזנת נתונים'!H47</f>
        <v/>
      </c>
      <c r="I47" s="624">
        <f>'סיכום לועדה- הזנת נתונים'!I47</f>
        <v>2025</v>
      </c>
      <c r="J47" s="624">
        <f>'סיכום לועדה- הזנת נתונים'!J47</f>
        <v>41489893</v>
      </c>
      <c r="K47" s="624">
        <f>'סיכום לועדה- הזנת נתונים'!K47</f>
        <v>580632446</v>
      </c>
      <c r="L47" s="459" t="str">
        <f>'סיכום לועדה- הזנת נתונים'!L47</f>
        <v>תיאטרון מחול יוסי ברג ועודד גרף (ע'</v>
      </c>
      <c r="M47" s="460" t="str">
        <f>'סיכום לועדה- הזנת נתונים'!M47</f>
        <v>תמיכה שוטפת לשנת 2025 ללהקת מחול יוסי ב</v>
      </c>
      <c r="N47" s="461">
        <f>'סיכום לועדה- הזנת נתונים'!N47</f>
        <v>400000</v>
      </c>
      <c r="O47" s="461">
        <f>'סיכום לועדה- הזנת נתונים'!O47</f>
        <v>180005</v>
      </c>
      <c r="P47" s="461">
        <f>'סיכום לועדה- הזנת נתונים'!P47</f>
        <v>173067.58694812749</v>
      </c>
      <c r="Q47" s="638">
        <f>'סיכום לועדה- הזנת נתונים'!Q47</f>
        <v>-3.8540113062817793E-2</v>
      </c>
      <c r="R47" s="457">
        <f>'סיכום לועדה- הזנת נתונים'!R47</f>
        <v>0</v>
      </c>
      <c r="S47" s="457">
        <f>'סיכום לועדה- הזנת נתונים'!S47</f>
        <v>0</v>
      </c>
      <c r="T47" s="458">
        <f>'סיכום לועדה- הזנת נתונים'!T47</f>
        <v>0</v>
      </c>
      <c r="U47" s="384" t="str">
        <f>'סיכום לועדה- הזנת נתונים'!U47</f>
        <v>התמיכה מומלצת בהתאם למבחן התמיכה</v>
      </c>
    </row>
    <row r="48" spans="2:21" ht="32.25" thickBot="1" x14ac:dyDescent="0.3">
      <c r="B48" s="311">
        <f t="shared" si="0"/>
        <v>28</v>
      </c>
      <c r="C48" s="312" t="str">
        <f>'סיכום לועדה- הזנת נתונים'!C48</f>
        <v>נדין בומר</v>
      </c>
      <c r="D48" s="572">
        <f>'סיכום לועדה- הזנת נתונים'!D48</f>
        <v>1001827668</v>
      </c>
      <c r="E48" s="573">
        <f>'סיכום לועדה- הזנת נתונים'!E48</f>
        <v>1001735509</v>
      </c>
      <c r="F48" s="573">
        <f>'סיכום לועדה- הזנת נתונים'!F48</f>
        <v>2019</v>
      </c>
      <c r="G48" s="458">
        <f>'סיכום לועדה- הזנת נתונים'!G48</f>
        <v>1</v>
      </c>
      <c r="H48" s="458" t="str">
        <f>'סיכום לועדה- הזנת נתונים'!H48</f>
        <v/>
      </c>
      <c r="I48" s="624">
        <f>'סיכום לועדה- הזנת נתונים'!I48</f>
        <v>2025</v>
      </c>
      <c r="J48" s="624">
        <f>'סיכום לועדה- הזנת נתונים'!J48</f>
        <v>40000564</v>
      </c>
      <c r="K48" s="624">
        <f>'סיכום לועדה- הזנת נתונים'!K48</f>
        <v>580215333</v>
      </c>
      <c r="L48" s="459" t="str">
        <f>'סיכום לועדה- הזנת נתונים'!L48</f>
        <v>עמותת הכוריאוגרפים (ע"ר)</v>
      </c>
      <c r="M48" s="460" t="str">
        <f>'סיכום לועדה- הזנת נתונים'!M48</f>
        <v>נדין בומר - תמיכה ביוצרת עצמאית</v>
      </c>
      <c r="N48" s="461">
        <f>'סיכום לועדה- הזנת נתונים'!N48</f>
        <v>295000</v>
      </c>
      <c r="O48" s="461">
        <f>'סיכום לועדה- הזנת נתונים'!O48</f>
        <v>102939</v>
      </c>
      <c r="P48" s="461">
        <f>'סיכום לועדה- הזנת נתונים'!P48</f>
        <v>103990.7616357467</v>
      </c>
      <c r="Q48" s="638">
        <f>'סיכום לועדה- הזנת נתונים'!Q48</f>
        <v>1.0217329056496638E-2</v>
      </c>
      <c r="R48" s="457">
        <f>'סיכום לועדה- הזנת נתונים'!R48</f>
        <v>0</v>
      </c>
      <c r="S48" s="457">
        <f>'סיכום לועדה- הזנת נתונים'!S48</f>
        <v>0</v>
      </c>
      <c r="T48" s="458">
        <f>'סיכום לועדה- הזנת נתונים'!T48</f>
        <v>0</v>
      </c>
      <c r="U48" s="384" t="str">
        <f>'סיכום לועדה- הזנת נתונים'!U48</f>
        <v>התמיכה מומלצת בהתאם למבחן התמיכה</v>
      </c>
    </row>
    <row r="49" spans="2:21" ht="31.5" customHeight="1" thickBot="1" x14ac:dyDescent="0.3">
      <c r="B49" s="311">
        <f t="shared" si="0"/>
        <v>29</v>
      </c>
      <c r="C49" s="312" t="str">
        <f>'סיכום לועדה- הזנת נתונים'!C49</f>
        <v xml:space="preserve">להקת בלט פאנוב </v>
      </c>
      <c r="D49" s="572">
        <f>'סיכום לועדה- הזנת נתונים'!D49</f>
        <v>1001836766</v>
      </c>
      <c r="E49" s="573">
        <f>'סיכום לועדה- הזנת נתונים'!E49</f>
        <v>1001776435</v>
      </c>
      <c r="F49" s="573">
        <f>'סיכום לועדה- הזנת נתונים'!F49</f>
        <v>2023</v>
      </c>
      <c r="G49" s="458">
        <f>'סיכום לועדה- הזנת נתונים'!G49</f>
        <v>0</v>
      </c>
      <c r="H49" s="458" t="str">
        <f>'סיכום לועדה- הזנת נתונים'!H49</f>
        <v/>
      </c>
      <c r="I49" s="624">
        <f>'סיכום לועדה- הזנת נתונים'!I49</f>
        <v>2025</v>
      </c>
      <c r="J49" s="624">
        <f>'סיכום לועדה- הזנת נתונים'!J49</f>
        <v>40000291</v>
      </c>
      <c r="K49" s="624">
        <f>'סיכום לועדה- הזנת נתונים'!K49</f>
        <v>511757114</v>
      </c>
      <c r="L49" s="459" t="str">
        <f>'סיכום לועדה- הזנת נתונים'!L49</f>
        <v>החברה העירונית לתרבות, ספורט ומרכזי</v>
      </c>
      <c r="M49" s="460" t="str">
        <f>'סיכום לועדה- הזנת נתונים'!M49</f>
        <v>פאנוב יוצרים 2025</v>
      </c>
      <c r="N49" s="461">
        <f>'סיכום לועדה- הזנת נתונים'!N49</f>
        <v>800000</v>
      </c>
      <c r="O49" s="461">
        <f>'סיכום לועדה- הזנת נתונים'!O49</f>
        <v>313447</v>
      </c>
      <c r="P49" s="461">
        <f>'סיכום לועדה- הזנת נתונים'!P49</f>
        <v>298202.27934444282</v>
      </c>
      <c r="Q49" s="638">
        <f>'סיכום לועדה- הזנת נתונים'!Q49</f>
        <v>-4.8635720410650563E-2</v>
      </c>
      <c r="R49" s="457">
        <f>'סיכום לועדה- הזנת נתונים'!R49</f>
        <v>0</v>
      </c>
      <c r="S49" s="457">
        <f>'סיכום לועדה- הזנת נתונים'!S49</f>
        <v>0</v>
      </c>
      <c r="T49" s="458">
        <f>'סיכום לועדה- הזנת נתונים'!T49</f>
        <v>0</v>
      </c>
      <c r="U49" s="384" t="str">
        <f>'סיכום לועדה- הזנת נתונים'!U49</f>
        <v>התמיכה מומלצת בהתאם למבחן התמיכה</v>
      </c>
    </row>
    <row r="50" spans="2:21" ht="16.5" thickBot="1" x14ac:dyDescent="0.3">
      <c r="B50" s="311" t="str">
        <f t="shared" si="0"/>
        <v/>
      </c>
      <c r="C50" s="312" t="str">
        <f>'סיכום לועדה- הזנת נתונים'!C50</f>
        <v/>
      </c>
      <c r="D50" s="572">
        <f>'סיכום לועדה- הזנת נתונים'!D50</f>
        <v>0</v>
      </c>
      <c r="E50" s="573">
        <f>'סיכום לועדה- הזנת נתונים'!E50</f>
        <v>0</v>
      </c>
      <c r="F50" s="573">
        <f>'סיכום לועדה- הזנת נתונים'!F50</f>
        <v>0</v>
      </c>
      <c r="G50" s="458" t="str">
        <f>'סיכום לועדה- הזנת נתונים'!G50</f>
        <v/>
      </c>
      <c r="H50" s="458" t="str">
        <f>'סיכום לועדה- הזנת נתונים'!H50</f>
        <v/>
      </c>
      <c r="I50" s="624" t="str">
        <f>'סיכום לועדה- הזנת נתונים'!I50</f>
        <v/>
      </c>
      <c r="J50" s="624" t="str">
        <f>'סיכום לועדה- הזנת נתונים'!J50</f>
        <v/>
      </c>
      <c r="K50" s="624" t="str">
        <f>'סיכום לועדה- הזנת נתונים'!K50</f>
        <v/>
      </c>
      <c r="L50" s="459" t="str">
        <f>'סיכום לועדה- הזנת נתונים'!L50</f>
        <v/>
      </c>
      <c r="M50" s="460" t="str">
        <f>'סיכום לועדה- הזנת נתונים'!M50</f>
        <v/>
      </c>
      <c r="N50" s="461" t="str">
        <f>'סיכום לועדה- הזנת נתונים'!N50</f>
        <v/>
      </c>
      <c r="O50" s="461">
        <f>'סיכום לועדה- הזנת נתונים'!O50</f>
        <v>0</v>
      </c>
      <c r="P50" s="461" t="str">
        <f>'סיכום לועדה- הזנת נתונים'!P50</f>
        <v/>
      </c>
      <c r="Q50" s="638" t="str">
        <f>'סיכום לועדה- הזנת נתונים'!Q50</f>
        <v/>
      </c>
      <c r="R50" s="457" t="str">
        <f>'סיכום לועדה- הזנת נתונים'!R50</f>
        <v/>
      </c>
      <c r="S50" s="457">
        <f>'סיכום לועדה- הזנת נתונים'!S50</f>
        <v>0</v>
      </c>
      <c r="T50" s="458">
        <f>'סיכום לועדה- הזנת נתונים'!T50</f>
        <v>0</v>
      </c>
      <c r="U50" s="384">
        <f>'סיכום לועדה- הזנת נתונים'!U50</f>
        <v>0</v>
      </c>
    </row>
    <row r="51" spans="2:21" ht="16.5" thickBot="1" x14ac:dyDescent="0.3">
      <c r="B51" s="311" t="str">
        <f t="shared" si="0"/>
        <v/>
      </c>
      <c r="C51" s="312" t="str">
        <f>'סיכום לועדה- הזנת נתונים'!C51</f>
        <v/>
      </c>
      <c r="D51" s="572">
        <f>'סיכום לועדה- הזנת נתונים'!D51</f>
        <v>0</v>
      </c>
      <c r="E51" s="573">
        <f>'סיכום לועדה- הזנת נתונים'!E51</f>
        <v>0</v>
      </c>
      <c r="F51" s="573">
        <f>'סיכום לועדה- הזנת נתונים'!F51</f>
        <v>0</v>
      </c>
      <c r="G51" s="458" t="str">
        <f>'סיכום לועדה- הזנת נתונים'!G51</f>
        <v/>
      </c>
      <c r="H51" s="458" t="str">
        <f>'סיכום לועדה- הזנת נתונים'!H51</f>
        <v/>
      </c>
      <c r="I51" s="624" t="str">
        <f>'סיכום לועדה- הזנת נתונים'!I51</f>
        <v/>
      </c>
      <c r="J51" s="624" t="str">
        <f>'סיכום לועדה- הזנת נתונים'!J51</f>
        <v/>
      </c>
      <c r="K51" s="624" t="str">
        <f>'סיכום לועדה- הזנת נתונים'!K51</f>
        <v/>
      </c>
      <c r="L51" s="459" t="str">
        <f>'סיכום לועדה- הזנת נתונים'!L51</f>
        <v/>
      </c>
      <c r="M51" s="460" t="str">
        <f>'סיכום לועדה- הזנת נתונים'!M51</f>
        <v/>
      </c>
      <c r="N51" s="461" t="str">
        <f>'סיכום לועדה- הזנת נתונים'!N51</f>
        <v/>
      </c>
      <c r="O51" s="461">
        <f>'סיכום לועדה- הזנת נתונים'!O51</f>
        <v>0</v>
      </c>
      <c r="P51" s="461" t="str">
        <f>'סיכום לועדה- הזנת נתונים'!P51</f>
        <v/>
      </c>
      <c r="Q51" s="638" t="str">
        <f>'סיכום לועדה- הזנת נתונים'!Q51</f>
        <v/>
      </c>
      <c r="R51" s="457" t="str">
        <f>'סיכום לועדה- הזנת נתונים'!R51</f>
        <v/>
      </c>
      <c r="S51" s="457">
        <f>'סיכום לועדה- הזנת נתונים'!S51</f>
        <v>0</v>
      </c>
      <c r="T51" s="458">
        <f>'סיכום לועדה- הזנת נתונים'!T51</f>
        <v>0</v>
      </c>
      <c r="U51" s="384">
        <f>'סיכום לועדה- הזנת נתונים'!U51</f>
        <v>0</v>
      </c>
    </row>
    <row r="52" spans="2:21" ht="32.25" thickBot="1" x14ac:dyDescent="0.3">
      <c r="B52" s="311">
        <f t="shared" si="0"/>
        <v>32</v>
      </c>
      <c r="C52" s="312" t="str">
        <f>'סיכום לועדה- הזנת נתונים'!C52</f>
        <v>מיכל סממה</v>
      </c>
      <c r="D52" s="572">
        <f>'סיכום לועדה- הזנת נתונים'!D52</f>
        <v>1001827360</v>
      </c>
      <c r="E52" s="573">
        <f>'סיכום לועדה- הזנת נתונים'!E52</f>
        <v>1001735501</v>
      </c>
      <c r="F52" s="573">
        <f>'סיכום לועדה- הזנת נתונים'!F52</f>
        <v>2020</v>
      </c>
      <c r="G52" s="458">
        <f>'סיכום לועדה- הזנת נתונים'!G52</f>
        <v>1</v>
      </c>
      <c r="H52" s="458" t="str">
        <f>'סיכום לועדה- הזנת נתונים'!H52</f>
        <v/>
      </c>
      <c r="I52" s="624">
        <f>'סיכום לועדה- הזנת נתונים'!I52</f>
        <v>2025</v>
      </c>
      <c r="J52" s="624">
        <f>'סיכום לועדה- הזנת נתונים'!J52</f>
        <v>40000564</v>
      </c>
      <c r="K52" s="624">
        <f>'סיכום לועדה- הזנת נתונים'!K52</f>
        <v>580215333</v>
      </c>
      <c r="L52" s="459" t="str">
        <f>'סיכום לועדה- הזנת נתונים'!L52</f>
        <v>עמותת הכוריאוגרפים (ע"ר)</v>
      </c>
      <c r="M52" s="460" t="str">
        <f>'סיכום לועדה- הזנת נתונים'!M52</f>
        <v>מיכל סמאמה-תמיכה ביוצרת עצמאית</v>
      </c>
      <c r="N52" s="461">
        <f>'סיכום לועדה- הזנת נתונים'!N52</f>
        <v>295000</v>
      </c>
      <c r="O52" s="461">
        <f>'סיכום לועדה- הזנת נתונים'!O52</f>
        <v>56557</v>
      </c>
      <c r="P52" s="461">
        <f>'סיכום לועדה- הזנת נתונים'!P52</f>
        <v>57262.444126778537</v>
      </c>
      <c r="Q52" s="638">
        <f>'סיכום לועדה- הזנת נתונים'!Q52</f>
        <v>1.247315322203324E-2</v>
      </c>
      <c r="R52" s="457">
        <f>'סיכום לועדה- הזנת נתונים'!R52</f>
        <v>0</v>
      </c>
      <c r="S52" s="457">
        <f>'סיכום לועדה- הזנת נתונים'!S52</f>
        <v>0</v>
      </c>
      <c r="T52" s="458">
        <f>'סיכום לועדה- הזנת נתונים'!T52</f>
        <v>0</v>
      </c>
      <c r="U52" s="384" t="str">
        <f>'סיכום לועדה- הזנת נתונים'!U52</f>
        <v>התמיכה מומלצת בהתאם למבחן התמיכה</v>
      </c>
    </row>
    <row r="53" spans="2:21" ht="32.25" thickBot="1" x14ac:dyDescent="0.3">
      <c r="B53" s="311">
        <f t="shared" si="0"/>
        <v>33</v>
      </c>
      <c r="C53" s="312" t="str">
        <f>'סיכום לועדה- הזנת נתונים'!C53</f>
        <v>מאיה ברינר</v>
      </c>
      <c r="D53" s="572">
        <f>'סיכום לועדה- הזנת נתונים'!D53</f>
        <v>1001827351</v>
      </c>
      <c r="E53" s="573">
        <f>'סיכום לועדה- הזנת נתונים'!E53</f>
        <v>1001735493</v>
      </c>
      <c r="F53" s="573">
        <f>'סיכום לועדה- הזנת נתונים'!F53</f>
        <v>2022</v>
      </c>
      <c r="G53" s="458">
        <f>'סיכום לועדה- הזנת נתונים'!G53</f>
        <v>0</v>
      </c>
      <c r="H53" s="458" t="str">
        <f>'סיכום לועדה- הזנת נתונים'!H53</f>
        <v/>
      </c>
      <c r="I53" s="624">
        <f>'סיכום לועדה- הזנת נתונים'!I53</f>
        <v>2025</v>
      </c>
      <c r="J53" s="624">
        <f>'סיכום לועדה- הזנת נתונים'!J53</f>
        <v>40000564</v>
      </c>
      <c r="K53" s="624">
        <f>'סיכום לועדה- הזנת נתונים'!K53</f>
        <v>580215333</v>
      </c>
      <c r="L53" s="459" t="str">
        <f>'סיכום לועדה- הזנת נתונים'!L53</f>
        <v>עמותת הכוריאוגרפים (ע"ר)</v>
      </c>
      <c r="M53" s="460" t="str">
        <f>'סיכום לועדה- הזנת נתונים'!M53</f>
        <v>מאיה ברינר-תמיכה ביוצרת עצמאית</v>
      </c>
      <c r="N53" s="461">
        <f>'סיכום לועדה- הזנת נתונים'!N53</f>
        <v>295000</v>
      </c>
      <c r="O53" s="461">
        <f>'סיכום לועדה- הזנת נתונים'!O53</f>
        <v>171075</v>
      </c>
      <c r="P53" s="461">
        <f>'סיכום לועדה- הזנת נתונים'!P53</f>
        <v>244337.08564938908</v>
      </c>
      <c r="Q53" s="638">
        <f>'סיכום לועדה- הזנת נתונים'!Q53</f>
        <v>0.42824542247195141</v>
      </c>
      <c r="R53" s="457">
        <f>'סיכום לועדה- הזנת נתונים'!R53</f>
        <v>0</v>
      </c>
      <c r="S53" s="457">
        <f>'סיכום לועדה- הזנת נתונים'!S53</f>
        <v>0</v>
      </c>
      <c r="T53" s="458">
        <f>'סיכום לועדה- הזנת נתונים'!T53</f>
        <v>0</v>
      </c>
      <c r="U53" s="384" t="str">
        <f>'סיכום לועדה- הזנת נתונים'!U53</f>
        <v>התמיכה מומלצת בהתאם למבחן התמיכה</v>
      </c>
    </row>
    <row r="54" spans="2:21" ht="32.25" thickBot="1" x14ac:dyDescent="0.3">
      <c r="B54" s="311">
        <f t="shared" si="0"/>
        <v>34</v>
      </c>
      <c r="C54" s="312" t="str">
        <f>'סיכום לועדה- הזנת נתונים'!C54</f>
        <v>מאיה מכלל גלפנד</v>
      </c>
      <c r="D54" s="572">
        <f>'סיכום לועדה- הזנת נתונים'!D54</f>
        <v>1001827353</v>
      </c>
      <c r="E54" s="573">
        <f>'סיכום לועדה- הזנת נתונים'!E54</f>
        <v>1001735494</v>
      </c>
      <c r="F54" s="573">
        <f>'סיכום לועדה- הזנת נתונים'!F54</f>
        <v>2020</v>
      </c>
      <c r="G54" s="458">
        <f>'סיכום לועדה- הזנת נתונים'!G54</f>
        <v>1</v>
      </c>
      <c r="H54" s="458" t="str">
        <f>'סיכום לועדה- הזנת נתונים'!H54</f>
        <v/>
      </c>
      <c r="I54" s="624">
        <f>'סיכום לועדה- הזנת נתונים'!I54</f>
        <v>2025</v>
      </c>
      <c r="J54" s="624">
        <f>'סיכום לועדה- הזנת נתונים'!J54</f>
        <v>40000564</v>
      </c>
      <c r="K54" s="624">
        <f>'סיכום לועדה- הזנת נתונים'!K54</f>
        <v>580215333</v>
      </c>
      <c r="L54" s="459" t="str">
        <f>'סיכום לועדה- הזנת נתונים'!L54</f>
        <v>עמותת הכוריאוגרפים (ע"ר)</v>
      </c>
      <c r="M54" s="460" t="str">
        <f>'סיכום לועדה- הזנת נתונים'!M54</f>
        <v>מאיה מכלל גלפנד-תמיכה ביוצרת עצמאית</v>
      </c>
      <c r="N54" s="461">
        <f>'סיכום לועדה- הזנת נתונים'!N54</f>
        <v>295000</v>
      </c>
      <c r="O54" s="461">
        <f>'סיכום לועדה- הזנת נתונים'!O54</f>
        <v>39826</v>
      </c>
      <c r="P54" s="461">
        <f>'סיכום לועדה- הזנת נתונים'!P54</f>
        <v>47793.416642515163</v>
      </c>
      <c r="Q54" s="638">
        <f>'סיכום לועדה- הזנת נתונים'!Q54</f>
        <v>0.20005565817594451</v>
      </c>
      <c r="R54" s="457">
        <f>'סיכום לועדה- הזנת נתונים'!R54</f>
        <v>0</v>
      </c>
      <c r="S54" s="457">
        <f>'סיכום לועדה- הזנת נתונים'!S54</f>
        <v>0</v>
      </c>
      <c r="T54" s="458">
        <f>'סיכום לועדה- הזנת נתונים'!T54</f>
        <v>0</v>
      </c>
      <c r="U54" s="384" t="str">
        <f>'סיכום לועדה- הזנת נתונים'!U54</f>
        <v>התמיכה מומלצת בהתאם למבחן התמיכה</v>
      </c>
    </row>
    <row r="55" spans="2:21" ht="32.25" thickBot="1" x14ac:dyDescent="0.3">
      <c r="B55" s="311">
        <f t="shared" si="0"/>
        <v>35</v>
      </c>
      <c r="C55" s="312" t="str">
        <f>'סיכום לועדה- הזנת נתונים'!C55</f>
        <v>מיה שטרן ותומר שרעבי</v>
      </c>
      <c r="D55" s="572">
        <f>'סיכום לועדה- הזנת נתונים'!D55</f>
        <v>1001827356</v>
      </c>
      <c r="E55" s="573">
        <f>'סיכום לועדה- הזנת נתונים'!E55</f>
        <v>1001735497</v>
      </c>
      <c r="F55" s="573">
        <f>'סיכום לועדה- הזנת נתונים'!F55</f>
        <v>2022</v>
      </c>
      <c r="G55" s="458">
        <f>'סיכום לועדה- הזנת נתונים'!G55</f>
        <v>0</v>
      </c>
      <c r="H55" s="458" t="str">
        <f>'סיכום לועדה- הזנת נתונים'!H55</f>
        <v/>
      </c>
      <c r="I55" s="624">
        <f>'סיכום לועדה- הזנת נתונים'!I55</f>
        <v>2025</v>
      </c>
      <c r="J55" s="624">
        <f>'סיכום לועדה- הזנת נתונים'!J55</f>
        <v>40000564</v>
      </c>
      <c r="K55" s="624">
        <f>'סיכום לועדה- הזנת נתונים'!K55</f>
        <v>580215333</v>
      </c>
      <c r="L55" s="459" t="str">
        <f>'סיכום לועדה- הזנת נתונים'!L55</f>
        <v>עמותת הכוריאוגרפים (ע"ר)</v>
      </c>
      <c r="M55" s="460" t="str">
        <f>'סיכום לועדה- הזנת נתונים'!M55</f>
        <v>מיה שטרן ותומר שרעבי-תמיכה ביוצרים עצמאי</v>
      </c>
      <c r="N55" s="461">
        <f>'סיכום לועדה- הזנת נתונים'!N55</f>
        <v>295000</v>
      </c>
      <c r="O55" s="461">
        <f>'סיכום לועדה- הזנת נתונים'!O55</f>
        <v>68651</v>
      </c>
      <c r="P55" s="461">
        <f>'סיכום לועדה- הזנת נתונים'!P55</f>
        <v>57779.60828246786</v>
      </c>
      <c r="Q55" s="638">
        <f>'סיכום לועדה- הזנת נתונים'!Q55</f>
        <v>-0.15835736868409989</v>
      </c>
      <c r="R55" s="457">
        <f>'סיכום לועדה- הזנת נתונים'!R55</f>
        <v>0</v>
      </c>
      <c r="S55" s="457">
        <f>'סיכום לועדה- הזנת נתונים'!S55</f>
        <v>0</v>
      </c>
      <c r="T55" s="458">
        <f>'סיכום לועדה- הזנת נתונים'!T55</f>
        <v>0</v>
      </c>
      <c r="U55" s="384" t="str">
        <f>'סיכום לועדה- הזנת נתונים'!U55</f>
        <v>התמיכה מומלצת בהתאם למבחן התמיכה</v>
      </c>
    </row>
    <row r="56" spans="2:21" ht="32.25" thickBot="1" x14ac:dyDescent="0.3">
      <c r="B56" s="311">
        <f t="shared" si="0"/>
        <v>36</v>
      </c>
      <c r="C56" s="312" t="str">
        <f>'סיכום לועדה- הזנת נתונים'!C56</f>
        <v>מיכאל גטמן</v>
      </c>
      <c r="D56" s="572">
        <f>'סיכום לועדה- הזנת נתונים'!D56</f>
        <v>1001827357</v>
      </c>
      <c r="E56" s="573">
        <f>'סיכום לועדה- הזנת נתונים'!E56</f>
        <v>1001735498</v>
      </c>
      <c r="F56" s="573">
        <f>'סיכום לועדה- הזנת נתונים'!F56</f>
        <v>2022</v>
      </c>
      <c r="G56" s="458">
        <f>'סיכום לועדה- הזנת נתונים'!G56</f>
        <v>0</v>
      </c>
      <c r="H56" s="458" t="str">
        <f>'סיכום לועדה- הזנת נתונים'!H56</f>
        <v/>
      </c>
      <c r="I56" s="624">
        <f>'סיכום לועדה- הזנת נתונים'!I56</f>
        <v>2025</v>
      </c>
      <c r="J56" s="624">
        <f>'סיכום לועדה- הזנת נתונים'!J56</f>
        <v>40000564</v>
      </c>
      <c r="K56" s="624">
        <f>'סיכום לועדה- הזנת נתונים'!K56</f>
        <v>580215333</v>
      </c>
      <c r="L56" s="459" t="str">
        <f>'סיכום לועדה- הזנת נתונים'!L56</f>
        <v>עמותת הכוריאוגרפים (ע"ר)</v>
      </c>
      <c r="M56" s="460" t="str">
        <f>'סיכום לועדה- הזנת נתונים'!M56</f>
        <v>מיכאל גטמן-תמיכה ביוצר עצמאי</v>
      </c>
      <c r="N56" s="461">
        <f>'סיכום לועדה- הזנת נתונים'!N56</f>
        <v>295000</v>
      </c>
      <c r="O56" s="461">
        <f>'סיכום לועדה- הזנת נתונים'!O56</f>
        <v>112592</v>
      </c>
      <c r="P56" s="461">
        <f>'סיכום לועדה- הזנת נתונים'!P56</f>
        <v>121187.52481657032</v>
      </c>
      <c r="Q56" s="638">
        <f>'סיכום לועדה- הזנת נתונים'!Q56</f>
        <v>7.6342234053665692E-2</v>
      </c>
      <c r="R56" s="457">
        <f>'סיכום לועדה- הזנת נתונים'!R56</f>
        <v>0</v>
      </c>
      <c r="S56" s="457">
        <f>'סיכום לועדה- הזנת נתונים'!S56</f>
        <v>0</v>
      </c>
      <c r="T56" s="458">
        <f>'סיכום לועדה- הזנת נתונים'!T56</f>
        <v>0</v>
      </c>
      <c r="U56" s="384" t="str">
        <f>'סיכום לועדה- הזנת נתונים'!U56</f>
        <v>התמיכה מומלצת בהתאם למבחן התמיכה</v>
      </c>
    </row>
    <row r="57" spans="2:21" ht="32.25" thickBot="1" x14ac:dyDescent="0.3">
      <c r="B57" s="311">
        <f t="shared" si="0"/>
        <v>37</v>
      </c>
      <c r="C57" s="312" t="str">
        <f>'סיכום לועדה- הזנת נתונים'!C57</f>
        <v>מיכל הרמן</v>
      </c>
      <c r="D57" s="572">
        <f>'סיכום לועדה- הזנת נתונים'!D57</f>
        <v>1001827359</v>
      </c>
      <c r="E57" s="573">
        <f>'סיכום לועדה- הזנת נתונים'!E57</f>
        <v>1001735500</v>
      </c>
      <c r="F57" s="573">
        <f>'סיכום לועדה- הזנת נתונים'!F57</f>
        <v>2023</v>
      </c>
      <c r="G57" s="458">
        <f>'סיכום לועדה- הזנת נתונים'!G57</f>
        <v>0</v>
      </c>
      <c r="H57" s="458" t="str">
        <f>'סיכום לועדה- הזנת נתונים'!H57</f>
        <v/>
      </c>
      <c r="I57" s="624">
        <f>'סיכום לועדה- הזנת נתונים'!I57</f>
        <v>2025</v>
      </c>
      <c r="J57" s="624">
        <f>'סיכום לועדה- הזנת נתונים'!J57</f>
        <v>40000564</v>
      </c>
      <c r="K57" s="624">
        <f>'סיכום לועדה- הזנת נתונים'!K57</f>
        <v>580215333</v>
      </c>
      <c r="L57" s="459" t="str">
        <f>'סיכום לועדה- הזנת נתונים'!L57</f>
        <v>עמותת הכוריאוגרפים (ע"ר)</v>
      </c>
      <c r="M57" s="460" t="str">
        <f>'סיכום לועדה- הזנת נתונים'!M57</f>
        <v>מיכל הרמן-תמיכה ביוצרת עצמאית</v>
      </c>
      <c r="N57" s="461">
        <f>'סיכום לועדה- הזנת נתונים'!N57</f>
        <v>295000</v>
      </c>
      <c r="O57" s="461">
        <f>'סיכום לועדה- הזנת נתונים'!O57</f>
        <v>50949</v>
      </c>
      <c r="P57" s="461">
        <f>'סיכום לועדה- הזנת נתונים'!P57</f>
        <v>47100.992027626424</v>
      </c>
      <c r="Q57" s="638">
        <f>'סיכום לועדה- הזנת נתונים'!Q57</f>
        <v>-7.552666337658398E-2</v>
      </c>
      <c r="R57" s="457">
        <f>'סיכום לועדה- הזנת נתונים'!R57</f>
        <v>0</v>
      </c>
      <c r="S57" s="457">
        <f>'סיכום לועדה- הזנת נתונים'!S57</f>
        <v>0</v>
      </c>
      <c r="T57" s="458">
        <f>'סיכום לועדה- הזנת נתונים'!T57</f>
        <v>0</v>
      </c>
      <c r="U57" s="384" t="str">
        <f>'סיכום לועדה- הזנת נתונים'!U57</f>
        <v>התמיכה מומלצת בהתאם למבחן התמיכה</v>
      </c>
    </row>
    <row r="58" spans="2:21" ht="32.25" thickBot="1" x14ac:dyDescent="0.3">
      <c r="B58" s="311">
        <f t="shared" si="0"/>
        <v>38</v>
      </c>
      <c r="C58" s="312" t="str">
        <f>'סיכום לועדה- הזנת נתונים'!C58</f>
        <v>מירב דגן</v>
      </c>
      <c r="D58" s="572">
        <f>'סיכום לועדה- הזנת נתונים'!D58</f>
        <v>1001827362</v>
      </c>
      <c r="E58" s="573">
        <f>'סיכום לועדה- הזנת נתונים'!E58</f>
        <v>1001735503</v>
      </c>
      <c r="F58" s="573">
        <f>'סיכום לועדה- הזנת נתונים'!F58</f>
        <v>2019</v>
      </c>
      <c r="G58" s="458">
        <f>'סיכום לועדה- הזנת נתונים'!G58</f>
        <v>1</v>
      </c>
      <c r="H58" s="458" t="str">
        <f>'סיכום לועדה- הזנת נתונים'!H58</f>
        <v/>
      </c>
      <c r="I58" s="624">
        <f>'סיכום לועדה- הזנת נתונים'!I58</f>
        <v>2025</v>
      </c>
      <c r="J58" s="624">
        <f>'סיכום לועדה- הזנת נתונים'!J58</f>
        <v>40000564</v>
      </c>
      <c r="K58" s="624">
        <f>'סיכום לועדה- הזנת נתונים'!K58</f>
        <v>580215333</v>
      </c>
      <c r="L58" s="459" t="str">
        <f>'סיכום לועדה- הזנת נתונים'!L58</f>
        <v>עמותת הכוריאוגרפים (ע"ר)</v>
      </c>
      <c r="M58" s="460" t="str">
        <f>'סיכום לועדה- הזנת נתונים'!M58</f>
        <v>מירב דגן-תמיכה ביוצרת עצמאית</v>
      </c>
      <c r="N58" s="461">
        <f>'סיכום לועדה- הזנת נתונים'!N58</f>
        <v>295000</v>
      </c>
      <c r="O58" s="461">
        <f>'סיכום לועדה- הזנת נתונים'!O58</f>
        <v>64954</v>
      </c>
      <c r="P58" s="461">
        <f>'סיכום לועדה- הזנת נתונים'!P58</f>
        <v>76204.978424139204</v>
      </c>
      <c r="Q58" s="638">
        <f>'סיכום לועדה- הזנת נתונים'!Q58</f>
        <v>0.17321455836652411</v>
      </c>
      <c r="R58" s="457">
        <f>'סיכום לועדה- הזנת נתונים'!R58</f>
        <v>0</v>
      </c>
      <c r="S58" s="457">
        <f>'סיכום לועדה- הזנת נתונים'!S58</f>
        <v>0</v>
      </c>
      <c r="T58" s="458">
        <f>'סיכום לועדה- הזנת נתונים'!T58</f>
        <v>0</v>
      </c>
      <c r="U58" s="384" t="str">
        <f>'סיכום לועדה- הזנת נתונים'!U58</f>
        <v>התמיכה מומלצת בהתאם למבחן התמיכה</v>
      </c>
    </row>
    <row r="59" spans="2:21" ht="16.5" thickBot="1" x14ac:dyDescent="0.3">
      <c r="B59" s="311">
        <f t="shared" si="0"/>
        <v>39</v>
      </c>
      <c r="C59" s="312" t="str">
        <f>'סיכום לועדה- הזנת נתונים'!C59</f>
        <v>תמר לם ודיוויד קרן</v>
      </c>
      <c r="D59" s="572">
        <f>'סיכום לועדה- הזנת נתונים'!D59</f>
        <v>1001827787</v>
      </c>
      <c r="E59" s="573">
        <f>'סיכום לועדה- הזנת נתונים'!E59</f>
        <v>1001735569</v>
      </c>
      <c r="F59" s="573">
        <f>'סיכום לועדה- הזנת נתונים'!F59</f>
        <v>2020</v>
      </c>
      <c r="G59" s="458">
        <f>'סיכום לועדה- הזנת נתונים'!G59</f>
        <v>1</v>
      </c>
      <c r="H59" s="458" t="str">
        <f>'סיכום לועדה- הזנת נתונים'!H59</f>
        <v/>
      </c>
      <c r="I59" s="624">
        <f>'סיכום לועדה- הזנת נתונים'!I59</f>
        <v>2025</v>
      </c>
      <c r="J59" s="624">
        <f>'סיכום לועדה- הזנת נתונים'!J59</f>
        <v>40000564</v>
      </c>
      <c r="K59" s="624">
        <f>'סיכום לועדה- הזנת נתונים'!K59</f>
        <v>580215333</v>
      </c>
      <c r="L59" s="459" t="str">
        <f>'סיכום לועדה- הזנת נתונים'!L59</f>
        <v>עמותת הכוריאוגרפים (ע"ר)</v>
      </c>
      <c r="M59" s="460" t="str">
        <f>'סיכום לועדה- הזנת נתונים'!M59</f>
        <v>תמר לם ודיוויד קרן-תמיכה ביוצרים עצמאיים</v>
      </c>
      <c r="N59" s="461">
        <f>'סיכום לועדה- הזנת נתונים'!N59</f>
        <v>295000</v>
      </c>
      <c r="O59" s="461">
        <f>'סיכום לועדה- הזנת נתונים'!O59</f>
        <v>44329</v>
      </c>
      <c r="P59" s="461">
        <f>'סיכום לועדה- הזנת נתונים'!P59</f>
        <v>50172.318265900605</v>
      </c>
      <c r="Q59" s="638">
        <f>'סיכום לועדה- הזנת נתונים'!Q59</f>
        <v>0.13181705578516567</v>
      </c>
      <c r="R59" s="457">
        <f>'סיכום לועדה- הזנת נתונים'!R59</f>
        <v>0</v>
      </c>
      <c r="S59" s="457">
        <f>'סיכום לועדה- הזנת נתונים'!S59</f>
        <v>0</v>
      </c>
      <c r="T59" s="458">
        <f>'סיכום לועדה- הזנת נתונים'!T59</f>
        <v>0</v>
      </c>
      <c r="U59" s="384">
        <f>'סיכום לועדה- הזנת נתונים'!U59</f>
        <v>0</v>
      </c>
    </row>
    <row r="60" spans="2:21" ht="32.25" thickBot="1" x14ac:dyDescent="0.3">
      <c r="B60" s="311">
        <f t="shared" si="0"/>
        <v>40</v>
      </c>
      <c r="C60" s="312" t="str">
        <f>'סיכום לועדה- הזנת נתונים'!C60</f>
        <v>סיגל ברגמן</v>
      </c>
      <c r="D60" s="572">
        <f>'סיכום לועדה- הזנת נתונים'!D60</f>
        <v>1001827703</v>
      </c>
      <c r="E60" s="573">
        <f>'סיכום לועדה- הזנת נתונים'!E60</f>
        <v>1001735521</v>
      </c>
      <c r="F60" s="573">
        <f>'סיכום לועדה- הזנת נתונים'!F60</f>
        <v>2020</v>
      </c>
      <c r="G60" s="458">
        <f>'סיכום לועדה- הזנת נתונים'!G60</f>
        <v>1</v>
      </c>
      <c r="H60" s="458" t="str">
        <f>'סיכום לועדה- הזנת נתונים'!H60</f>
        <v/>
      </c>
      <c r="I60" s="624">
        <f>'סיכום לועדה- הזנת נתונים'!I60</f>
        <v>2025</v>
      </c>
      <c r="J60" s="624">
        <f>'סיכום לועדה- הזנת נתונים'!J60</f>
        <v>40000564</v>
      </c>
      <c r="K60" s="624">
        <f>'סיכום לועדה- הזנת נתונים'!K60</f>
        <v>580215333</v>
      </c>
      <c r="L60" s="459" t="str">
        <f>'סיכום לועדה- הזנת נתונים'!L60</f>
        <v>עמותת הכוריאוגרפים (ע"ר)</v>
      </c>
      <c r="M60" s="460" t="str">
        <f>'סיכום לועדה- הזנת נתונים'!M60</f>
        <v>סיגל ברגמן - תמיכה ביוצרת עצמאית</v>
      </c>
      <c r="N60" s="461">
        <f>'סיכום לועדה- הזנת נתונים'!N60</f>
        <v>295000</v>
      </c>
      <c r="O60" s="461">
        <f>'סיכום לועדה- הזנת נתונים'!O60</f>
        <v>68033</v>
      </c>
      <c r="P60" s="461">
        <f>'סיכום לועדה- הזנת נתונים'!P60</f>
        <v>71654.83659769567</v>
      </c>
      <c r="Q60" s="638">
        <f>'סיכום לועדה- הזנת נתונים'!Q60</f>
        <v>5.3236467562736811E-2</v>
      </c>
      <c r="R60" s="457">
        <f>'סיכום לועדה- הזנת נתונים'!R60</f>
        <v>0</v>
      </c>
      <c r="S60" s="457">
        <f>'סיכום לועדה- הזנת נתונים'!S60</f>
        <v>0</v>
      </c>
      <c r="T60" s="458">
        <f>'סיכום לועדה- הזנת נתונים'!T60</f>
        <v>0</v>
      </c>
      <c r="U60" s="384" t="str">
        <f>'סיכום לועדה- הזנת נתונים'!U60</f>
        <v>התמיכה מומלצת בהתאם למבחן התמיכה</v>
      </c>
    </row>
    <row r="61" spans="2:21" ht="32.25" thickBot="1" x14ac:dyDescent="0.3">
      <c r="B61" s="311">
        <f t="shared" si="0"/>
        <v>41</v>
      </c>
      <c r="C61" s="312" t="str">
        <f>'סיכום לועדה- הזנת נתונים'!C61</f>
        <v>מעין ליבמן שרון</v>
      </c>
      <c r="D61" s="572">
        <f>'סיכום לועדה- הזנת נתונים'!D61</f>
        <v>1001827369</v>
      </c>
      <c r="E61" s="573">
        <f>'סיכום לועדה- הזנת נתונים'!E61</f>
        <v>1001735507</v>
      </c>
      <c r="F61" s="573">
        <f>'סיכום לועדה- הזנת נתונים'!F61</f>
        <v>2019</v>
      </c>
      <c r="G61" s="458">
        <f>'סיכום לועדה- הזנת נתונים'!G61</f>
        <v>1</v>
      </c>
      <c r="H61" s="458" t="str">
        <f>'סיכום לועדה- הזנת נתונים'!H61</f>
        <v/>
      </c>
      <c r="I61" s="624">
        <f>'סיכום לועדה- הזנת נתונים'!I61</f>
        <v>2025</v>
      </c>
      <c r="J61" s="624">
        <f>'סיכום לועדה- הזנת נתונים'!J61</f>
        <v>40000564</v>
      </c>
      <c r="K61" s="624">
        <f>'סיכום לועדה- הזנת נתונים'!K61</f>
        <v>580215333</v>
      </c>
      <c r="L61" s="459" t="str">
        <f>'סיכום לועדה- הזנת נתונים'!L61</f>
        <v>עמותת הכוריאוגרפים (ע"ר)</v>
      </c>
      <c r="M61" s="460" t="str">
        <f>'סיכום לועדה- הזנת נתונים'!M61</f>
        <v>מעין ליבמן שרון-תמיכה ביוצרת עצמאית</v>
      </c>
      <c r="N61" s="461">
        <f>'סיכום לועדה- הזנת נתונים'!N61</f>
        <v>295000</v>
      </c>
      <c r="O61" s="461">
        <f>'סיכום לועדה- הזנת נתונים'!O61</f>
        <v>75145</v>
      </c>
      <c r="P61" s="461">
        <f>'סיכום לועדה- הזנת נתונים'!P61</f>
        <v>85780.744948069259</v>
      </c>
      <c r="Q61" s="638">
        <f>'סיכום לועדה- הזנת נתונים'!Q61</f>
        <v>0.14153629580237226</v>
      </c>
      <c r="R61" s="457">
        <f>'סיכום לועדה- הזנת נתונים'!R61</f>
        <v>0</v>
      </c>
      <c r="S61" s="457">
        <f>'סיכום לועדה- הזנת נתונים'!S61</f>
        <v>0</v>
      </c>
      <c r="T61" s="458">
        <f>'סיכום לועדה- הזנת נתונים'!T61</f>
        <v>0</v>
      </c>
      <c r="U61" s="384" t="str">
        <f>'סיכום לועדה- הזנת נתונים'!U61</f>
        <v>התמיכה מומלצת בהתאם למבחן התמיכה</v>
      </c>
    </row>
    <row r="62" spans="2:21" ht="32.25" thickBot="1" x14ac:dyDescent="0.3">
      <c r="B62" s="311">
        <f t="shared" si="0"/>
        <v>42</v>
      </c>
      <c r="C62" s="312" t="str">
        <f>'סיכום לועדה- הזנת נתונים'!C62</f>
        <v>אודליה קופרברג</v>
      </c>
      <c r="D62" s="572">
        <f>'סיכום לועדה- הזנת נתונים'!D62</f>
        <v>1001827298</v>
      </c>
      <c r="E62" s="573">
        <f>'סיכום לועדה- הזנת נתונים'!E62</f>
        <v>1001735075</v>
      </c>
      <c r="F62" s="573">
        <f>'סיכום לועדה- הזנת נתונים'!F62</f>
        <v>2020</v>
      </c>
      <c r="G62" s="458">
        <f>'סיכום לועדה- הזנת נתונים'!G62</f>
        <v>1</v>
      </c>
      <c r="H62" s="458" t="str">
        <f>'סיכום לועדה- הזנת נתונים'!H62</f>
        <v/>
      </c>
      <c r="I62" s="624">
        <f>'סיכום לועדה- הזנת נתונים'!I62</f>
        <v>2025</v>
      </c>
      <c r="J62" s="624">
        <f>'סיכום לועדה- הזנת נתונים'!J62</f>
        <v>40000564</v>
      </c>
      <c r="K62" s="624">
        <f>'סיכום לועדה- הזנת נתונים'!K62</f>
        <v>580215333</v>
      </c>
      <c r="L62" s="459" t="str">
        <f>'סיכום לועדה- הזנת נתונים'!L62</f>
        <v>עמותת הכוריאוגרפים (ע"ר)</v>
      </c>
      <c r="M62" s="460" t="str">
        <f>'סיכום לועדה- הזנת נתונים'!M62</f>
        <v>אודליה קופרברג - תמיכה ביוצרת עצמאית</v>
      </c>
      <c r="N62" s="461">
        <f>'סיכום לועדה- הזנת נתונים'!N62</f>
        <v>295000</v>
      </c>
      <c r="O62" s="461">
        <f>'סיכום לועדה- הזנת נתונים'!O62</f>
        <v>50905</v>
      </c>
      <c r="P62" s="461">
        <f>'סיכום לועדה- הזנת נתונים'!P62</f>
        <v>54901.509227587936</v>
      </c>
      <c r="Q62" s="638">
        <f>'סיכום לועדה- הזנת נתונים'!Q62</f>
        <v>7.8509168600096935E-2</v>
      </c>
      <c r="R62" s="457">
        <f>'סיכום לועדה- הזנת נתונים'!R62</f>
        <v>0</v>
      </c>
      <c r="S62" s="457">
        <f>'סיכום לועדה- הזנת נתונים'!S62</f>
        <v>0</v>
      </c>
      <c r="T62" s="458">
        <f>'סיכום לועדה- הזנת נתונים'!T62</f>
        <v>0</v>
      </c>
      <c r="U62" s="384" t="str">
        <f>'סיכום לועדה- הזנת נתונים'!U62</f>
        <v>התמיכה מומלצת בהתאם למבחן התמיכה</v>
      </c>
    </row>
    <row r="63" spans="2:21" ht="32.25" thickBot="1" x14ac:dyDescent="0.3">
      <c r="B63" s="311">
        <f t="shared" si="0"/>
        <v>43</v>
      </c>
      <c r="C63" s="312" t="str">
        <f>'סיכום לועדה- הזנת נתונים'!C63</f>
        <v>נועה צוק</v>
      </c>
      <c r="D63" s="572">
        <f>'סיכום לועדה- הזנת נתונים'!D63</f>
        <v>1001827688</v>
      </c>
      <c r="E63" s="573">
        <f>'סיכום לועדה- הזנת נתונים'!E63</f>
        <v>1001735515</v>
      </c>
      <c r="F63" s="573">
        <f>'סיכום לועדה- הזנת נתונים'!F63</f>
        <v>2019</v>
      </c>
      <c r="G63" s="458">
        <f>'סיכום לועדה- הזנת נתונים'!G63</f>
        <v>1</v>
      </c>
      <c r="H63" s="458" t="str">
        <f>'סיכום לועדה- הזנת נתונים'!H63</f>
        <v/>
      </c>
      <c r="I63" s="624">
        <f>'סיכום לועדה- הזנת נתונים'!I63</f>
        <v>2025</v>
      </c>
      <c r="J63" s="624">
        <f>'סיכום לועדה- הזנת נתונים'!J63</f>
        <v>40000564</v>
      </c>
      <c r="K63" s="624">
        <f>'סיכום לועדה- הזנת נתונים'!K63</f>
        <v>580215333</v>
      </c>
      <c r="L63" s="459" t="str">
        <f>'סיכום לועדה- הזנת נתונים'!L63</f>
        <v>עמותת הכוריאוגרפים (ע"ר)</v>
      </c>
      <c r="M63" s="460" t="str">
        <f>'סיכום לועדה- הזנת נתונים'!M63</f>
        <v>נעה צוק - תמיכה ביוצרת עצמאית</v>
      </c>
      <c r="N63" s="461">
        <f>'סיכום לועדה- הזנת נתונים'!N63</f>
        <v>295000</v>
      </c>
      <c r="O63" s="461">
        <f>'סיכום לועדה- הזנת נתונים'!O63</f>
        <v>67993</v>
      </c>
      <c r="P63" s="461">
        <f>'סיכום לועדה- הזנת נתונים'!P63</f>
        <v>87659.146440685232</v>
      </c>
      <c r="Q63" s="638">
        <f>'סיכום לועדה- הזנת נתונים'!Q63</f>
        <v>0.28923781037290941</v>
      </c>
      <c r="R63" s="457">
        <f>'סיכום לועדה- הזנת נתונים'!R63</f>
        <v>0</v>
      </c>
      <c r="S63" s="457">
        <f>'סיכום לועדה- הזנת נתונים'!S63</f>
        <v>0</v>
      </c>
      <c r="T63" s="458">
        <f>'סיכום לועדה- הזנת נתונים'!T63</f>
        <v>0</v>
      </c>
      <c r="U63" s="384" t="str">
        <f>'סיכום לועדה- הזנת נתונים'!U63</f>
        <v>התמיכה מומלצת בהתאם למבחן התמיכה</v>
      </c>
    </row>
    <row r="64" spans="2:21" ht="32.25" thickBot="1" x14ac:dyDescent="0.3">
      <c r="B64" s="311">
        <f t="shared" si="0"/>
        <v>44</v>
      </c>
      <c r="C64" s="312" t="str">
        <f>'סיכום לועדה- הזנת נתונים'!C64</f>
        <v>נטע פולברמכר</v>
      </c>
      <c r="D64" s="572">
        <f>'סיכום לועדה- הזנת נתונים'!D64</f>
        <v>1001827680</v>
      </c>
      <c r="E64" s="573">
        <f>'סיכום לועדה- הזנת נתונים'!E64</f>
        <v>1001735511</v>
      </c>
      <c r="F64" s="573">
        <f>'סיכום לועדה- הזנת נתונים'!F64</f>
        <v>2019</v>
      </c>
      <c r="G64" s="458">
        <f>'סיכום לועדה- הזנת נתונים'!G64</f>
        <v>1</v>
      </c>
      <c r="H64" s="458" t="str">
        <f>'סיכום לועדה- הזנת נתונים'!H64</f>
        <v/>
      </c>
      <c r="I64" s="624">
        <f>'סיכום לועדה- הזנת נתונים'!I64</f>
        <v>2025</v>
      </c>
      <c r="J64" s="624">
        <f>'סיכום לועדה- הזנת נתונים'!J64</f>
        <v>40000564</v>
      </c>
      <c r="K64" s="624">
        <f>'סיכום לועדה- הזנת נתונים'!K64</f>
        <v>580215333</v>
      </c>
      <c r="L64" s="459" t="str">
        <f>'סיכום לועדה- הזנת נתונים'!L64</f>
        <v>עמותת הכוריאוגרפים (ע"ר)</v>
      </c>
      <c r="M64" s="460" t="str">
        <f>'סיכום לועדה- הזנת נתונים'!M64</f>
        <v>נטע פולברמכר - תמיכה ביוצרת עצמאית</v>
      </c>
      <c r="N64" s="461">
        <f>'סיכום לועדה- הזנת נתונים'!N64</f>
        <v>295000</v>
      </c>
      <c r="O64" s="461">
        <f>'סיכום לועדה- הזנת נתונים'!O64</f>
        <v>88721</v>
      </c>
      <c r="P64" s="461">
        <f>'סיכום לועדה- הזנת נתונים'!P64</f>
        <v>87692.594136023836</v>
      </c>
      <c r="Q64" s="638">
        <f>'סיכום לועדה- הזנת נתונים'!Q64</f>
        <v>-1.1591459338557542E-2</v>
      </c>
      <c r="R64" s="457">
        <f>'סיכום לועדה- הזנת נתונים'!R64</f>
        <v>0</v>
      </c>
      <c r="S64" s="457">
        <f>'סיכום לועדה- הזנת נתונים'!S64</f>
        <v>0</v>
      </c>
      <c r="T64" s="458">
        <f>'סיכום לועדה- הזנת נתונים'!T64</f>
        <v>0</v>
      </c>
      <c r="U64" s="384" t="str">
        <f>'סיכום לועדה- הזנת נתונים'!U64</f>
        <v>התמיכה מומלצת בהתאם למבחן התמיכה</v>
      </c>
    </row>
    <row r="65" spans="2:21" ht="32.25" thickBot="1" x14ac:dyDescent="0.3">
      <c r="B65" s="311">
        <f t="shared" si="0"/>
        <v>45</v>
      </c>
      <c r="C65" s="312" t="str">
        <f>'סיכום לועדה- הזנת נתונים'!C65</f>
        <v>ניב שינפלד ואורן לאור</v>
      </c>
      <c r="D65" s="572">
        <f>'סיכום לועדה- הזנת נתונים'!D65</f>
        <v>1001829548</v>
      </c>
      <c r="E65" s="573">
        <f>'סיכום לועדה- הזנת נתונים'!E65</f>
        <v>1001722728</v>
      </c>
      <c r="F65" s="573">
        <f>'סיכום לועדה- הזנת נתונים'!F65</f>
        <v>2022</v>
      </c>
      <c r="G65" s="458">
        <f>'סיכום לועדה- הזנת נתונים'!G65</f>
        <v>0</v>
      </c>
      <c r="H65" s="458" t="str">
        <f>'סיכום לועדה- הזנת נתונים'!H65</f>
        <v/>
      </c>
      <c r="I65" s="624">
        <f>'סיכום לועדה- הזנת נתונים'!I65</f>
        <v>2025</v>
      </c>
      <c r="J65" s="624">
        <f>'סיכום לועדה- הזנת נתונים'!J65</f>
        <v>41489885</v>
      </c>
      <c r="K65" s="624">
        <f>'סיכום לועדה- הזנת נתונים'!K65</f>
        <v>580632479</v>
      </c>
      <c r="L65" s="459" t="str">
        <f>'סיכום לועדה- הזנת נתונים'!L65</f>
        <v>עמותה למחול ואמנויות ניב שינפלד ואו</v>
      </c>
      <c r="M65" s="460" t="str">
        <f>'סיכום לועדה- הזנת נתונים'!M65</f>
        <v>תמיכה ביוצרים ניב שינפלד ואורן לאור</v>
      </c>
      <c r="N65" s="461">
        <f>'סיכום לועדה- הזנת נתונים'!N65</f>
        <v>360000</v>
      </c>
      <c r="O65" s="461">
        <f>'סיכום לועדה- הזנת נתונים'!O65</f>
        <v>219130</v>
      </c>
      <c r="P65" s="461">
        <f>'סיכום לועדה- הזנת נתונים'!P65</f>
        <v>230514.79311682351</v>
      </c>
      <c r="Q65" s="638">
        <f>'סיכום לועדה- הזנת נתונים'!Q65</f>
        <v>5.1954516117480587E-2</v>
      </c>
      <c r="R65" s="457">
        <f>'סיכום לועדה- הזנת נתונים'!R65</f>
        <v>0</v>
      </c>
      <c r="S65" s="457">
        <f>'סיכום לועדה- הזנת נתונים'!S65</f>
        <v>0</v>
      </c>
      <c r="T65" s="458">
        <f>'סיכום לועדה- הזנת נתונים'!T65</f>
        <v>0</v>
      </c>
      <c r="U65" s="384" t="str">
        <f>'סיכום לועדה- הזנת נתונים'!U65</f>
        <v>התמיכה מומלצת בהתאם למבחן התמיכה</v>
      </c>
    </row>
    <row r="66" spans="2:21" ht="32.25" thickBot="1" x14ac:dyDescent="0.3">
      <c r="B66" s="311">
        <f t="shared" si="0"/>
        <v>46</v>
      </c>
      <c r="C66" s="312" t="str">
        <f>'סיכום לועדה- הזנת נתונים'!C66</f>
        <v>נימה יעקובי</v>
      </c>
      <c r="D66" s="572">
        <f>'סיכום לועדה- הזנת נתונים'!D66</f>
        <v>1001827684</v>
      </c>
      <c r="E66" s="573">
        <f>'סיכום לועדה- הזנת נתונים'!E66</f>
        <v>1001735512</v>
      </c>
      <c r="F66" s="573">
        <f>'סיכום לועדה- הזנת נתונים'!F66</f>
        <v>2019</v>
      </c>
      <c r="G66" s="458">
        <f>'סיכום לועדה- הזנת נתונים'!G66</f>
        <v>1</v>
      </c>
      <c r="H66" s="458" t="str">
        <f>'סיכום לועדה- הזנת נתונים'!H66</f>
        <v/>
      </c>
      <c r="I66" s="624">
        <f>'סיכום לועדה- הזנת נתונים'!I66</f>
        <v>2025</v>
      </c>
      <c r="J66" s="624">
        <f>'סיכום לועדה- הזנת נתונים'!J66</f>
        <v>40000564</v>
      </c>
      <c r="K66" s="624">
        <f>'סיכום לועדה- הזנת נתונים'!K66</f>
        <v>580215333</v>
      </c>
      <c r="L66" s="459" t="str">
        <f>'סיכום לועדה- הזנת נתונים'!L66</f>
        <v>עמותת הכוריאוגרפים (ע"ר)</v>
      </c>
      <c r="M66" s="460" t="str">
        <f>'סיכום לועדה- הזנת נתונים'!M66</f>
        <v>נימה יעקובי - תמיכה ביוצרת עצמאית</v>
      </c>
      <c r="N66" s="461">
        <f>'סיכום לועדה- הזנת נתונים'!N66</f>
        <v>295000</v>
      </c>
      <c r="O66" s="461">
        <f>'סיכום לועדה- הזנת נתונים'!O66</f>
        <v>147533</v>
      </c>
      <c r="P66" s="461">
        <f>'סיכום לועדה- הזנת נתונים'!P66</f>
        <v>177627.2408311023</v>
      </c>
      <c r="Q66" s="638">
        <f>'סיכום לועדה- הזנת נתונים'!Q66</f>
        <v>0.20398311449711115</v>
      </c>
      <c r="R66" s="457">
        <f>'סיכום לועדה- הזנת נתונים'!R66</f>
        <v>0</v>
      </c>
      <c r="S66" s="457">
        <f>'סיכום לועדה- הזנת נתונים'!S66</f>
        <v>0</v>
      </c>
      <c r="T66" s="458">
        <f>'סיכום לועדה- הזנת נתונים'!T66</f>
        <v>0</v>
      </c>
      <c r="U66" s="384" t="str">
        <f>'סיכום לועדה- הזנת נתונים'!U66</f>
        <v>התמיכה מומלצת בהתאם למבחן התמיכה</v>
      </c>
    </row>
    <row r="67" spans="2:21" ht="32.25" thickBot="1" x14ac:dyDescent="0.3">
      <c r="B67" s="311">
        <f t="shared" si="0"/>
        <v>47</v>
      </c>
      <c r="C67" s="312" t="str">
        <f>'סיכום לועדה- הזנת נתונים'!C67</f>
        <v>נמרוד פריד</v>
      </c>
      <c r="D67" s="572">
        <f>'סיכום לועדה- הזנת נתונים'!D67</f>
        <v>1001827685</v>
      </c>
      <c r="E67" s="573">
        <f>'סיכום לועדה- הזנת נתונים'!E67</f>
        <v>1001735513</v>
      </c>
      <c r="F67" s="573">
        <f>'סיכום לועדה- הזנת נתונים'!F67</f>
        <v>2022</v>
      </c>
      <c r="G67" s="458">
        <f>'סיכום לועדה- הזנת נתונים'!G67</f>
        <v>0</v>
      </c>
      <c r="H67" s="458" t="str">
        <f>'סיכום לועדה- הזנת נתונים'!H67</f>
        <v/>
      </c>
      <c r="I67" s="624">
        <f>'סיכום לועדה- הזנת נתונים'!I67</f>
        <v>2025</v>
      </c>
      <c r="J67" s="624">
        <f>'סיכום לועדה- הזנת נתונים'!J67</f>
        <v>40000564</v>
      </c>
      <c r="K67" s="624">
        <f>'סיכום לועדה- הזנת נתונים'!K67</f>
        <v>580215333</v>
      </c>
      <c r="L67" s="459" t="str">
        <f>'סיכום לועדה- הזנת נתונים'!L67</f>
        <v>עמותת הכוריאוגרפים (ע"ר)</v>
      </c>
      <c r="M67" s="460" t="str">
        <f>'סיכום לועדה- הזנת נתונים'!M67</f>
        <v>נמרוד פריד- תמיכה ביוצר עצמאי</v>
      </c>
      <c r="N67" s="461">
        <f>'סיכום לועדה- הזנת נתונים'!N67</f>
        <v>295000</v>
      </c>
      <c r="O67" s="461">
        <f>'סיכום לועדה- הזנת נתונים'!O67</f>
        <v>61023</v>
      </c>
      <c r="P67" s="461">
        <f>'סיכום לועדה- הזנת נתונים'!P67</f>
        <v>57317.825615401831</v>
      </c>
      <c r="Q67" s="638">
        <f>'סיכום לועדה- הזנת נתונים'!Q67</f>
        <v>-6.0717670134181723E-2</v>
      </c>
      <c r="R67" s="457">
        <f>'סיכום לועדה- הזנת נתונים'!R67</f>
        <v>0</v>
      </c>
      <c r="S67" s="457">
        <f>'סיכום לועדה- הזנת נתונים'!S67</f>
        <v>0</v>
      </c>
      <c r="T67" s="458">
        <f>'סיכום לועדה- הזנת נתונים'!T67</f>
        <v>0</v>
      </c>
      <c r="U67" s="384" t="str">
        <f>'סיכום לועדה- הזנת נתונים'!U67</f>
        <v>התמיכה מומלצת בהתאם למבחן התמיכה</v>
      </c>
    </row>
    <row r="68" spans="2:21" ht="32.25" thickBot="1" x14ac:dyDescent="0.3">
      <c r="B68" s="311">
        <f t="shared" si="0"/>
        <v>48</v>
      </c>
      <c r="C68" s="312" t="str">
        <f>'סיכום לועדה- הזנת נתונים'!C68</f>
        <v>נעה דר</v>
      </c>
      <c r="D68" s="572">
        <f>'סיכום לועדה- הזנת נתונים'!D68</f>
        <v>1001827686</v>
      </c>
      <c r="E68" s="573">
        <f>'סיכום לועדה- הזנת נתונים'!E68</f>
        <v>1001735514</v>
      </c>
      <c r="F68" s="573">
        <f>'סיכום לועדה- הזנת נתונים'!F68</f>
        <v>2022</v>
      </c>
      <c r="G68" s="458">
        <f>'סיכום לועדה- הזנת נתונים'!G68</f>
        <v>0</v>
      </c>
      <c r="H68" s="458" t="str">
        <f>'סיכום לועדה- הזנת נתונים'!H68</f>
        <v/>
      </c>
      <c r="I68" s="624">
        <f>'סיכום לועדה- הזנת נתונים'!I68</f>
        <v>2025</v>
      </c>
      <c r="J68" s="624">
        <f>'סיכום לועדה- הזנת נתונים'!J68</f>
        <v>40000564</v>
      </c>
      <c r="K68" s="624">
        <f>'סיכום לועדה- הזנת נתונים'!K68</f>
        <v>580215333</v>
      </c>
      <c r="L68" s="459" t="str">
        <f>'סיכום לועדה- הזנת נתונים'!L68</f>
        <v>עמותת הכוריאוגרפים (ע"ר)</v>
      </c>
      <c r="M68" s="460" t="str">
        <f>'סיכום לועדה- הזנת נתונים'!M68</f>
        <v>נעה דר - תמיכה ביוצרת עצמאית</v>
      </c>
      <c r="N68" s="461">
        <f>'סיכום לועדה- הזנת נתונים'!N68</f>
        <v>295000</v>
      </c>
      <c r="O68" s="461">
        <f>'סיכום לועדה- הזנת נתונים'!O68</f>
        <v>120357</v>
      </c>
      <c r="P68" s="461">
        <f>'סיכום לועדה- הזנת נתונים'!P68</f>
        <v>108324.59493064167</v>
      </c>
      <c r="Q68" s="638">
        <f>'סיכום לועדה- הזנת נתונים'!Q68</f>
        <v>-9.9972623689177365E-2</v>
      </c>
      <c r="R68" s="457">
        <f>'סיכום לועדה- הזנת נתונים'!R68</f>
        <v>0</v>
      </c>
      <c r="S68" s="457">
        <f>'סיכום לועדה- הזנת נתונים'!S68</f>
        <v>0</v>
      </c>
      <c r="T68" s="458">
        <f>'סיכום לועדה- הזנת נתונים'!T68</f>
        <v>0</v>
      </c>
      <c r="U68" s="384" t="str">
        <f>'סיכום לועדה- הזנת נתונים'!U68</f>
        <v>התמיכה מומלצת בהתאם למבחן התמיכה</v>
      </c>
    </row>
    <row r="69" spans="2:21" ht="32.25" thickBot="1" x14ac:dyDescent="0.3">
      <c r="B69" s="311">
        <f t="shared" si="0"/>
        <v>49</v>
      </c>
      <c r="C69" s="312" t="str">
        <f>'סיכום לועדה- הזנת נתונים'!C69</f>
        <v>נעה שדור</v>
      </c>
      <c r="D69" s="572">
        <f>'סיכום לועדה- הזנת נתונים'!D69</f>
        <v>1001827700</v>
      </c>
      <c r="E69" s="573">
        <f>'סיכום לועדה- הזנת נתונים'!E69</f>
        <v>1001735516</v>
      </c>
      <c r="F69" s="573">
        <f>'סיכום לועדה- הזנת נתונים'!F69</f>
        <v>2022</v>
      </c>
      <c r="G69" s="458">
        <f>'סיכום לועדה- הזנת נתונים'!G69</f>
        <v>0</v>
      </c>
      <c r="H69" s="458" t="str">
        <f>'סיכום לועדה- הזנת נתונים'!H69</f>
        <v/>
      </c>
      <c r="I69" s="624">
        <f>'סיכום לועדה- הזנת נתונים'!I69</f>
        <v>2025</v>
      </c>
      <c r="J69" s="624">
        <f>'סיכום לועדה- הזנת נתונים'!J69</f>
        <v>40000564</v>
      </c>
      <c r="K69" s="624">
        <f>'סיכום לועדה- הזנת נתונים'!K69</f>
        <v>580215333</v>
      </c>
      <c r="L69" s="459" t="str">
        <f>'סיכום לועדה- הזנת נתונים'!L69</f>
        <v>עמותת הכוריאוגרפים (ע"ר)</v>
      </c>
      <c r="M69" s="460" t="str">
        <f>'סיכום לועדה- הזנת נתונים'!M69</f>
        <v>נעה שדור - תמיכה ביוצרת עצמאית</v>
      </c>
      <c r="N69" s="461">
        <f>'סיכום לועדה- הזנת נתונים'!N69</f>
        <v>295000</v>
      </c>
      <c r="O69" s="461">
        <f>'סיכום לועדה- הזנת נתונים'!O69</f>
        <v>39601</v>
      </c>
      <c r="P69" s="461">
        <f>'סיכום לועדה- הזנת נתונים'!P69</f>
        <v>45664.255160527464</v>
      </c>
      <c r="Q69" s="638">
        <f>'סיכום לועדה- הזנת נתונים'!Q69</f>
        <v>0.15310863767398453</v>
      </c>
      <c r="R69" s="457">
        <f>'סיכום לועדה- הזנת נתונים'!R69</f>
        <v>0</v>
      </c>
      <c r="S69" s="457">
        <f>'סיכום לועדה- הזנת נתונים'!S69</f>
        <v>0</v>
      </c>
      <c r="T69" s="458">
        <f>'סיכום לועדה- הזנת נתונים'!T69</f>
        <v>0</v>
      </c>
      <c r="U69" s="384" t="str">
        <f>'סיכום לועדה- הזנת נתונים'!U69</f>
        <v>התמיכה מומלצת בהתאם למבחן התמיכה</v>
      </c>
    </row>
    <row r="70" spans="2:21" ht="32.25" thickBot="1" x14ac:dyDescent="0.3">
      <c r="B70" s="311">
        <f t="shared" si="0"/>
        <v>50</v>
      </c>
      <c r="C70" s="312" t="str">
        <f>'סיכום לועדה- הזנת נתונים'!C70</f>
        <v>סאלי אן פרילנד</v>
      </c>
      <c r="D70" s="572">
        <f>'סיכום לועדה- הזנת נתונים'!D70</f>
        <v>1001827701</v>
      </c>
      <c r="E70" s="573">
        <f>'סיכום לועדה- הזנת נתונים'!E70</f>
        <v>1001735517</v>
      </c>
      <c r="F70" s="573">
        <f>'סיכום לועדה- הזנת נתונים'!F70</f>
        <v>2022</v>
      </c>
      <c r="G70" s="458">
        <f>'סיכום לועדה- הזנת נתונים'!G70</f>
        <v>0</v>
      </c>
      <c r="H70" s="458" t="str">
        <f>'סיכום לועדה- הזנת נתונים'!H70</f>
        <v/>
      </c>
      <c r="I70" s="624">
        <f>'סיכום לועדה- הזנת נתונים'!I70</f>
        <v>2025</v>
      </c>
      <c r="J70" s="624">
        <f>'סיכום לועדה- הזנת נתונים'!J70</f>
        <v>40000564</v>
      </c>
      <c r="K70" s="624">
        <f>'סיכום לועדה- הזנת נתונים'!K70</f>
        <v>580215333</v>
      </c>
      <c r="L70" s="459" t="str">
        <f>'סיכום לועדה- הזנת נתונים'!L70</f>
        <v>עמותת הכוריאוגרפים (ע"ר)</v>
      </c>
      <c r="M70" s="460" t="str">
        <f>'סיכום לועדה- הזנת נתונים'!M70</f>
        <v>סאלי אן פרידלנד-תמיכה ביוצרת עצמאית</v>
      </c>
      <c r="N70" s="461">
        <f>'סיכום לועדה- הזנת נתונים'!N70</f>
        <v>295000</v>
      </c>
      <c r="O70" s="461">
        <f>'סיכום לועדה- הזנת נתונים'!O70</f>
        <v>63942</v>
      </c>
      <c r="P70" s="461">
        <f>'סיכום לועדה- הזנת נתונים'!P70</f>
        <v>57408.2809188467</v>
      </c>
      <c r="Q70" s="638">
        <f>'סיכום לועדה- הזנת נתונים'!Q70</f>
        <v>-0.10218196304703164</v>
      </c>
      <c r="R70" s="457">
        <f>'סיכום לועדה- הזנת נתונים'!R70</f>
        <v>0</v>
      </c>
      <c r="S70" s="457">
        <f>'סיכום לועדה- הזנת נתונים'!S70</f>
        <v>0</v>
      </c>
      <c r="T70" s="458">
        <f>'סיכום לועדה- הזנת נתונים'!T70</f>
        <v>0</v>
      </c>
      <c r="U70" s="384" t="str">
        <f>'סיכום לועדה- הזנת נתונים'!U70</f>
        <v>התמיכה מומלצת בהתאם למבחן התמיכה</v>
      </c>
    </row>
    <row r="71" spans="2:21" ht="32.25" thickBot="1" x14ac:dyDescent="0.3">
      <c r="B71" s="311">
        <f t="shared" si="0"/>
        <v>51</v>
      </c>
      <c r="C71" s="312" t="str">
        <f>'סיכום לועדה- הזנת נתונים'!C71</f>
        <v>סהר עזימי</v>
      </c>
      <c r="D71" s="572">
        <f>'סיכום לועדה- הזנת נתונים'!D71</f>
        <v>1001827702</v>
      </c>
      <c r="E71" s="573">
        <f>'סיכום לועדה- הזנת נתונים'!E71</f>
        <v>1001735518</v>
      </c>
      <c r="F71" s="573">
        <f>'סיכום לועדה- הזנת נתונים'!F71</f>
        <v>2022</v>
      </c>
      <c r="G71" s="458">
        <f>'סיכום לועדה- הזנת נתונים'!G71</f>
        <v>0</v>
      </c>
      <c r="H71" s="458" t="str">
        <f>'סיכום לועדה- הזנת נתונים'!H71</f>
        <v/>
      </c>
      <c r="I71" s="624">
        <f>'סיכום לועדה- הזנת נתונים'!I71</f>
        <v>2025</v>
      </c>
      <c r="J71" s="624">
        <f>'סיכום לועדה- הזנת נתונים'!J71</f>
        <v>40000564</v>
      </c>
      <c r="K71" s="624">
        <f>'סיכום לועדה- הזנת נתונים'!K71</f>
        <v>580215333</v>
      </c>
      <c r="L71" s="459" t="str">
        <f>'סיכום לועדה- הזנת נתונים'!L71</f>
        <v>עמותת הכוריאוגרפים (ע"ר)</v>
      </c>
      <c r="M71" s="460" t="str">
        <f>'סיכום לועדה- הזנת נתונים'!M71</f>
        <v>סהר עזימי - תמיכה ביוצר עצמאי</v>
      </c>
      <c r="N71" s="461">
        <f>'סיכום לועדה- הזנת נתונים'!N71</f>
        <v>295000</v>
      </c>
      <c r="O71" s="461">
        <f>'סיכום לועדה- הזנת נתונים'!O71</f>
        <v>79144</v>
      </c>
      <c r="P71" s="461">
        <f>'סיכום לועדה- הזנת נתונים'!P71</f>
        <v>72648.154513605972</v>
      </c>
      <c r="Q71" s="638">
        <f>'סיכום לועדה- הזנת נתונים'!Q71</f>
        <v>-8.2076284827580448E-2</v>
      </c>
      <c r="R71" s="457">
        <f>'סיכום לועדה- הזנת נתונים'!R71</f>
        <v>0</v>
      </c>
      <c r="S71" s="457">
        <f>'סיכום לועדה- הזנת נתונים'!S71</f>
        <v>0</v>
      </c>
      <c r="T71" s="458">
        <f>'סיכום לועדה- הזנת נתונים'!T71</f>
        <v>0</v>
      </c>
      <c r="U71" s="384" t="str">
        <f>'סיכום לועדה- הזנת נתונים'!U71</f>
        <v>התמיכה מומלצת בהתאם למבחן התמיכה</v>
      </c>
    </row>
    <row r="72" spans="2:21" ht="32.25" thickBot="1" x14ac:dyDescent="0.3">
      <c r="B72" s="311">
        <f t="shared" si="0"/>
        <v>52</v>
      </c>
      <c r="C72" s="312" t="str">
        <f>'סיכום לועדה- הזנת נתונים'!C72</f>
        <v>עדו פדר</v>
      </c>
      <c r="D72" s="572">
        <f>'סיכום לועדה- הזנת נתונים'!D72</f>
        <v>1001827705</v>
      </c>
      <c r="E72" s="573">
        <f>'סיכום לועדה- הזנת נתונים'!E72</f>
        <v>1001735523</v>
      </c>
      <c r="F72" s="573">
        <f>'סיכום לועדה- הזנת נתונים'!F72</f>
        <v>2022</v>
      </c>
      <c r="G72" s="458">
        <f>'סיכום לועדה- הזנת נתונים'!G72</f>
        <v>0</v>
      </c>
      <c r="H72" s="458" t="str">
        <f>'סיכום לועדה- הזנת נתונים'!H72</f>
        <v/>
      </c>
      <c r="I72" s="624">
        <f>'סיכום לועדה- הזנת נתונים'!I72</f>
        <v>2025</v>
      </c>
      <c r="J72" s="624">
        <f>'סיכום לועדה- הזנת נתונים'!J72</f>
        <v>40000564</v>
      </c>
      <c r="K72" s="624">
        <f>'סיכום לועדה- הזנת נתונים'!K72</f>
        <v>580215333</v>
      </c>
      <c r="L72" s="459" t="str">
        <f>'סיכום לועדה- הזנת נתונים'!L72</f>
        <v>עמותת הכוריאוגרפים (ע"ר)</v>
      </c>
      <c r="M72" s="460" t="str">
        <f>'סיכום לועדה- הזנת נתונים'!M72</f>
        <v>עדו פדר-תמיכה ביוצר עצמאי</v>
      </c>
      <c r="N72" s="461">
        <f>'סיכום לועדה- הזנת נתונים'!N72</f>
        <v>295000</v>
      </c>
      <c r="O72" s="461">
        <f>'סיכום לועדה- הזנת נתונים'!O72</f>
        <v>57397</v>
      </c>
      <c r="P72" s="461">
        <f>'סיכום לועדה- הזנת נתונים'!P72</f>
        <v>58935.978887936573</v>
      </c>
      <c r="Q72" s="638">
        <f>'סיכום לועדה- הזנת נתונים'!Q72</f>
        <v>2.6812880253960447E-2</v>
      </c>
      <c r="R72" s="457">
        <f>'סיכום לועדה- הזנת נתונים'!R72</f>
        <v>0</v>
      </c>
      <c r="S72" s="457">
        <f>'סיכום לועדה- הזנת נתונים'!S72</f>
        <v>0</v>
      </c>
      <c r="T72" s="458">
        <f>'סיכום לועדה- הזנת נתונים'!T72</f>
        <v>0</v>
      </c>
      <c r="U72" s="384" t="str">
        <f>'סיכום לועדה- הזנת נתונים'!U72</f>
        <v>התמיכה מומלצת בהתאם למבחן התמיכה</v>
      </c>
    </row>
    <row r="73" spans="2:21" ht="32.25" thickBot="1" x14ac:dyDescent="0.3">
      <c r="B73" s="311">
        <f t="shared" si="0"/>
        <v>53</v>
      </c>
      <c r="C73" s="312" t="str">
        <f>'סיכום לועדה- הזנת נתונים'!C73</f>
        <v>עודד רונן</v>
      </c>
      <c r="D73" s="572">
        <f>'סיכום לועדה- הזנת נתונים'!D73</f>
        <v>1001827706</v>
      </c>
      <c r="E73" s="573">
        <f>'סיכום לועדה- הזנת נתונים'!E73</f>
        <v>1001735525</v>
      </c>
      <c r="F73" s="573">
        <f>'סיכום לועדה- הזנת נתונים'!F73</f>
        <v>2022</v>
      </c>
      <c r="G73" s="458">
        <f>'סיכום לועדה- הזנת נתונים'!G73</f>
        <v>0</v>
      </c>
      <c r="H73" s="458" t="str">
        <f>'סיכום לועדה- הזנת נתונים'!H73</f>
        <v/>
      </c>
      <c r="I73" s="624">
        <f>'סיכום לועדה- הזנת נתונים'!I73</f>
        <v>2025</v>
      </c>
      <c r="J73" s="624">
        <f>'סיכום לועדה- הזנת נתונים'!J73</f>
        <v>40000564</v>
      </c>
      <c r="K73" s="624">
        <f>'סיכום לועדה- הזנת נתונים'!K73</f>
        <v>580215333</v>
      </c>
      <c r="L73" s="459" t="str">
        <f>'סיכום לועדה- הזנת נתונים'!L73</f>
        <v>עמותת הכוריאוגרפים (ע"ר)</v>
      </c>
      <c r="M73" s="460" t="str">
        <f>'סיכום לועדה- הזנת נתונים'!M73</f>
        <v>עודד רונן - תמיכה ביוצר עצמאי</v>
      </c>
      <c r="N73" s="461">
        <f>'סיכום לועדה- הזנת נתונים'!N73</f>
        <v>295000</v>
      </c>
      <c r="O73" s="461">
        <f>'סיכום לועדה- הזנת נתונים'!O73</f>
        <v>55682</v>
      </c>
      <c r="P73" s="461">
        <f>'סיכום לועדה- הזנת נתונים'!P73</f>
        <v>56094.934202090648</v>
      </c>
      <c r="Q73" s="638">
        <f>'סיכום לועדה- הזנת נתונים'!Q73</f>
        <v>7.4159369650990126E-3</v>
      </c>
      <c r="R73" s="457">
        <f>'סיכום לועדה- הזנת נתונים'!R73</f>
        <v>0</v>
      </c>
      <c r="S73" s="457">
        <f>'סיכום לועדה- הזנת נתונים'!S73</f>
        <v>0</v>
      </c>
      <c r="T73" s="458">
        <f>'סיכום לועדה- הזנת נתונים'!T73</f>
        <v>0</v>
      </c>
      <c r="U73" s="384" t="str">
        <f>'סיכום לועדה- הזנת נתונים'!U73</f>
        <v>התמיכה מומלצת בהתאם למבחן התמיכה</v>
      </c>
    </row>
    <row r="74" spans="2:21" ht="32.25" thickBot="1" x14ac:dyDescent="0.3">
      <c r="B74" s="311">
        <f t="shared" si="0"/>
        <v>54</v>
      </c>
      <c r="C74" s="312" t="str">
        <f>'סיכום לועדה- הזנת נתונים'!C74</f>
        <v>עידן כהן</v>
      </c>
      <c r="D74" s="572">
        <f>'סיכום לועדה- הזנת נתונים'!D74</f>
        <v>1001827709</v>
      </c>
      <c r="E74" s="573">
        <f>'סיכום לועדה- הזנת נתונים'!E74</f>
        <v>1001735526</v>
      </c>
      <c r="F74" s="573">
        <f>'סיכום לועדה- הזנת נתונים'!F74</f>
        <v>2022</v>
      </c>
      <c r="G74" s="458">
        <f>'סיכום לועדה- הזנת נתונים'!G74</f>
        <v>0</v>
      </c>
      <c r="H74" s="458" t="str">
        <f>'סיכום לועדה- הזנת נתונים'!H74</f>
        <v/>
      </c>
      <c r="I74" s="624">
        <f>'סיכום לועדה- הזנת נתונים'!I74</f>
        <v>2025</v>
      </c>
      <c r="J74" s="624">
        <f>'סיכום לועדה- הזנת נתונים'!J74</f>
        <v>40000564</v>
      </c>
      <c r="K74" s="624">
        <f>'סיכום לועדה- הזנת נתונים'!K74</f>
        <v>580215333</v>
      </c>
      <c r="L74" s="459" t="str">
        <f>'סיכום לועדה- הזנת נתונים'!L74</f>
        <v>עמותת הכוריאוגרפים (ע"ר)</v>
      </c>
      <c r="M74" s="460" t="str">
        <f>'סיכום לועדה- הזנת נתונים'!M74</f>
        <v>עידן כהן - תמיכה ביוצר עצמאי</v>
      </c>
      <c r="N74" s="461">
        <f>'סיכום לועדה- הזנת נתונים'!N74</f>
        <v>295000</v>
      </c>
      <c r="O74" s="461">
        <f>'סיכום לועדה- הזנת נתונים'!O74</f>
        <v>44371</v>
      </c>
      <c r="P74" s="461">
        <f>'סיכום לועדה- הזנת נתונים'!P74</f>
        <v>43588.702306967272</v>
      </c>
      <c r="Q74" s="638">
        <f>'סיכום לועדה- הזנת נתונים'!Q74</f>
        <v>-1.7630833044843031E-2</v>
      </c>
      <c r="R74" s="457">
        <f>'סיכום לועדה- הזנת נתונים'!R74</f>
        <v>0</v>
      </c>
      <c r="S74" s="457">
        <f>'סיכום לועדה- הזנת נתונים'!S74</f>
        <v>0</v>
      </c>
      <c r="T74" s="458">
        <f>'סיכום לועדה- הזנת נתונים'!T74</f>
        <v>0</v>
      </c>
      <c r="U74" s="384" t="str">
        <f>'סיכום לועדה- הזנת נתונים'!U74</f>
        <v>התמיכה מומלצת בהתאם למבחן התמיכה</v>
      </c>
    </row>
    <row r="75" spans="2:21" ht="32.25" thickBot="1" x14ac:dyDescent="0.3">
      <c r="B75" s="311">
        <f t="shared" si="0"/>
        <v>55</v>
      </c>
      <c r="C75" s="312" t="str">
        <f>'סיכום לועדה- הזנת נתונים'!C75</f>
        <v>עידן שרעבי</v>
      </c>
      <c r="D75" s="572">
        <f>'סיכום לועדה- הזנת נתונים'!D75</f>
        <v>1001827710</v>
      </c>
      <c r="E75" s="573">
        <f>'סיכום לועדה- הזנת נתונים'!E75</f>
        <v>1001735527</v>
      </c>
      <c r="F75" s="573">
        <f>'סיכום לועדה- הזנת נתונים'!F75</f>
        <v>2022</v>
      </c>
      <c r="G75" s="458">
        <f>'סיכום לועדה- הזנת נתונים'!G75</f>
        <v>0</v>
      </c>
      <c r="H75" s="458" t="str">
        <f>'סיכום לועדה- הזנת נתונים'!H75</f>
        <v/>
      </c>
      <c r="I75" s="624">
        <f>'סיכום לועדה- הזנת נתונים'!I75</f>
        <v>2025</v>
      </c>
      <c r="J75" s="624">
        <f>'סיכום לועדה- הזנת נתונים'!J75</f>
        <v>40000564</v>
      </c>
      <c r="K75" s="624">
        <f>'סיכום לועדה- הזנת נתונים'!K75</f>
        <v>580215333</v>
      </c>
      <c r="L75" s="459" t="str">
        <f>'סיכום לועדה- הזנת נתונים'!L75</f>
        <v>עמותת הכוריאוגרפים (ע"ר)</v>
      </c>
      <c r="M75" s="460" t="str">
        <f>'סיכום לועדה- הזנת נתונים'!M75</f>
        <v>עידן שרעבי - תמיכה ביוצר עצמאי</v>
      </c>
      <c r="N75" s="461">
        <f>'סיכום לועדה- הזנת נתונים'!N75</f>
        <v>295000</v>
      </c>
      <c r="O75" s="461">
        <f>'סיכום לועדה- הזנת נתונים'!O75</f>
        <v>58491</v>
      </c>
      <c r="P75" s="461">
        <f>'סיכום לועדה- הזנת נתונים'!P75</f>
        <v>60524.126155340658</v>
      </c>
      <c r="Q75" s="638">
        <f>'סיכום לועדה- הזנת נתונים'!Q75</f>
        <v>3.4759640890746679E-2</v>
      </c>
      <c r="R75" s="457">
        <f>'סיכום לועדה- הזנת נתונים'!R75</f>
        <v>0</v>
      </c>
      <c r="S75" s="457">
        <f>'סיכום לועדה- הזנת נתונים'!S75</f>
        <v>0</v>
      </c>
      <c r="T75" s="458">
        <f>'סיכום לועדה- הזנת נתונים'!T75</f>
        <v>0</v>
      </c>
      <c r="U75" s="384" t="str">
        <f>'סיכום לועדה- הזנת נתונים'!U75</f>
        <v>התמיכה מומלצת בהתאם למבחן התמיכה</v>
      </c>
    </row>
    <row r="76" spans="2:21" ht="32.25" thickBot="1" x14ac:dyDescent="0.3">
      <c r="B76" s="311">
        <f t="shared" si="0"/>
        <v>56</v>
      </c>
      <c r="C76" s="312" t="str">
        <f>'סיכום לועדה- הזנת נתונים'!C76</f>
        <v>ענת גריגוריו</v>
      </c>
      <c r="D76" s="572">
        <f>'סיכום לועדה- הזנת נתונים'!D76</f>
        <v>1001827713</v>
      </c>
      <c r="E76" s="573">
        <f>'סיכום לועדה- הזנת נתונים'!E76</f>
        <v>1001735530</v>
      </c>
      <c r="F76" s="573">
        <f>'סיכום לועדה- הזנת נתונים'!F76</f>
        <v>2022</v>
      </c>
      <c r="G76" s="458">
        <f>'סיכום לועדה- הזנת נתונים'!G76</f>
        <v>0</v>
      </c>
      <c r="H76" s="458" t="str">
        <f>'סיכום לועדה- הזנת נתונים'!H76</f>
        <v/>
      </c>
      <c r="I76" s="624">
        <f>'סיכום לועדה- הזנת נתונים'!I76</f>
        <v>2025</v>
      </c>
      <c r="J76" s="624">
        <f>'סיכום לועדה- הזנת נתונים'!J76</f>
        <v>40000564</v>
      </c>
      <c r="K76" s="624">
        <f>'סיכום לועדה- הזנת נתונים'!K76</f>
        <v>580215333</v>
      </c>
      <c r="L76" s="459" t="str">
        <f>'סיכום לועדה- הזנת נתונים'!L76</f>
        <v>עמותת הכוריאוגרפים (ע"ר)</v>
      </c>
      <c r="M76" s="460" t="str">
        <f>'סיכום לועדה- הזנת נתונים'!M76</f>
        <v>ענת גרגוריו-תמיכה ביוצרת עצמאית</v>
      </c>
      <c r="N76" s="461">
        <f>'סיכום לועדה- הזנת נתונים'!N76</f>
        <v>295000</v>
      </c>
      <c r="O76" s="461">
        <f>'סיכום לועדה- הזנת נתונים'!O76</f>
        <v>51589</v>
      </c>
      <c r="P76" s="461">
        <f>'סיכום לועדה- הזנת נתונים'!P76</f>
        <v>64058.295208008618</v>
      </c>
      <c r="Q76" s="638">
        <f>'סיכום לועדה- הזנת נתונים'!Q76</f>
        <v>0.24170453406750703</v>
      </c>
      <c r="R76" s="457">
        <f>'סיכום לועדה- הזנת נתונים'!R76</f>
        <v>0</v>
      </c>
      <c r="S76" s="457">
        <f>'סיכום לועדה- הזנת נתונים'!S76</f>
        <v>0</v>
      </c>
      <c r="T76" s="458">
        <f>'סיכום לועדה- הזנת נתונים'!T76</f>
        <v>0</v>
      </c>
      <c r="U76" s="384" t="str">
        <f>'סיכום לועדה- הזנת נתונים'!U76</f>
        <v>התמיכה מומלצת בהתאם למבחן התמיכה</v>
      </c>
    </row>
    <row r="77" spans="2:21" ht="32.25" thickBot="1" x14ac:dyDescent="0.3">
      <c r="B77" s="311">
        <f t="shared" si="0"/>
        <v>57</v>
      </c>
      <c r="C77" s="312" t="str">
        <f>'סיכום לועדה- הזנת נתונים'!C77</f>
        <v>ענת דניאלי</v>
      </c>
      <c r="D77" s="572">
        <f>'סיכום לועדה- הזנת נתונים'!D77</f>
        <v>1001827714</v>
      </c>
      <c r="E77" s="573">
        <f>'סיכום לועדה- הזנת נתונים'!E77</f>
        <v>1001735531</v>
      </c>
      <c r="F77" s="573">
        <f>'סיכום לועדה- הזנת נתונים'!F77</f>
        <v>2022</v>
      </c>
      <c r="G77" s="458">
        <f>'סיכום לועדה- הזנת נתונים'!G77</f>
        <v>0</v>
      </c>
      <c r="H77" s="458" t="str">
        <f>'סיכום לועדה- הזנת נתונים'!H77</f>
        <v/>
      </c>
      <c r="I77" s="624">
        <f>'סיכום לועדה- הזנת נתונים'!I77</f>
        <v>2025</v>
      </c>
      <c r="J77" s="624">
        <f>'סיכום לועדה- הזנת נתונים'!J77</f>
        <v>40000564</v>
      </c>
      <c r="K77" s="624">
        <f>'סיכום לועדה- הזנת נתונים'!K77</f>
        <v>580215333</v>
      </c>
      <c r="L77" s="459" t="str">
        <f>'סיכום לועדה- הזנת נתונים'!L77</f>
        <v>עמותת הכוריאוגרפים (ע"ר)</v>
      </c>
      <c r="M77" s="460" t="str">
        <f>'סיכום לועדה- הזנת נתונים'!M77</f>
        <v>ענת דניאלי-תמיכה ביוצרת עצמאית</v>
      </c>
      <c r="N77" s="461">
        <f>'סיכום לועדה- הזנת נתונים'!N77</f>
        <v>295000</v>
      </c>
      <c r="O77" s="461">
        <f>'סיכום לועדה- הזנת נתונים'!O77</f>
        <v>79787</v>
      </c>
      <c r="P77" s="461">
        <f>'סיכום לועדה- הזנת נתונים'!P77</f>
        <v>86750.937940007469</v>
      </c>
      <c r="Q77" s="638">
        <f>'סיכום לועדה- הזנת נתונים'!Q77</f>
        <v>8.7281611540820814E-2</v>
      </c>
      <c r="R77" s="457">
        <f>'סיכום לועדה- הזנת נתונים'!R77</f>
        <v>0</v>
      </c>
      <c r="S77" s="457">
        <f>'סיכום לועדה- הזנת נתונים'!S77</f>
        <v>0</v>
      </c>
      <c r="T77" s="458">
        <f>'סיכום לועדה- הזנת נתונים'!T77</f>
        <v>0</v>
      </c>
      <c r="U77" s="384" t="str">
        <f>'סיכום לועדה- הזנת נתונים'!U77</f>
        <v>התמיכה מומלצת בהתאם למבחן התמיכה</v>
      </c>
    </row>
    <row r="78" spans="2:21" ht="32.25" thickBot="1" x14ac:dyDescent="0.3">
      <c r="B78" s="311">
        <f t="shared" si="0"/>
        <v>58</v>
      </c>
      <c r="C78" s="312" t="str">
        <f>'סיכום לועדה- הזנת נתונים'!C78</f>
        <v>ענת כץ וארז מעיין</v>
      </c>
      <c r="D78" s="572">
        <f>'סיכום לועדה- הזנת נתונים'!D78</f>
        <v>1001827715</v>
      </c>
      <c r="E78" s="573">
        <f>'סיכום לועדה- הזנת נתונים'!E78</f>
        <v>1001735532</v>
      </c>
      <c r="F78" s="573">
        <f>'סיכום לועדה- הזנת נתונים'!F78</f>
        <v>2022</v>
      </c>
      <c r="G78" s="458">
        <f>'סיכום לועדה- הזנת נתונים'!G78</f>
        <v>0</v>
      </c>
      <c r="H78" s="458" t="str">
        <f>'סיכום לועדה- הזנת נתונים'!H78</f>
        <v/>
      </c>
      <c r="I78" s="624">
        <f>'סיכום לועדה- הזנת נתונים'!I78</f>
        <v>2025</v>
      </c>
      <c r="J78" s="624">
        <f>'סיכום לועדה- הזנת נתונים'!J78</f>
        <v>40000564</v>
      </c>
      <c r="K78" s="624">
        <f>'סיכום לועדה- הזנת נתונים'!K78</f>
        <v>580215333</v>
      </c>
      <c r="L78" s="459" t="str">
        <f>'סיכום לועדה- הזנת נתונים'!L78</f>
        <v>עמותת הכוריאוגרפים (ע"ר)</v>
      </c>
      <c r="M78" s="460" t="str">
        <f>'סיכום לועדה- הזנת נתונים'!M78</f>
        <v>ענת כץ-תמיכה ביוצרת עצמאית</v>
      </c>
      <c r="N78" s="461">
        <f>'סיכום לועדה- הזנת נתונים'!N78</f>
        <v>295000</v>
      </c>
      <c r="O78" s="461">
        <f>'סיכום לועדה- הזנת נתונים'!O78</f>
        <v>47544</v>
      </c>
      <c r="P78" s="461">
        <f>'סיכום לועדה- הזנת נתונים'!P78</f>
        <v>56878.753950645434</v>
      </c>
      <c r="Q78" s="638">
        <f>'סיכום לועדה- הזנת נתונים'!Q78</f>
        <v>0.19633926364305565</v>
      </c>
      <c r="R78" s="457">
        <f>'סיכום לועדה- הזנת נתונים'!R78</f>
        <v>0</v>
      </c>
      <c r="S78" s="457">
        <f>'סיכום לועדה- הזנת נתונים'!S78</f>
        <v>0</v>
      </c>
      <c r="T78" s="458">
        <f>'סיכום לועדה- הזנת נתונים'!T78</f>
        <v>0</v>
      </c>
      <c r="U78" s="384" t="str">
        <f>'סיכום לועדה- הזנת נתונים'!U78</f>
        <v>התמיכה מומלצת בהתאם למבחן התמיכה</v>
      </c>
    </row>
    <row r="79" spans="2:21" ht="32.25" thickBot="1" x14ac:dyDescent="0.3">
      <c r="B79" s="311">
        <f t="shared" si="0"/>
        <v>59</v>
      </c>
      <c r="C79" s="312" t="str">
        <f>'סיכום לועדה- הזנת נתונים'!C79</f>
        <v>ענת שמגר</v>
      </c>
      <c r="D79" s="572">
        <f>'סיכום לועדה- הזנת נתונים'!D79</f>
        <v>1001827716</v>
      </c>
      <c r="E79" s="573">
        <f>'סיכום לועדה- הזנת נתונים'!E79</f>
        <v>1001735533</v>
      </c>
      <c r="F79" s="573">
        <f>'סיכום לועדה- הזנת נתונים'!F79</f>
        <v>2022</v>
      </c>
      <c r="G79" s="458">
        <f>'סיכום לועדה- הזנת נתונים'!G79</f>
        <v>0</v>
      </c>
      <c r="H79" s="458" t="str">
        <f>'סיכום לועדה- הזנת נתונים'!H79</f>
        <v/>
      </c>
      <c r="I79" s="624">
        <f>'סיכום לועדה- הזנת נתונים'!I79</f>
        <v>2025</v>
      </c>
      <c r="J79" s="624">
        <f>'סיכום לועדה- הזנת נתונים'!J79</f>
        <v>40000564</v>
      </c>
      <c r="K79" s="624">
        <f>'סיכום לועדה- הזנת נתונים'!K79</f>
        <v>580215333</v>
      </c>
      <c r="L79" s="459" t="str">
        <f>'סיכום לועדה- הזנת נתונים'!L79</f>
        <v>עמותת הכוריאוגרפים (ע"ר)</v>
      </c>
      <c r="M79" s="460" t="str">
        <f>'סיכום לועדה- הזנת נתונים'!M79</f>
        <v>ענת שמגר-תמיכה ביוצרת עצמאית</v>
      </c>
      <c r="N79" s="461">
        <f>'סיכום לועדה- הזנת נתונים'!N79</f>
        <v>295000</v>
      </c>
      <c r="O79" s="461">
        <f>'סיכום לועדה- הזנת נתונים'!O79</f>
        <v>63584</v>
      </c>
      <c r="P79" s="461">
        <f>'סיכום לועדה- הזנת נתונים'!P79</f>
        <v>72709.72123387488</v>
      </c>
      <c r="Q79" s="638">
        <f>'סיכום לועדה- הזנת נתונים'!Q79</f>
        <v>0.14352228915882748</v>
      </c>
      <c r="R79" s="457">
        <f>'סיכום לועדה- הזנת נתונים'!R79</f>
        <v>0</v>
      </c>
      <c r="S79" s="457">
        <f>'סיכום לועדה- הזנת נתונים'!S79</f>
        <v>0</v>
      </c>
      <c r="T79" s="458">
        <f>'סיכום לועדה- הזנת נתונים'!T79</f>
        <v>0</v>
      </c>
      <c r="U79" s="384" t="str">
        <f>'סיכום לועדה- הזנת נתונים'!U79</f>
        <v>התמיכה מומלצת בהתאם למבחן התמיכה</v>
      </c>
    </row>
    <row r="80" spans="2:21" ht="32.25" thickBot="1" x14ac:dyDescent="0.3">
      <c r="B80" s="311">
        <f t="shared" si="0"/>
        <v>60</v>
      </c>
      <c r="C80" s="312" t="str">
        <f>'סיכום לועדה- הזנת נתונים'!C80</f>
        <v>ק.ט.מ.ו.ן קבוצת מחול בירושלים</v>
      </c>
      <c r="D80" s="572">
        <f>'סיכום לועדה- הזנת נתונים'!D80</f>
        <v>1001843458</v>
      </c>
      <c r="E80" s="573">
        <f>'סיכום לועדה- הזנת נתונים'!E80</f>
        <v>1001736688</v>
      </c>
      <c r="F80" s="573">
        <f>'סיכום לועדה- הזנת נתונים'!F80</f>
        <v>2022</v>
      </c>
      <c r="G80" s="458">
        <f>'סיכום לועדה- הזנת נתונים'!G80</f>
        <v>0</v>
      </c>
      <c r="H80" s="458" t="str">
        <f>'סיכום לועדה- הזנת נתונים'!H80</f>
        <v/>
      </c>
      <c r="I80" s="624">
        <f>'סיכום לועדה- הזנת נתונים'!I80</f>
        <v>2025</v>
      </c>
      <c r="J80" s="624">
        <f>'סיכום לועדה- הזנת נתונים'!J80</f>
        <v>41627319</v>
      </c>
      <c r="K80" s="624">
        <f>'סיכום לועדה- הזנת נתונים'!K80</f>
        <v>580641256</v>
      </c>
      <c r="L80" s="459" t="str">
        <f>'סיכום לועדה- הזנת נתונים'!L80</f>
        <v>ק.ט.מ.ו.ן - קבוצת מחול בירושלים (ע'</v>
      </c>
      <c r="M80" s="460" t="str">
        <f>'סיכום לועדה- הזנת נתונים'!M80</f>
        <v>מחול 2025</v>
      </c>
      <c r="N80" s="461">
        <f>'סיכום לועדה- הזנת נתונים'!N80</f>
        <v>300000</v>
      </c>
      <c r="O80" s="461">
        <f>'סיכום לועדה- הזנת נתונים'!O80</f>
        <v>99192</v>
      </c>
      <c r="P80" s="461">
        <f>'סיכום לועדה- הזנת נתונים'!P80</f>
        <v>114631.7059434691</v>
      </c>
      <c r="Q80" s="638">
        <f>'סיכום לועדה- הזנת נתונים'!Q80</f>
        <v>0.1556547498131815</v>
      </c>
      <c r="R80" s="457">
        <f>'סיכום לועדה- הזנת נתונים'!R80</f>
        <v>0</v>
      </c>
      <c r="S80" s="457">
        <f>'סיכום לועדה- הזנת נתונים'!S80</f>
        <v>0</v>
      </c>
      <c r="T80" s="458">
        <f>'סיכום לועדה- הזנת נתונים'!T80</f>
        <v>0</v>
      </c>
      <c r="U80" s="384" t="str">
        <f>'סיכום לועדה- הזנת נתונים'!U80</f>
        <v>התמיכה מומלצת בהתאם למבחן התמיכה</v>
      </c>
    </row>
    <row r="81" spans="2:21" ht="32.25" thickBot="1" x14ac:dyDescent="0.3">
      <c r="B81" s="311">
        <f t="shared" si="0"/>
        <v>61</v>
      </c>
      <c r="C81" s="312" t="str">
        <f>'סיכום לועדה- הזנת נתונים'!C81</f>
        <v>רונית זיו</v>
      </c>
      <c r="D81" s="572">
        <f>'סיכום לועדה- הזנת נתונים'!D81</f>
        <v>1001827771</v>
      </c>
      <c r="E81" s="573">
        <f>'סיכום לועדה- הזנת נתונים'!E81</f>
        <v>1001735552</v>
      </c>
      <c r="F81" s="573">
        <f>'סיכום לועדה- הזנת נתונים'!F81</f>
        <v>2022</v>
      </c>
      <c r="G81" s="458">
        <f>'סיכום לועדה- הזנת נתונים'!G81</f>
        <v>0</v>
      </c>
      <c r="H81" s="458" t="str">
        <f>'סיכום לועדה- הזנת נתונים'!H81</f>
        <v/>
      </c>
      <c r="I81" s="624">
        <f>'סיכום לועדה- הזנת נתונים'!I81</f>
        <v>2025</v>
      </c>
      <c r="J81" s="624">
        <f>'סיכום לועדה- הזנת נתונים'!J81</f>
        <v>40000564</v>
      </c>
      <c r="K81" s="624">
        <f>'סיכום לועדה- הזנת נתונים'!K81</f>
        <v>580215333</v>
      </c>
      <c r="L81" s="459" t="str">
        <f>'סיכום לועדה- הזנת נתונים'!L81</f>
        <v>עמותת הכוריאוגרפים (ע"ר)</v>
      </c>
      <c r="M81" s="460" t="str">
        <f>'סיכום לועדה- הזנת נתונים'!M81</f>
        <v>רונית זיו-תמיכה ביוצרת עצמאית</v>
      </c>
      <c r="N81" s="461">
        <f>'סיכום לועדה- הזנת נתונים'!N81</f>
        <v>295000</v>
      </c>
      <c r="O81" s="461">
        <f>'סיכום לועדה- הזנת נתונים'!O81</f>
        <v>88927</v>
      </c>
      <c r="P81" s="461">
        <f>'סיכום לועדה- הזנת נתונים'!P81</f>
        <v>85500.279110332282</v>
      </c>
      <c r="Q81" s="638">
        <f>'סיכום לועדה- הזנת נתונים'!Q81</f>
        <v>-3.8534088518309639E-2</v>
      </c>
      <c r="R81" s="457">
        <f>'סיכום לועדה- הזנת נתונים'!R81</f>
        <v>0</v>
      </c>
      <c r="S81" s="457">
        <f>'סיכום לועדה- הזנת נתונים'!S81</f>
        <v>0</v>
      </c>
      <c r="T81" s="458">
        <f>'סיכום לועדה- הזנת נתונים'!T81</f>
        <v>0</v>
      </c>
      <c r="U81" s="384" t="str">
        <f>'סיכום לועדה- הזנת נתונים'!U81</f>
        <v>התמיכה מומלצת בהתאם למבחן התמיכה</v>
      </c>
    </row>
    <row r="82" spans="2:21" ht="32.25" thickBot="1" x14ac:dyDescent="0.3">
      <c r="B82" s="311">
        <f t="shared" si="0"/>
        <v>62</v>
      </c>
      <c r="C82" s="312" t="str">
        <f>'סיכום לועדה- הזנת נתונים'!C82</f>
        <v>טלי זבילביץ</v>
      </c>
      <c r="D82" s="572">
        <f>'סיכום לועדה- הזנת נתונים'!D82</f>
        <v>1001827344</v>
      </c>
      <c r="E82" s="573">
        <f>'סיכום לועדה- הזנת נתונים'!E82</f>
        <v>1001735479</v>
      </c>
      <c r="F82" s="573">
        <f>'סיכום לועדה- הזנת נתונים'!F82</f>
        <v>2020</v>
      </c>
      <c r="G82" s="458">
        <f>'סיכום לועדה- הזנת נתונים'!G82</f>
        <v>1</v>
      </c>
      <c r="H82" s="458" t="str">
        <f>'סיכום לועדה- הזנת נתונים'!H82</f>
        <v/>
      </c>
      <c r="I82" s="624">
        <f>'סיכום לועדה- הזנת נתונים'!I82</f>
        <v>2025</v>
      </c>
      <c r="J82" s="624">
        <f>'סיכום לועדה- הזנת נתונים'!J82</f>
        <v>40000564</v>
      </c>
      <c r="K82" s="624">
        <f>'סיכום לועדה- הזנת נתונים'!K82</f>
        <v>580215333</v>
      </c>
      <c r="L82" s="459" t="str">
        <f>'סיכום לועדה- הזנת נתונים'!L82</f>
        <v>עמותת הכוריאוגרפים (ע"ר)</v>
      </c>
      <c r="M82" s="460" t="str">
        <f>'סיכום לועדה- הזנת נתונים'!M82</f>
        <v>טלי זבילביץ-תמיכה ביוצרת עצמאית</v>
      </c>
      <c r="N82" s="461">
        <f>'סיכום לועדה- הזנת נתונים'!N82</f>
        <v>295000</v>
      </c>
      <c r="O82" s="461">
        <f>'סיכום לועדה- הזנת נתונים'!O82</f>
        <v>40665</v>
      </c>
      <c r="P82" s="461">
        <f>'סיכום לועדה- הזנת נתונים'!P82</f>
        <v>46241.165975372591</v>
      </c>
      <c r="Q82" s="638">
        <f>'סיכום לועדה- הזנת נתונים'!Q82</f>
        <v>0.13712445531470774</v>
      </c>
      <c r="R82" s="457">
        <f>'סיכום לועדה- הזנת נתונים'!R82</f>
        <v>0</v>
      </c>
      <c r="S82" s="457">
        <f>'סיכום לועדה- הזנת נתונים'!S82</f>
        <v>0</v>
      </c>
      <c r="T82" s="458">
        <f>'סיכום לועדה- הזנת נתונים'!T82</f>
        <v>0</v>
      </c>
      <c r="U82" s="384" t="str">
        <f>'סיכום לועדה- הזנת נתונים'!U82</f>
        <v>התמיכה מומלצת בהתאם למבחן התמיכה</v>
      </c>
    </row>
    <row r="83" spans="2:21" ht="32.25" thickBot="1" x14ac:dyDescent="0.3">
      <c r="B83" s="311">
        <f t="shared" si="0"/>
        <v>63</v>
      </c>
      <c r="C83" s="312" t="str">
        <f>'סיכום לועדה- הזנת נתונים'!C83</f>
        <v>רייצ'ל ארדוס</v>
      </c>
      <c r="D83" s="572">
        <f>'סיכום לועדה- הזנת נתונים'!D83</f>
        <v>1001827774</v>
      </c>
      <c r="E83" s="573">
        <f>'סיכום לועדה- הזנת נתונים'!E83</f>
        <v>1001735555</v>
      </c>
      <c r="F83" s="573">
        <f>'סיכום לועדה- הזנת נתונים'!F83</f>
        <v>2022</v>
      </c>
      <c r="G83" s="458">
        <f>'סיכום לועדה- הזנת נתונים'!G83</f>
        <v>0</v>
      </c>
      <c r="H83" s="458" t="str">
        <f>'סיכום לועדה- הזנת נתונים'!H83</f>
        <v/>
      </c>
      <c r="I83" s="624">
        <f>'סיכום לועדה- הזנת נתונים'!I83</f>
        <v>2025</v>
      </c>
      <c r="J83" s="624">
        <f>'סיכום לועדה- הזנת נתונים'!J83</f>
        <v>40000564</v>
      </c>
      <c r="K83" s="624">
        <f>'סיכום לועדה- הזנת נתונים'!K83</f>
        <v>580215333</v>
      </c>
      <c r="L83" s="459" t="str">
        <f>'סיכום לועדה- הזנת נתונים'!L83</f>
        <v>עמותת הכוריאוגרפים (ע"ר)</v>
      </c>
      <c r="M83" s="460" t="str">
        <f>'סיכום לועדה- הזנת נתונים'!M83</f>
        <v>רייצל ארדוס-תמיכה ביוצרת עצמאית</v>
      </c>
      <c r="N83" s="461">
        <f>'סיכום לועדה- הזנת נתונים'!N83</f>
        <v>295000</v>
      </c>
      <c r="O83" s="461">
        <f>'סיכום לועדה- הזנת נתונים'!O83</f>
        <v>100326</v>
      </c>
      <c r="P83" s="461">
        <f>'סיכום לועדה- הזנת נתונים'!P83</f>
        <v>110559.00114140419</v>
      </c>
      <c r="Q83" s="638">
        <f>'סיכום לועדה- הזנת נתונים'!Q83</f>
        <v>0.10199749956545845</v>
      </c>
      <c r="R83" s="457">
        <f>'סיכום לועדה- הזנת נתונים'!R83</f>
        <v>0</v>
      </c>
      <c r="S83" s="457">
        <f>'סיכום לועדה- הזנת נתונים'!S83</f>
        <v>0</v>
      </c>
      <c r="T83" s="458">
        <f>'סיכום לועדה- הזנת נתונים'!T83</f>
        <v>0</v>
      </c>
      <c r="U83" s="384" t="str">
        <f>'סיכום לועדה- הזנת נתונים'!U83</f>
        <v>התמיכה מומלצת בהתאם למבחן התמיכה</v>
      </c>
    </row>
    <row r="84" spans="2:21" ht="32.25" thickBot="1" x14ac:dyDescent="0.3">
      <c r="B84" s="311">
        <f t="shared" si="0"/>
        <v>64</v>
      </c>
      <c r="C84" s="312" t="str">
        <f>'סיכום לועדה- הזנת נתונים'!C84</f>
        <v>שירה אביתר</v>
      </c>
      <c r="D84" s="572">
        <f>'סיכום לועדה- הזנת נתונים'!D84</f>
        <v>1001827776</v>
      </c>
      <c r="E84" s="573">
        <f>'סיכום לועדה- הזנת נתונים'!E84</f>
        <v>1001735557</v>
      </c>
      <c r="F84" s="573">
        <f>'סיכום לועדה- הזנת נתונים'!F84</f>
        <v>2023</v>
      </c>
      <c r="G84" s="458">
        <f>'סיכום לועדה- הזנת נתונים'!G84</f>
        <v>0</v>
      </c>
      <c r="H84" s="458" t="str">
        <f>'סיכום לועדה- הזנת נתונים'!H84</f>
        <v/>
      </c>
      <c r="I84" s="624">
        <f>'סיכום לועדה- הזנת נתונים'!I84</f>
        <v>2025</v>
      </c>
      <c r="J84" s="624">
        <f>'סיכום לועדה- הזנת נתונים'!J84</f>
        <v>40000564</v>
      </c>
      <c r="K84" s="624">
        <f>'סיכום לועדה- הזנת נתונים'!K84</f>
        <v>580215333</v>
      </c>
      <c r="L84" s="459" t="str">
        <f>'סיכום לועדה- הזנת נתונים'!L84</f>
        <v>עמותת הכוריאוגרפים (ע"ר)</v>
      </c>
      <c r="M84" s="460" t="str">
        <f>'סיכום לועדה- הזנת נתונים'!M84</f>
        <v>שירה אביתר-תמיכה ביוצרת עצמאית</v>
      </c>
      <c r="N84" s="461">
        <f>'סיכום לועדה- הזנת נתונים'!N84</f>
        <v>295000</v>
      </c>
      <c r="O84" s="461">
        <f>'סיכום לועדה- הזנת נתונים'!O84</f>
        <v>52406</v>
      </c>
      <c r="P84" s="461">
        <f>'סיכום לועדה- הזנת נתונים'!P84</f>
        <v>49687.048553462111</v>
      </c>
      <c r="Q84" s="638">
        <f>'סיכום לועדה- הזנת נתונים'!Q84</f>
        <v>-5.1882445646259767E-2</v>
      </c>
      <c r="R84" s="457">
        <f>'סיכום לועדה- הזנת נתונים'!R84</f>
        <v>0</v>
      </c>
      <c r="S84" s="457">
        <f>'סיכום לועדה- הזנת נתונים'!S84</f>
        <v>0</v>
      </c>
      <c r="T84" s="458">
        <f>'סיכום לועדה- הזנת נתונים'!T84</f>
        <v>0</v>
      </c>
      <c r="U84" s="384" t="str">
        <f>'סיכום לועדה- הזנת נתונים'!U84</f>
        <v>התמיכה מומלצת בהתאם למבחן התמיכה</v>
      </c>
    </row>
    <row r="85" spans="2:21" ht="32.25" thickBot="1" x14ac:dyDescent="0.3">
      <c r="B85" s="311">
        <f t="shared" si="0"/>
        <v>65</v>
      </c>
      <c r="C85" s="312" t="str">
        <f>'סיכום לועדה- הזנת נתונים'!C85</f>
        <v>שלומית פונדמינסקי</v>
      </c>
      <c r="D85" s="572">
        <f>'סיכום לועדה- הזנת נתונים'!D85</f>
        <v>1001827777</v>
      </c>
      <c r="E85" s="573">
        <f>'סיכום לועדה- הזנת נתונים'!E85</f>
        <v>1001735559</v>
      </c>
      <c r="F85" s="573">
        <f>'סיכום לועדה- הזנת נתונים'!F85</f>
        <v>2022</v>
      </c>
      <c r="G85" s="458">
        <f>'סיכום לועדה- הזנת נתונים'!G85</f>
        <v>0</v>
      </c>
      <c r="H85" s="458" t="str">
        <f>'סיכום לועדה- הזנת נתונים'!H85</f>
        <v/>
      </c>
      <c r="I85" s="624">
        <f>'סיכום לועדה- הזנת נתונים'!I85</f>
        <v>2025</v>
      </c>
      <c r="J85" s="624">
        <f>'סיכום לועדה- הזנת נתונים'!J85</f>
        <v>40000564</v>
      </c>
      <c r="K85" s="624">
        <f>'סיכום לועדה- הזנת נתונים'!K85</f>
        <v>580215333</v>
      </c>
      <c r="L85" s="459" t="str">
        <f>'סיכום לועדה- הזנת נתונים'!L85</f>
        <v>עמותת הכוריאוגרפים (ע"ר)</v>
      </c>
      <c r="M85" s="460" t="str">
        <f>'סיכום לועדה- הזנת נתונים'!M85</f>
        <v>שלומית פונדמינסקי-תמיכה ביוצרת עצמאית</v>
      </c>
      <c r="N85" s="461">
        <f>'סיכום לועדה- הזנת נתונים'!N85</f>
        <v>295000</v>
      </c>
      <c r="O85" s="461">
        <f>'סיכום לועדה- הזנת נתונים'!O85</f>
        <v>100289</v>
      </c>
      <c r="P85" s="461">
        <f>'סיכום לועדה- הזנת נתונים'!P85</f>
        <v>137754.67302300176</v>
      </c>
      <c r="Q85" s="638">
        <f>'סיכום לועדה- הזנת נתונים'!Q85</f>
        <v>0.3735770924328865</v>
      </c>
      <c r="R85" s="457">
        <f>'סיכום לועדה- הזנת נתונים'!R85</f>
        <v>0</v>
      </c>
      <c r="S85" s="457">
        <f>'סיכום לועדה- הזנת נתונים'!S85</f>
        <v>0</v>
      </c>
      <c r="T85" s="458">
        <f>'סיכום לועדה- הזנת נתונים'!T85</f>
        <v>0</v>
      </c>
      <c r="U85" s="384" t="str">
        <f>'סיכום לועדה- הזנת נתונים'!U85</f>
        <v>התמיכה מומלצת בהתאם למבחן התמיכה</v>
      </c>
    </row>
    <row r="86" spans="2:21" ht="16.5" thickBot="1" x14ac:dyDescent="0.3">
      <c r="B86" s="311" t="str">
        <f t="shared" si="0"/>
        <v/>
      </c>
      <c r="C86" s="312" t="str">
        <f>'סיכום לועדה- הזנת נתונים'!C86</f>
        <v/>
      </c>
      <c r="D86" s="572">
        <f>'סיכום לועדה- הזנת נתונים'!D86</f>
        <v>0</v>
      </c>
      <c r="E86" s="573">
        <f>'סיכום לועדה- הזנת נתונים'!E86</f>
        <v>0</v>
      </c>
      <c r="F86" s="573">
        <f>'סיכום לועדה- הזנת נתונים'!F86</f>
        <v>0</v>
      </c>
      <c r="G86" s="458" t="str">
        <f>'סיכום לועדה- הזנת נתונים'!G86</f>
        <v/>
      </c>
      <c r="H86" s="458" t="str">
        <f>'סיכום לועדה- הזנת נתונים'!H86</f>
        <v/>
      </c>
      <c r="I86" s="624" t="str">
        <f>'סיכום לועדה- הזנת נתונים'!I86</f>
        <v/>
      </c>
      <c r="J86" s="624" t="str">
        <f>'סיכום לועדה- הזנת נתונים'!J86</f>
        <v/>
      </c>
      <c r="K86" s="624" t="str">
        <f>'סיכום לועדה- הזנת נתונים'!K86</f>
        <v/>
      </c>
      <c r="L86" s="459" t="str">
        <f>'סיכום לועדה- הזנת נתונים'!L86</f>
        <v/>
      </c>
      <c r="M86" s="460" t="str">
        <f>'סיכום לועדה- הזנת נתונים'!M86</f>
        <v/>
      </c>
      <c r="N86" s="461" t="str">
        <f>'סיכום לועדה- הזנת נתונים'!N86</f>
        <v/>
      </c>
      <c r="O86" s="461">
        <f>'סיכום לועדה- הזנת נתונים'!O86</f>
        <v>0</v>
      </c>
      <c r="P86" s="461" t="str">
        <f>'סיכום לועדה- הזנת נתונים'!P86</f>
        <v/>
      </c>
      <c r="Q86" s="638" t="str">
        <f>'סיכום לועדה- הזנת נתונים'!Q86</f>
        <v/>
      </c>
      <c r="R86" s="457" t="str">
        <f>'סיכום לועדה- הזנת נתונים'!R86</f>
        <v/>
      </c>
      <c r="S86" s="457">
        <f>'סיכום לועדה- הזנת נתונים'!S86</f>
        <v>0</v>
      </c>
      <c r="T86" s="458">
        <f>'סיכום לועדה- הזנת נתונים'!T86</f>
        <v>0</v>
      </c>
      <c r="U86" s="384">
        <f>'סיכום לועדה- הזנת נתונים'!U86</f>
        <v>0</v>
      </c>
    </row>
    <row r="87" spans="2:21" ht="32.25" thickBot="1" x14ac:dyDescent="0.3">
      <c r="B87" s="311">
        <f t="shared" ref="B87:B120" si="1">IF(C87="","",ROW()-20)</f>
        <v>67</v>
      </c>
      <c r="C87" s="312" t="str">
        <f>'סיכום לועדה- הזנת נתונים'!C87</f>
        <v>שרון וזנה</v>
      </c>
      <c r="D87" s="572">
        <f>'סיכום לועדה- הזנת נתונים'!D87</f>
        <v>1001827780</v>
      </c>
      <c r="E87" s="573">
        <f>'סיכום לועדה- הזנת נתונים'!E87</f>
        <v>1001735563</v>
      </c>
      <c r="F87" s="573">
        <f>'סיכום לועדה- הזנת נתונים'!F87</f>
        <v>2022</v>
      </c>
      <c r="G87" s="458">
        <f>'סיכום לועדה- הזנת נתונים'!G87</f>
        <v>0</v>
      </c>
      <c r="H87" s="458" t="str">
        <f>'סיכום לועדה- הזנת נתונים'!H87</f>
        <v/>
      </c>
      <c r="I87" s="624">
        <f>'סיכום לועדה- הזנת נתונים'!I87</f>
        <v>2025</v>
      </c>
      <c r="J87" s="624">
        <f>'סיכום לועדה- הזנת נתונים'!J87</f>
        <v>40000564</v>
      </c>
      <c r="K87" s="624">
        <f>'סיכום לועדה- הזנת נתונים'!K87</f>
        <v>580215333</v>
      </c>
      <c r="L87" s="459" t="str">
        <f>'סיכום לועדה- הזנת נתונים'!L87</f>
        <v>עמותת הכוריאוגרפים (ע"ר)</v>
      </c>
      <c r="M87" s="460" t="str">
        <f>'סיכום לועדה- הזנת נתונים'!M87</f>
        <v>שרון וזאנה-תמיכה ביוצרת עצמאית</v>
      </c>
      <c r="N87" s="461">
        <f>'סיכום לועדה- הזנת נתונים'!N87</f>
        <v>295000</v>
      </c>
      <c r="O87" s="461">
        <f>'סיכום לועדה- הזנת נתונים'!O87</f>
        <v>72868</v>
      </c>
      <c r="P87" s="461">
        <f>'סיכום לועדה- הזנת נתונים'!P87</f>
        <v>77347.798210162597</v>
      </c>
      <c r="Q87" s="638">
        <f>'סיכום לועדה- הזנת נתונים'!Q87</f>
        <v>6.1478264947063099E-2</v>
      </c>
      <c r="R87" s="457">
        <f>'סיכום לועדה- הזנת נתונים'!R87</f>
        <v>0</v>
      </c>
      <c r="S87" s="457">
        <f>'סיכום לועדה- הזנת נתונים'!S87</f>
        <v>0</v>
      </c>
      <c r="T87" s="458">
        <f>'סיכום לועדה- הזנת נתונים'!T87</f>
        <v>0</v>
      </c>
      <c r="U87" s="384" t="str">
        <f>'סיכום לועדה- הזנת נתונים'!U87</f>
        <v>התמיכה מומלצת בהתאם למבחן התמיכה</v>
      </c>
    </row>
    <row r="88" spans="2:21" ht="32.25" thickBot="1" x14ac:dyDescent="0.3">
      <c r="B88" s="311">
        <f t="shared" si="1"/>
        <v>68</v>
      </c>
      <c r="C88" s="312" t="str">
        <f>'סיכום לועדה- הזנת נתונים'!C88</f>
        <v>שרונה פלורסהיים</v>
      </c>
      <c r="D88" s="572">
        <f>'סיכום לועדה- הזנת נתונים'!D88</f>
        <v>1001827783</v>
      </c>
      <c r="E88" s="573">
        <f>'סיכום לועדה- הזנת נתונים'!E88</f>
        <v>1001735566</v>
      </c>
      <c r="F88" s="573">
        <f>'סיכום לועדה- הזנת נתונים'!F88</f>
        <v>2022</v>
      </c>
      <c r="G88" s="458">
        <f>'סיכום לועדה- הזנת נתונים'!G88</f>
        <v>0</v>
      </c>
      <c r="H88" s="458" t="str">
        <f>'סיכום לועדה- הזנת נתונים'!H88</f>
        <v/>
      </c>
      <c r="I88" s="624">
        <f>'סיכום לועדה- הזנת נתונים'!I88</f>
        <v>2025</v>
      </c>
      <c r="J88" s="624">
        <f>'סיכום לועדה- הזנת נתונים'!J88</f>
        <v>40000564</v>
      </c>
      <c r="K88" s="624">
        <f>'סיכום לועדה- הזנת נתונים'!K88</f>
        <v>580215333</v>
      </c>
      <c r="L88" s="459" t="str">
        <f>'סיכום לועדה- הזנת נתונים'!L88</f>
        <v>עמותת הכוריאוגרפים (ע"ר)</v>
      </c>
      <c r="M88" s="460" t="str">
        <f>'סיכום לועדה- הזנת נתונים'!M88</f>
        <v>שרונה פלורסהיים-תמיכה ביוצרת עצמאית</v>
      </c>
      <c r="N88" s="461">
        <f>'סיכום לועדה- הזנת נתונים'!N88</f>
        <v>295000</v>
      </c>
      <c r="O88" s="461">
        <f>'סיכום לועדה- הזנת נתונים'!O88</f>
        <v>141083</v>
      </c>
      <c r="P88" s="461">
        <f>'סיכום לועדה- הזנת נתונים'!P88</f>
        <v>142184.18015680069</v>
      </c>
      <c r="Q88" s="638">
        <f>'סיכום לועדה- הזנת נתונים'!Q88</f>
        <v>7.8051937993994791E-3</v>
      </c>
      <c r="R88" s="457">
        <f>'סיכום לועדה- הזנת נתונים'!R88</f>
        <v>0</v>
      </c>
      <c r="S88" s="457">
        <f>'סיכום לועדה- הזנת נתונים'!S88</f>
        <v>0</v>
      </c>
      <c r="T88" s="458">
        <f>'סיכום לועדה- הזנת נתונים'!T88</f>
        <v>0</v>
      </c>
      <c r="U88" s="384" t="str">
        <f>'סיכום לועדה- הזנת נתונים'!U88</f>
        <v>התמיכה מומלצת בהתאם למבחן התמיכה</v>
      </c>
    </row>
    <row r="89" spans="2:21" ht="32.25" thickBot="1" x14ac:dyDescent="0.3">
      <c r="B89" s="311">
        <f t="shared" si="1"/>
        <v>69</v>
      </c>
      <c r="C89" s="312" t="str">
        <f>'סיכום לועדה- הזנת נתונים'!C89</f>
        <v>תמי ליבוביץ</v>
      </c>
      <c r="D89" s="572">
        <f>'סיכום לועדה- הזנת נתונים'!D89</f>
        <v>1001827785</v>
      </c>
      <c r="E89" s="573">
        <f>'סיכום לועדה- הזנת נתונים'!E89</f>
        <v>1001735567</v>
      </c>
      <c r="F89" s="573">
        <f>'סיכום לועדה- הזנת נתונים'!F89</f>
        <v>2022</v>
      </c>
      <c r="G89" s="458">
        <f>'סיכום לועדה- הזנת נתונים'!G89</f>
        <v>0</v>
      </c>
      <c r="H89" s="458" t="str">
        <f>'סיכום לועדה- הזנת נתונים'!H89</f>
        <v/>
      </c>
      <c r="I89" s="624">
        <f>'סיכום לועדה- הזנת נתונים'!I89</f>
        <v>2025</v>
      </c>
      <c r="J89" s="624">
        <f>'סיכום לועדה- הזנת נתונים'!J89</f>
        <v>40000564</v>
      </c>
      <c r="K89" s="624">
        <f>'סיכום לועדה- הזנת נתונים'!K89</f>
        <v>580215333</v>
      </c>
      <c r="L89" s="459" t="str">
        <f>'סיכום לועדה- הזנת נתונים'!L89</f>
        <v>עמותת הכוריאוגרפים (ע"ר)</v>
      </c>
      <c r="M89" s="460" t="str">
        <f>'סיכום לועדה- הזנת נתונים'!M89</f>
        <v>תמי ליבוביץ-תמיכה ביוצרת עצמאית</v>
      </c>
      <c r="N89" s="461">
        <f>'סיכום לועדה- הזנת נתונים'!N89</f>
        <v>295000</v>
      </c>
      <c r="O89" s="461">
        <f>'סיכום לועדה- הזנת נתונים'!O89</f>
        <v>61466</v>
      </c>
      <c r="P89" s="461">
        <f>'סיכום לועדה- הזנת נתונים'!P89</f>
        <v>60804.098046678853</v>
      </c>
      <c r="Q89" s="638">
        <f>'סיכום לועדה- הזנת נתונים'!Q89</f>
        <v>-1.076858675236958E-2</v>
      </c>
      <c r="R89" s="457">
        <f>'סיכום לועדה- הזנת נתונים'!R89</f>
        <v>0</v>
      </c>
      <c r="S89" s="457">
        <f>'סיכום לועדה- הזנת נתונים'!S89</f>
        <v>0</v>
      </c>
      <c r="T89" s="458">
        <f>'סיכום לועדה- הזנת נתונים'!T89</f>
        <v>0</v>
      </c>
      <c r="U89" s="384" t="str">
        <f>'סיכום לועדה- הזנת נתונים'!U89</f>
        <v>התמיכה מומלצת בהתאם למבחן התמיכה</v>
      </c>
    </row>
    <row r="90" spans="2:21" ht="32.25" thickBot="1" x14ac:dyDescent="0.3">
      <c r="B90" s="311">
        <f t="shared" si="1"/>
        <v>70</v>
      </c>
      <c r="C90" s="312" t="str">
        <f>'סיכום לועדה- הזנת נתונים'!C90</f>
        <v>תמר בורר</v>
      </c>
      <c r="D90" s="572">
        <f>'סיכום לועדה- הזנת נתונים'!D90</f>
        <v>1001827786</v>
      </c>
      <c r="E90" s="573">
        <f>'סיכום לועדה- הזנת נתונים'!E90</f>
        <v>1001735568</v>
      </c>
      <c r="F90" s="573">
        <f>'סיכום לועדה- הזנת נתונים'!F90</f>
        <v>2022</v>
      </c>
      <c r="G90" s="458">
        <f>'סיכום לועדה- הזנת נתונים'!G90</f>
        <v>0</v>
      </c>
      <c r="H90" s="458" t="str">
        <f>'סיכום לועדה- הזנת נתונים'!H90</f>
        <v/>
      </c>
      <c r="I90" s="624">
        <f>'סיכום לועדה- הזנת נתונים'!I90</f>
        <v>2025</v>
      </c>
      <c r="J90" s="624">
        <f>'סיכום לועדה- הזנת נתונים'!J90</f>
        <v>40000564</v>
      </c>
      <c r="K90" s="624">
        <f>'סיכום לועדה- הזנת נתונים'!K90</f>
        <v>580215333</v>
      </c>
      <c r="L90" s="459" t="str">
        <f>'סיכום לועדה- הזנת נתונים'!L90</f>
        <v>עמותת הכוריאוגרפים (ע"ר)</v>
      </c>
      <c r="M90" s="460" t="str">
        <f>'סיכום לועדה- הזנת נתונים'!M90</f>
        <v>תמר בורר-תמיכה ביוצרת עצמאית</v>
      </c>
      <c r="N90" s="461">
        <f>'סיכום לועדה- הזנת נתונים'!N90</f>
        <v>295000</v>
      </c>
      <c r="O90" s="461">
        <f>'סיכום לועדה- הזנת נתונים'!O90</f>
        <v>76073</v>
      </c>
      <c r="P90" s="461">
        <f>'סיכום לועדה- הזנת נתונים'!P90</f>
        <v>70403.206666451675</v>
      </c>
      <c r="Q90" s="638">
        <f>'סיכום לועדה- הזנת נתונים'!Q90</f>
        <v>-7.4530954918937353E-2</v>
      </c>
      <c r="R90" s="457">
        <f>'סיכום לועדה- הזנת נתונים'!R90</f>
        <v>0</v>
      </c>
      <c r="S90" s="457">
        <f>'סיכום לועדה- הזנת נתונים'!S90</f>
        <v>0</v>
      </c>
      <c r="T90" s="458">
        <f>'סיכום לועדה- הזנת נתונים'!T90</f>
        <v>0</v>
      </c>
      <c r="U90" s="384" t="str">
        <f>'סיכום לועדה- הזנת נתונים'!U90</f>
        <v>התמיכה מומלצת בהתאם למבחן התמיכה</v>
      </c>
    </row>
    <row r="91" spans="2:21" ht="63.75" thickBot="1" x14ac:dyDescent="0.3">
      <c r="B91" s="311">
        <f t="shared" si="1"/>
        <v>71</v>
      </c>
      <c r="C91" s="312" t="str">
        <f>'סיכום לועדה- הזנת נתונים'!C91</f>
        <v>תמי ורונן יצחקי</v>
      </c>
      <c r="D91" s="572">
        <f>'סיכום לועדה- הזנת נתונים'!D91</f>
        <v>1001827784</v>
      </c>
      <c r="E91" s="573">
        <f>'סיכום לועדה- הזנת נתונים'!E91</f>
        <v>1001777068</v>
      </c>
      <c r="F91" s="573">
        <f>'סיכום לועדה- הזנת נתונים'!F91</f>
        <v>2019</v>
      </c>
      <c r="G91" s="458">
        <f>'סיכום לועדה- הזנת נתונים'!G91</f>
        <v>1</v>
      </c>
      <c r="H91" s="458" t="str">
        <f>'סיכום לועדה- הזנת נתונים'!H91</f>
        <v>no</v>
      </c>
      <c r="I91" s="624">
        <f>'סיכום לועדה- הזנת נתונים'!I91</f>
        <v>2025</v>
      </c>
      <c r="J91" s="624">
        <f>'סיכום לועדה- הזנת נתונים'!J91</f>
        <v>40000564</v>
      </c>
      <c r="K91" s="624">
        <f>'סיכום לועדה- הזנת נתונים'!K91</f>
        <v>580215333</v>
      </c>
      <c r="L91" s="459" t="str">
        <f>'סיכום לועדה- הזנת נתונים'!L91</f>
        <v>עמותת הכוריאוגרפים (ע"ר)</v>
      </c>
      <c r="M91" s="460" t="str">
        <f>'סיכום לועדה- הזנת נתונים'!M91</f>
        <v>תמי ורונן יצחקי-תמיכה ביוצרים עצמאיים</v>
      </c>
      <c r="N91" s="461">
        <f>'סיכום לועדה- הזנת נתונים'!N91</f>
        <v>295000</v>
      </c>
      <c r="O91" s="461">
        <f>'סיכום לועדה- הזנת נתונים'!O91</f>
        <v>91811</v>
      </c>
      <c r="P91" s="461">
        <f>'סיכום לועדה- הזנת נתונים'!P91</f>
        <v>93115.524924557205</v>
      </c>
      <c r="Q91" s="638">
        <f>'סיכום לועדה- הזנת נתונים'!Q91</f>
        <v>1.4208808580205012E-2</v>
      </c>
      <c r="R91" s="457">
        <f>'סיכום לועדה- הזנת נתונים'!R91</f>
        <v>0</v>
      </c>
      <c r="S91" s="457">
        <f>'סיכום לועדה- הזנת נתונים'!S91</f>
        <v>0</v>
      </c>
      <c r="T91" s="458">
        <f>'סיכום לועדה- הזנת נתונים'!T91</f>
        <v>0</v>
      </c>
      <c r="U91" s="384" t="str">
        <f>'סיכום לועדה- הזנת נתונים'!U91</f>
        <v>התמיכה מומלצת בהתאם למבחן התמיכה, ניתן אישור רצף פעילות לתמיכה באמצעות עמותת הכוריאוגרפים.</v>
      </c>
    </row>
    <row r="92" spans="2:21" ht="32.25" thickBot="1" x14ac:dyDescent="0.3">
      <c r="B92" s="311">
        <f t="shared" si="1"/>
        <v>72</v>
      </c>
      <c r="C92" s="312" t="str">
        <f>'סיכום לועדה- הזנת נתונים'!C92</f>
        <v>רננה רז</v>
      </c>
      <c r="D92" s="572">
        <f>'סיכום לועדה- הזנת נתונים'!D92</f>
        <v>1001843028</v>
      </c>
      <c r="E92" s="573">
        <f>'סיכום לועדה- הזנת נתונים'!E92</f>
        <v>1001754411</v>
      </c>
      <c r="F92" s="573">
        <f>'סיכום לועדה- הזנת נתונים'!F92</f>
        <v>2022</v>
      </c>
      <c r="G92" s="458">
        <f>'סיכום לועדה- הזנת נתונים'!G92</f>
        <v>0</v>
      </c>
      <c r="H92" s="458" t="str">
        <f>'סיכום לועדה- הזנת נתונים'!H92</f>
        <v/>
      </c>
      <c r="I92" s="624">
        <f>'סיכום לועדה- הזנת נתונים'!I92</f>
        <v>2025</v>
      </c>
      <c r="J92" s="624">
        <f>'סיכום לועדה- הזנת נתונים'!J92</f>
        <v>41489877</v>
      </c>
      <c r="K92" s="624">
        <f>'סיכום לועדה- הזנת נתונים'!K92</f>
        <v>580635423</v>
      </c>
      <c r="L92" s="459" t="str">
        <f>'סיכום לועדה- הזנת נתונים'!L92</f>
        <v>עמותת רננה רז - מחול ויצירה רב תחומ</v>
      </c>
      <c r="M92" s="460" t="str">
        <f>'סיכום לועדה- הזנת נתונים'!M92</f>
        <v>בקשת תמיכה שוטפת לשנת 2025</v>
      </c>
      <c r="N92" s="461">
        <f>'סיכום לועדה- הזנת נתונים'!N92</f>
        <v>230000</v>
      </c>
      <c r="O92" s="461">
        <f>'סיכום לועדה- הזנת נתונים'!O92</f>
        <v>185871</v>
      </c>
      <c r="P92" s="461">
        <f>'סיכום לועדה- הזנת נתונים'!P92</f>
        <v>184349.44001703334</v>
      </c>
      <c r="Q92" s="638">
        <f>'סיכום לועדה- הזנת נתונים'!Q92</f>
        <v>-8.1861074775875231E-3</v>
      </c>
      <c r="R92" s="457">
        <f>'סיכום לועדה- הזנת נתונים'!R92</f>
        <v>0</v>
      </c>
      <c r="S92" s="457">
        <f>'סיכום לועדה- הזנת נתונים'!S92</f>
        <v>0</v>
      </c>
      <c r="T92" s="458">
        <f>'סיכום לועדה- הזנת נתונים'!T92</f>
        <v>0</v>
      </c>
      <c r="U92" s="384" t="str">
        <f>'סיכום לועדה- הזנת נתונים'!U92</f>
        <v>התמיכה מומלצת בהתאם למבחן התמיכה</v>
      </c>
    </row>
    <row r="93" spans="2:21" ht="32.25" thickBot="1" x14ac:dyDescent="0.3">
      <c r="B93" s="311">
        <f t="shared" si="1"/>
        <v>73</v>
      </c>
      <c r="C93" s="312" t="str">
        <f>'סיכום לועדה- הזנת נתונים'!C93</f>
        <v>רתם תשח</v>
      </c>
      <c r="D93" s="572">
        <f>'סיכום לועדה- הזנת נתונים'!D93</f>
        <v>1001827772</v>
      </c>
      <c r="E93" s="573">
        <f>'סיכום לועדה- הזנת נתונים'!E93</f>
        <v>1001735553</v>
      </c>
      <c r="F93" s="573">
        <f>'סיכום לועדה- הזנת נתונים'!F93</f>
        <v>2022</v>
      </c>
      <c r="G93" s="458">
        <f>'סיכום לועדה- הזנת נתונים'!G93</f>
        <v>0</v>
      </c>
      <c r="H93" s="458" t="str">
        <f>'סיכום לועדה- הזנת נתונים'!H93</f>
        <v/>
      </c>
      <c r="I93" s="624">
        <f>'סיכום לועדה- הזנת נתונים'!I93</f>
        <v>2025</v>
      </c>
      <c r="J93" s="624">
        <f>'סיכום לועדה- הזנת נתונים'!J93</f>
        <v>40000564</v>
      </c>
      <c r="K93" s="624">
        <f>'סיכום לועדה- הזנת נתונים'!K93</f>
        <v>580215333</v>
      </c>
      <c r="L93" s="459" t="str">
        <f>'סיכום לועדה- הזנת נתונים'!L93</f>
        <v>עמותת הכוריאוגרפים (ע"ר)</v>
      </c>
      <c r="M93" s="460" t="str">
        <f>'סיכום לועדה- הזנת נתונים'!M93</f>
        <v>רותם תשח-תמיכה ביוצר עצמאי</v>
      </c>
      <c r="N93" s="461">
        <f>'סיכום לועדה- הזנת נתונים'!N93</f>
        <v>295000</v>
      </c>
      <c r="O93" s="461">
        <f>'סיכום לועדה- הזנת נתונים'!O93</f>
        <v>37843</v>
      </c>
      <c r="P93" s="461">
        <f>'סיכום לועדה- הזנת נתונים'!P93</f>
        <v>38037.776124086173</v>
      </c>
      <c r="Q93" s="638">
        <f>'סיכום לועדה- הזנת נתונים'!Q93</f>
        <v>5.1469525166125685E-3</v>
      </c>
      <c r="R93" s="457">
        <f>'סיכום לועדה- הזנת נתונים'!R93</f>
        <v>0</v>
      </c>
      <c r="S93" s="457">
        <f>'סיכום לועדה- הזנת נתונים'!S93</f>
        <v>0</v>
      </c>
      <c r="T93" s="458">
        <f>'סיכום לועדה- הזנת נתונים'!T93</f>
        <v>0</v>
      </c>
      <c r="U93" s="384" t="str">
        <f>'סיכום לועדה- הזנת נתונים'!U93</f>
        <v xml:space="preserve"> התמיכה מומלצת בהתאם למבחן התמיכה</v>
      </c>
    </row>
    <row r="94" spans="2:21" ht="16.5" thickBot="1" x14ac:dyDescent="0.3">
      <c r="B94" s="311" t="str">
        <f t="shared" si="1"/>
        <v/>
      </c>
      <c r="C94" s="312" t="str">
        <f>'סיכום לועדה- הזנת נתונים'!C94</f>
        <v/>
      </c>
      <c r="D94" s="572">
        <f>'סיכום לועדה- הזנת נתונים'!D94</f>
        <v>0</v>
      </c>
      <c r="E94" s="573">
        <f>'סיכום לועדה- הזנת נתונים'!E94</f>
        <v>0</v>
      </c>
      <c r="F94" s="573">
        <f>'סיכום לועדה- הזנת נתונים'!F94</f>
        <v>0</v>
      </c>
      <c r="G94" s="458" t="str">
        <f>'סיכום לועדה- הזנת נתונים'!G94</f>
        <v/>
      </c>
      <c r="H94" s="458" t="str">
        <f>'סיכום לועדה- הזנת נתונים'!H94</f>
        <v/>
      </c>
      <c r="I94" s="624" t="str">
        <f>'סיכום לועדה- הזנת נתונים'!I94</f>
        <v/>
      </c>
      <c r="J94" s="624" t="str">
        <f>'סיכום לועדה- הזנת נתונים'!J94</f>
        <v/>
      </c>
      <c r="K94" s="624" t="str">
        <f>'סיכום לועדה- הזנת נתונים'!K94</f>
        <v/>
      </c>
      <c r="L94" s="459" t="str">
        <f>'סיכום לועדה- הזנת נתונים'!L94</f>
        <v/>
      </c>
      <c r="M94" s="460" t="str">
        <f>'סיכום לועדה- הזנת נתונים'!M94</f>
        <v/>
      </c>
      <c r="N94" s="461" t="str">
        <f>'סיכום לועדה- הזנת נתונים'!N94</f>
        <v/>
      </c>
      <c r="O94" s="461">
        <f>'סיכום לועדה- הזנת נתונים'!O94</f>
        <v>0</v>
      </c>
      <c r="P94" s="461" t="str">
        <f>'סיכום לועדה- הזנת נתונים'!P94</f>
        <v/>
      </c>
      <c r="Q94" s="638" t="str">
        <f>'סיכום לועדה- הזנת נתונים'!Q94</f>
        <v/>
      </c>
      <c r="R94" s="457" t="str">
        <f>'סיכום לועדה- הזנת נתונים'!R94</f>
        <v/>
      </c>
      <c r="S94" s="457">
        <f>'סיכום לועדה- הזנת נתונים'!S94</f>
        <v>0</v>
      </c>
      <c r="T94" s="458">
        <f>'סיכום לועדה- הזנת נתונים'!T94</f>
        <v>0</v>
      </c>
      <c r="U94" s="384">
        <f>'סיכום לועדה- הזנת נתונים'!U94</f>
        <v>0</v>
      </c>
    </row>
    <row r="95" spans="2:21" ht="16.5" thickBot="1" x14ac:dyDescent="0.3">
      <c r="B95" s="311" t="str">
        <f t="shared" si="1"/>
        <v/>
      </c>
      <c r="C95" s="312" t="str">
        <f>'סיכום לועדה- הזנת נתונים'!C95</f>
        <v/>
      </c>
      <c r="D95" s="572">
        <f>'סיכום לועדה- הזנת נתונים'!D95</f>
        <v>0</v>
      </c>
      <c r="E95" s="573">
        <f>'סיכום לועדה- הזנת נתונים'!E95</f>
        <v>0</v>
      </c>
      <c r="F95" s="573">
        <f>'סיכום לועדה- הזנת נתונים'!F95</f>
        <v>0</v>
      </c>
      <c r="G95" s="458" t="str">
        <f>'סיכום לועדה- הזנת נתונים'!G95</f>
        <v/>
      </c>
      <c r="H95" s="458" t="str">
        <f>'סיכום לועדה- הזנת נתונים'!H95</f>
        <v/>
      </c>
      <c r="I95" s="624" t="str">
        <f>'סיכום לועדה- הזנת נתונים'!I95</f>
        <v/>
      </c>
      <c r="J95" s="624" t="str">
        <f>'סיכום לועדה- הזנת נתונים'!J95</f>
        <v/>
      </c>
      <c r="K95" s="624" t="str">
        <f>'סיכום לועדה- הזנת נתונים'!K95</f>
        <v/>
      </c>
      <c r="L95" s="459" t="str">
        <f>'סיכום לועדה- הזנת נתונים'!L95</f>
        <v/>
      </c>
      <c r="M95" s="460" t="str">
        <f>'סיכום לועדה- הזנת נתונים'!M95</f>
        <v/>
      </c>
      <c r="N95" s="461" t="str">
        <f>'סיכום לועדה- הזנת נתונים'!N95</f>
        <v/>
      </c>
      <c r="O95" s="461">
        <f>'סיכום לועדה- הזנת נתונים'!O95</f>
        <v>0</v>
      </c>
      <c r="P95" s="461" t="str">
        <f>'סיכום לועדה- הזנת נתונים'!P95</f>
        <v/>
      </c>
      <c r="Q95" s="638" t="str">
        <f>'סיכום לועדה- הזנת נתונים'!Q95</f>
        <v/>
      </c>
      <c r="R95" s="457" t="str">
        <f>'סיכום לועדה- הזנת נתונים'!R95</f>
        <v/>
      </c>
      <c r="S95" s="457">
        <f>'סיכום לועדה- הזנת נתונים'!S95</f>
        <v>0</v>
      </c>
      <c r="T95" s="458">
        <f>'סיכום לועדה- הזנת נתונים'!T95</f>
        <v>0</v>
      </c>
      <c r="U95" s="384">
        <f>'סיכום לועדה- הזנת נתונים'!U95</f>
        <v>0</v>
      </c>
    </row>
    <row r="96" spans="2:21" ht="32.25" thickBot="1" x14ac:dyDescent="0.3">
      <c r="B96" s="311">
        <f t="shared" si="1"/>
        <v>76</v>
      </c>
      <c r="C96" s="312" t="str">
        <f>'סיכום לועדה- הזנת נתונים'!C96</f>
        <v>שרון שגיא - פלמנקו</v>
      </c>
      <c r="D96" s="572">
        <f>'סיכום לועדה- הזנת נתונים'!D96</f>
        <v>1001823658</v>
      </c>
      <c r="E96" s="573">
        <f>'סיכום לועדה- הזנת נתונים'!E96</f>
        <v>1001736496</v>
      </c>
      <c r="F96" s="573">
        <f>'סיכום לועדה- הזנת נתונים'!F96</f>
        <v>2021</v>
      </c>
      <c r="G96" s="458">
        <f>'סיכום לועדה- הזנת נתונים'!G96</f>
        <v>1</v>
      </c>
      <c r="H96" s="458" t="str">
        <f>'סיכום לועדה- הזנת נתונים'!H96</f>
        <v/>
      </c>
      <c r="I96" s="624">
        <f>'סיכום לועדה- הזנת נתונים'!I96</f>
        <v>2025</v>
      </c>
      <c r="J96" s="624">
        <f>'סיכום לועדה- הזנת נתונים'!J96</f>
        <v>41556008</v>
      </c>
      <c r="K96" s="624">
        <f>'סיכום לועדה- הזנת נתונים'!K96</f>
        <v>580651362</v>
      </c>
      <c r="L96" s="459" t="str">
        <f>'סיכום לועדה- הזנת נתונים'!L96</f>
        <v>פלמנקו נטורל - המרכז לאמנות הפלמנקו</v>
      </c>
      <c r="M96" s="460" t="str">
        <f>'סיכום לועדה- הזנת נתונים'!M96</f>
        <v>תמיכה לפעילות שוטפת</v>
      </c>
      <c r="N96" s="461">
        <f>'סיכום לועדה- הזנת נתונים'!N96</f>
        <v>280000</v>
      </c>
      <c r="O96" s="461">
        <f>'סיכום לועדה- הזנת נתונים'!O96</f>
        <v>209701</v>
      </c>
      <c r="P96" s="461">
        <f>'סיכום לועדה- הזנת נתונים'!P96</f>
        <v>246451.7604049053</v>
      </c>
      <c r="Q96" s="638">
        <f>'סיכום לועדה- הזנת נתונים'!Q96</f>
        <v>0.17525314807704917</v>
      </c>
      <c r="R96" s="457">
        <f>'סיכום לועדה- הזנת נתונים'!R96</f>
        <v>0</v>
      </c>
      <c r="S96" s="457">
        <f>'סיכום לועדה- הזנת נתונים'!S96</f>
        <v>0</v>
      </c>
      <c r="T96" s="458">
        <f>'סיכום לועדה- הזנת נתונים'!T96</f>
        <v>0</v>
      </c>
      <c r="U96" s="384" t="str">
        <f>'סיכום לועדה- הזנת נתונים'!U96</f>
        <v>בקשת התמיכה מומלצת בהתאם למבחן התמיכה</v>
      </c>
    </row>
    <row r="97" spans="2:21" ht="16.5" thickBot="1" x14ac:dyDescent="0.3">
      <c r="B97" s="311" t="str">
        <f t="shared" si="1"/>
        <v/>
      </c>
      <c r="C97" s="312" t="str">
        <f>'סיכום לועדה- הזנת נתונים'!C97</f>
        <v/>
      </c>
      <c r="D97" s="572">
        <f>'סיכום לועדה- הזנת נתונים'!D97</f>
        <v>0</v>
      </c>
      <c r="E97" s="573">
        <f>'סיכום לועדה- הזנת נתונים'!E97</f>
        <v>0</v>
      </c>
      <c r="F97" s="573">
        <f>'סיכום לועדה- הזנת נתונים'!F97</f>
        <v>0</v>
      </c>
      <c r="G97" s="458" t="str">
        <f>'סיכום לועדה- הזנת נתונים'!G97</f>
        <v/>
      </c>
      <c r="H97" s="458" t="str">
        <f>'סיכום לועדה- הזנת נתונים'!H97</f>
        <v/>
      </c>
      <c r="I97" s="624" t="str">
        <f>'סיכום לועדה- הזנת נתונים'!I97</f>
        <v/>
      </c>
      <c r="J97" s="624" t="str">
        <f>'סיכום לועדה- הזנת נתונים'!J97</f>
        <v/>
      </c>
      <c r="K97" s="624" t="str">
        <f>'סיכום לועדה- הזנת נתונים'!K97</f>
        <v/>
      </c>
      <c r="L97" s="459" t="str">
        <f>'סיכום לועדה- הזנת נתונים'!L97</f>
        <v/>
      </c>
      <c r="M97" s="460" t="str">
        <f>'סיכום לועדה- הזנת נתונים'!M97</f>
        <v/>
      </c>
      <c r="N97" s="461" t="str">
        <f>'סיכום לועדה- הזנת נתונים'!N97</f>
        <v/>
      </c>
      <c r="O97" s="461">
        <f>'סיכום לועדה- הזנת נתונים'!O97</f>
        <v>0</v>
      </c>
      <c r="P97" s="461" t="str">
        <f>'סיכום לועדה- הזנת נתונים'!P97</f>
        <v/>
      </c>
      <c r="Q97" s="638" t="str">
        <f>'סיכום לועדה- הזנת נתונים'!Q97</f>
        <v/>
      </c>
      <c r="R97" s="457" t="str">
        <f>'סיכום לועדה- הזנת נתונים'!R97</f>
        <v/>
      </c>
      <c r="S97" s="457">
        <f>'סיכום לועדה- הזנת נתונים'!S97</f>
        <v>0</v>
      </c>
      <c r="T97" s="458">
        <f>'סיכום לועדה- הזנת נתונים'!T97</f>
        <v>0</v>
      </c>
      <c r="U97" s="384">
        <f>'סיכום לועדה- הזנת נתונים'!U97</f>
        <v>0</v>
      </c>
    </row>
    <row r="98" spans="2:21" ht="32.25" thickBot="1" x14ac:dyDescent="0.3">
      <c r="B98" s="311">
        <f t="shared" si="1"/>
        <v>78</v>
      </c>
      <c r="C98" s="312" t="str">
        <f>'סיכום לועדה- הזנת נתונים'!C98</f>
        <v>אוליביה קורט מסה</v>
      </c>
      <c r="D98" s="572">
        <f>'סיכום לועדה- הזנת נתונים'!D98</f>
        <v>1001827320</v>
      </c>
      <c r="E98" s="573">
        <f>'סיכום לועדה- הזנת נתונים'!E98</f>
        <v>0</v>
      </c>
      <c r="F98" s="573">
        <f>'סיכום לועדה- הזנת נתונים'!F98</f>
        <v>2020</v>
      </c>
      <c r="G98" s="458">
        <f>'סיכום לועדה- הזנת נתונים'!G98</f>
        <v>1</v>
      </c>
      <c r="H98" s="458" t="str">
        <f>'סיכום לועדה- הזנת נתונים'!H98</f>
        <v>no</v>
      </c>
      <c r="I98" s="624">
        <f>'סיכום לועדה- הזנת נתונים'!I98</f>
        <v>2025</v>
      </c>
      <c r="J98" s="624">
        <f>'סיכום לועדה- הזנת נתונים'!J98</f>
        <v>40000564</v>
      </c>
      <c r="K98" s="624">
        <f>'סיכום לועדה- הזנת נתונים'!K98</f>
        <v>580215333</v>
      </c>
      <c r="L98" s="459" t="str">
        <f>'סיכום לועדה- הזנת נתונים'!L98</f>
        <v>עמותת הכוריאוגרפים (ע"ר)</v>
      </c>
      <c r="M98" s="460" t="str">
        <f>'סיכום לועדה- הזנת נתונים'!M98</f>
        <v>אוליביה קורט מסה-תמיכה ביוצרת עצמאית</v>
      </c>
      <c r="N98" s="461">
        <f>'סיכום לועדה- הזנת נתונים'!N98</f>
        <v>295000</v>
      </c>
      <c r="O98" s="461">
        <f>'סיכום לועדה- הזנת נתונים'!O98</f>
        <v>0</v>
      </c>
      <c r="P98" s="461">
        <f>'סיכום לועדה- הזנת נתונים'!P98</f>
        <v>98573.416263819221</v>
      </c>
      <c r="Q98" s="638" t="str">
        <f>'סיכום לועדה- הזנת נתונים'!Q98</f>
        <v/>
      </c>
      <c r="R98" s="457">
        <f>'סיכום לועדה- הזנת נתונים'!R98</f>
        <v>0</v>
      </c>
      <c r="S98" s="457">
        <f>'סיכום לועדה- הזנת נתונים'!S98</f>
        <v>0</v>
      </c>
      <c r="T98" s="458">
        <f>'סיכום לועדה- הזנת נתונים'!T98</f>
        <v>0</v>
      </c>
      <c r="U98" s="384" t="str">
        <f>'סיכום לועדה- הזנת נתונים'!U98</f>
        <v>יוצרת חדשה,התמיכה מומלצת בהתאם למבחן התמיכה.</v>
      </c>
    </row>
    <row r="99" spans="2:21" ht="16.5" thickBot="1" x14ac:dyDescent="0.3">
      <c r="B99" s="311" t="str">
        <f t="shared" si="1"/>
        <v/>
      </c>
      <c r="C99" s="312" t="str">
        <f>'סיכום לועדה- הזנת נתונים'!C99</f>
        <v/>
      </c>
      <c r="D99" s="572">
        <f>'סיכום לועדה- הזנת נתונים'!D99</f>
        <v>0</v>
      </c>
      <c r="E99" s="573">
        <f>'סיכום לועדה- הזנת נתונים'!E99</f>
        <v>0</v>
      </c>
      <c r="F99" s="573">
        <f>'סיכום לועדה- הזנת נתונים'!F99</f>
        <v>0</v>
      </c>
      <c r="G99" s="458" t="str">
        <f>'סיכום לועדה- הזנת נתונים'!G99</f>
        <v/>
      </c>
      <c r="H99" s="458" t="str">
        <f>'סיכום לועדה- הזנת נתונים'!H99</f>
        <v/>
      </c>
      <c r="I99" s="624" t="str">
        <f>'סיכום לועדה- הזנת נתונים'!I99</f>
        <v/>
      </c>
      <c r="J99" s="624" t="str">
        <f>'סיכום לועדה- הזנת נתונים'!J99</f>
        <v/>
      </c>
      <c r="K99" s="624" t="str">
        <f>'סיכום לועדה- הזנת נתונים'!K99</f>
        <v/>
      </c>
      <c r="L99" s="459" t="str">
        <f>'סיכום לועדה- הזנת נתונים'!L99</f>
        <v/>
      </c>
      <c r="M99" s="460" t="str">
        <f>'סיכום לועדה- הזנת נתונים'!M99</f>
        <v/>
      </c>
      <c r="N99" s="461" t="str">
        <f>'סיכום לועדה- הזנת נתונים'!N99</f>
        <v/>
      </c>
      <c r="O99" s="461">
        <f>'סיכום לועדה- הזנת נתונים'!O99</f>
        <v>0</v>
      </c>
      <c r="P99" s="461" t="str">
        <f>'סיכום לועדה- הזנת נתונים'!P99</f>
        <v/>
      </c>
      <c r="Q99" s="638" t="str">
        <f>'סיכום לועדה- הזנת נתונים'!Q99</f>
        <v/>
      </c>
      <c r="R99" s="457" t="str">
        <f>'סיכום לועדה- הזנת נתונים'!R99</f>
        <v/>
      </c>
      <c r="S99" s="457">
        <f>'סיכום לועדה- הזנת נתונים'!S99</f>
        <v>0</v>
      </c>
      <c r="T99" s="458">
        <f>'סיכום לועדה- הזנת נתונים'!T99</f>
        <v>0</v>
      </c>
      <c r="U99" s="384">
        <f>'סיכום לועדה- הזנת נתונים'!U99</f>
        <v>0</v>
      </c>
    </row>
    <row r="100" spans="2:21" ht="16.5" thickBot="1" x14ac:dyDescent="0.3">
      <c r="B100" s="311" t="str">
        <f t="shared" si="1"/>
        <v/>
      </c>
      <c r="C100" s="312" t="str">
        <f>'סיכום לועדה- הזנת נתונים'!C100</f>
        <v/>
      </c>
      <c r="D100" s="572">
        <f>'סיכום לועדה- הזנת נתונים'!D100</f>
        <v>0</v>
      </c>
      <c r="E100" s="573">
        <f>'סיכום לועדה- הזנת נתונים'!E100</f>
        <v>0</v>
      </c>
      <c r="F100" s="573">
        <f>'סיכום לועדה- הזנת נתונים'!F100</f>
        <v>0</v>
      </c>
      <c r="G100" s="458" t="str">
        <f>'סיכום לועדה- הזנת נתונים'!G100</f>
        <v/>
      </c>
      <c r="H100" s="458" t="str">
        <f>'סיכום לועדה- הזנת נתונים'!H100</f>
        <v/>
      </c>
      <c r="I100" s="624" t="str">
        <f>'סיכום לועדה- הזנת נתונים'!I100</f>
        <v/>
      </c>
      <c r="J100" s="624" t="str">
        <f>'סיכום לועדה- הזנת נתונים'!J100</f>
        <v/>
      </c>
      <c r="K100" s="624" t="str">
        <f>'סיכום לועדה- הזנת נתונים'!K100</f>
        <v/>
      </c>
      <c r="L100" s="459" t="str">
        <f>'סיכום לועדה- הזנת נתונים'!L100</f>
        <v/>
      </c>
      <c r="M100" s="460" t="str">
        <f>'סיכום לועדה- הזנת נתונים'!M100</f>
        <v/>
      </c>
      <c r="N100" s="461" t="str">
        <f>'סיכום לועדה- הזנת נתונים'!N100</f>
        <v/>
      </c>
      <c r="O100" s="461">
        <f>'סיכום לועדה- הזנת נתונים'!O100</f>
        <v>0</v>
      </c>
      <c r="P100" s="461" t="str">
        <f>'סיכום לועדה- הזנת נתונים'!P100</f>
        <v/>
      </c>
      <c r="Q100" s="638" t="str">
        <f>'סיכום לועדה- הזנת נתונים'!Q100</f>
        <v/>
      </c>
      <c r="R100" s="457" t="str">
        <f>'סיכום לועדה- הזנת נתונים'!R100</f>
        <v/>
      </c>
      <c r="S100" s="457">
        <f>'סיכום לועדה- הזנת נתונים'!S100</f>
        <v>0</v>
      </c>
      <c r="T100" s="458">
        <f>'סיכום לועדה- הזנת נתונים'!T100</f>
        <v>0</v>
      </c>
      <c r="U100" s="384">
        <f>'סיכום לועדה- הזנת נתונים'!U100</f>
        <v>0</v>
      </c>
    </row>
    <row r="101" spans="2:21" ht="32.25" thickBot="1" x14ac:dyDescent="0.3">
      <c r="B101" s="311">
        <f t="shared" si="1"/>
        <v>81</v>
      </c>
      <c r="C101" s="312" t="str">
        <f>'סיכום לועדה- הזנת נתונים'!C101</f>
        <v>דגה פדר</v>
      </c>
      <c r="D101" s="572">
        <f>'סיכום לועדה- הזנת נתונים'!D101</f>
        <v>1001827336</v>
      </c>
      <c r="E101" s="573">
        <f>'סיכום לועדה- הזנת נתונים'!E101</f>
        <v>1001735460</v>
      </c>
      <c r="F101" s="573">
        <f>'סיכום לועדה- הזנת נתונים'!F101</f>
        <v>2021</v>
      </c>
      <c r="G101" s="458">
        <f>'סיכום לועדה- הזנת נתונים'!G101</f>
        <v>1</v>
      </c>
      <c r="H101" s="458" t="str">
        <f>'סיכום לועדה- הזנת נתונים'!H101</f>
        <v/>
      </c>
      <c r="I101" s="624">
        <f>'סיכום לועדה- הזנת נתונים'!I101</f>
        <v>2025</v>
      </c>
      <c r="J101" s="624">
        <f>'סיכום לועדה- הזנת נתונים'!J101</f>
        <v>40000564</v>
      </c>
      <c r="K101" s="624">
        <f>'סיכום לועדה- הזנת נתונים'!K101</f>
        <v>580215333</v>
      </c>
      <c r="L101" s="459" t="str">
        <f>'סיכום לועדה- הזנת נתונים'!L101</f>
        <v>עמותת הכוריאוגרפים (ע"ר)</v>
      </c>
      <c r="M101" s="460" t="str">
        <f>'סיכום לועדה- הזנת נתונים'!M101</f>
        <v>דגה פדר-תמיכה ביוצרת עצמאית</v>
      </c>
      <c r="N101" s="461">
        <f>'סיכום לועדה- הזנת נתונים'!N101</f>
        <v>295000</v>
      </c>
      <c r="O101" s="461">
        <f>'סיכום לועדה- הזנת נתונים'!O101</f>
        <v>35296</v>
      </c>
      <c r="P101" s="461">
        <f>'סיכום לועדה- הזנת נתונים'!P101</f>
        <v>35122.323146623959</v>
      </c>
      <c r="Q101" s="638">
        <f>'סיכום לועדה- הזנת נתונים'!Q101</f>
        <v>-4.9205817479612834E-3</v>
      </c>
      <c r="R101" s="457">
        <f>'סיכום לועדה- הזנת נתונים'!R101</f>
        <v>0</v>
      </c>
      <c r="S101" s="457">
        <f>'סיכום לועדה- הזנת נתונים'!S101</f>
        <v>0</v>
      </c>
      <c r="T101" s="458">
        <f>'סיכום לועדה- הזנת נתונים'!T101</f>
        <v>0</v>
      </c>
      <c r="U101" s="384" t="str">
        <f>'סיכום לועדה- הזנת נתונים'!U101</f>
        <v>התמיכה מומלצת בהתאם למבחן התמיכה</v>
      </c>
    </row>
    <row r="102" spans="2:21" ht="32.25" thickBot="1" x14ac:dyDescent="0.3">
      <c r="B102" s="311">
        <f t="shared" si="1"/>
        <v>82</v>
      </c>
      <c r="C102" s="312" t="str">
        <f>'סיכום לועדה- הזנת נתונים'!C102</f>
        <v>דנה חפוטה</v>
      </c>
      <c r="D102" s="572">
        <f>'סיכום לועדה- הזנת נתונים'!D102</f>
        <v>1001827338</v>
      </c>
      <c r="E102" s="573">
        <f>'סיכום לועדה- הזנת נתונים'!E102</f>
        <v>1001735462</v>
      </c>
      <c r="F102" s="573">
        <f>'סיכום לועדה- הזנת נתונים'!F102</f>
        <v>2021</v>
      </c>
      <c r="G102" s="458">
        <f>'סיכום לועדה- הזנת נתונים'!G102</f>
        <v>1</v>
      </c>
      <c r="H102" s="458" t="str">
        <f>'סיכום לועדה- הזנת נתונים'!H102</f>
        <v/>
      </c>
      <c r="I102" s="624">
        <f>'סיכום לועדה- הזנת נתונים'!I102</f>
        <v>2025</v>
      </c>
      <c r="J102" s="624">
        <f>'סיכום לועדה- הזנת נתונים'!J102</f>
        <v>40000564</v>
      </c>
      <c r="K102" s="624">
        <f>'סיכום לועדה- הזנת נתונים'!K102</f>
        <v>580215333</v>
      </c>
      <c r="L102" s="459" t="str">
        <f>'סיכום לועדה- הזנת נתונים'!L102</f>
        <v>עמותת הכוריאוגרפים (ע"ר)</v>
      </c>
      <c r="M102" s="460" t="str">
        <f>'סיכום לועדה- הזנת נתונים'!M102</f>
        <v>דנה חפוטה-תמיכה ביוצרת עצמאית</v>
      </c>
      <c r="N102" s="461">
        <f>'סיכום לועדה- הזנת נתונים'!N102</f>
        <v>295000</v>
      </c>
      <c r="O102" s="461">
        <f>'סיכום לועדה- הזנת נתונים'!O102</f>
        <v>40372</v>
      </c>
      <c r="P102" s="461">
        <f>'סיכום לועדה- הזנת נתונים'!P102</f>
        <v>50641.641837943404</v>
      </c>
      <c r="Q102" s="638">
        <f>'סיכום לועדה- הזנת נתונים'!Q102</f>
        <v>0.25437535514572973</v>
      </c>
      <c r="R102" s="457">
        <f>'סיכום לועדה- הזנת נתונים'!R102</f>
        <v>0</v>
      </c>
      <c r="S102" s="457">
        <f>'סיכום לועדה- הזנת נתונים'!S102</f>
        <v>0</v>
      </c>
      <c r="T102" s="458">
        <f>'סיכום לועדה- הזנת נתונים'!T102</f>
        <v>0</v>
      </c>
      <c r="U102" s="384" t="str">
        <f>'סיכום לועדה- הזנת נתונים'!U102</f>
        <v>התמיכה מומלצת בהתאם למבחן התמיכה</v>
      </c>
    </row>
    <row r="103" spans="2:21" ht="16.5" thickBot="1" x14ac:dyDescent="0.3">
      <c r="B103" s="311" t="str">
        <f t="shared" si="1"/>
        <v/>
      </c>
      <c r="C103" s="312" t="str">
        <f>'סיכום לועדה- הזנת נתונים'!C103</f>
        <v/>
      </c>
      <c r="D103" s="572">
        <f>'סיכום לועדה- הזנת נתונים'!D103</f>
        <v>0</v>
      </c>
      <c r="E103" s="573">
        <f>'סיכום לועדה- הזנת נתונים'!E103</f>
        <v>0</v>
      </c>
      <c r="F103" s="573">
        <f>'סיכום לועדה- הזנת נתונים'!F103</f>
        <v>0</v>
      </c>
      <c r="G103" s="458" t="str">
        <f>'סיכום לועדה- הזנת נתונים'!G103</f>
        <v/>
      </c>
      <c r="H103" s="458" t="str">
        <f>'סיכום לועדה- הזנת נתונים'!H103</f>
        <v/>
      </c>
      <c r="I103" s="624" t="str">
        <f>'סיכום לועדה- הזנת נתונים'!I103</f>
        <v/>
      </c>
      <c r="J103" s="624" t="str">
        <f>'סיכום לועדה- הזנת נתונים'!J103</f>
        <v/>
      </c>
      <c r="K103" s="624" t="str">
        <f>'סיכום לועדה- הזנת נתונים'!K103</f>
        <v/>
      </c>
      <c r="L103" s="459" t="str">
        <f>'סיכום לועדה- הזנת נתונים'!L103</f>
        <v/>
      </c>
      <c r="M103" s="460" t="str">
        <f>'סיכום לועדה- הזנת נתונים'!M103</f>
        <v/>
      </c>
      <c r="N103" s="461" t="str">
        <f>'סיכום לועדה- הזנת נתונים'!N103</f>
        <v/>
      </c>
      <c r="O103" s="461">
        <f>'סיכום לועדה- הזנת נתונים'!O103</f>
        <v>0</v>
      </c>
      <c r="P103" s="461" t="str">
        <f>'סיכום לועדה- הזנת נתונים'!P103</f>
        <v/>
      </c>
      <c r="Q103" s="638" t="str">
        <f>'סיכום לועדה- הזנת נתונים'!Q103</f>
        <v/>
      </c>
      <c r="R103" s="457" t="str">
        <f>'סיכום לועדה- הזנת נתונים'!R103</f>
        <v/>
      </c>
      <c r="S103" s="457">
        <f>'סיכום לועדה- הזנת נתונים'!S103</f>
        <v>0</v>
      </c>
      <c r="T103" s="458">
        <f>'סיכום לועדה- הזנת נתונים'!T103</f>
        <v>0</v>
      </c>
      <c r="U103" s="384">
        <f>'סיכום לועדה- הזנת נתונים'!U103</f>
        <v>0</v>
      </c>
    </row>
    <row r="104" spans="2:21" ht="16.5" thickBot="1" x14ac:dyDescent="0.3">
      <c r="B104" s="311" t="str">
        <f t="shared" si="1"/>
        <v/>
      </c>
      <c r="C104" s="312" t="str">
        <f>'סיכום לועדה- הזנת נתונים'!C104</f>
        <v/>
      </c>
      <c r="D104" s="572">
        <f>'סיכום לועדה- הזנת נתונים'!D104</f>
        <v>0</v>
      </c>
      <c r="E104" s="573">
        <f>'סיכום לועדה- הזנת נתונים'!E104</f>
        <v>0</v>
      </c>
      <c r="F104" s="573">
        <f>'סיכום לועדה- הזנת נתונים'!F104</f>
        <v>0</v>
      </c>
      <c r="G104" s="458" t="str">
        <f>'סיכום לועדה- הזנת נתונים'!G104</f>
        <v/>
      </c>
      <c r="H104" s="458" t="str">
        <f>'סיכום לועדה- הזנת נתונים'!H104</f>
        <v/>
      </c>
      <c r="I104" s="624" t="str">
        <f>'סיכום לועדה- הזנת נתונים'!I104</f>
        <v/>
      </c>
      <c r="J104" s="624" t="str">
        <f>'סיכום לועדה- הזנת נתונים'!J104</f>
        <v/>
      </c>
      <c r="K104" s="624" t="str">
        <f>'סיכום לועדה- הזנת נתונים'!K104</f>
        <v/>
      </c>
      <c r="L104" s="459" t="str">
        <f>'סיכום לועדה- הזנת נתונים'!L104</f>
        <v/>
      </c>
      <c r="M104" s="460" t="str">
        <f>'סיכום לועדה- הזנת נתונים'!M104</f>
        <v/>
      </c>
      <c r="N104" s="461" t="str">
        <f>'סיכום לועדה- הזנת נתונים'!N104</f>
        <v/>
      </c>
      <c r="O104" s="461">
        <f>'סיכום לועדה- הזנת נתונים'!O104</f>
        <v>0</v>
      </c>
      <c r="P104" s="461" t="str">
        <f>'סיכום לועדה- הזנת נתונים'!P104</f>
        <v/>
      </c>
      <c r="Q104" s="638" t="str">
        <f>'סיכום לועדה- הזנת נתונים'!Q104</f>
        <v/>
      </c>
      <c r="R104" s="457" t="str">
        <f>'סיכום לועדה- הזנת נתונים'!R104</f>
        <v/>
      </c>
      <c r="S104" s="457">
        <f>'סיכום לועדה- הזנת נתונים'!S104</f>
        <v>0</v>
      </c>
      <c r="T104" s="458">
        <f>'סיכום לועדה- הזנת נתונים'!T104</f>
        <v>0</v>
      </c>
      <c r="U104" s="384">
        <f>'סיכום לועדה- הזנת נתונים'!U104</f>
        <v>0</v>
      </c>
    </row>
    <row r="105" spans="2:21" ht="32.25" thickBot="1" x14ac:dyDescent="0.3">
      <c r="B105" s="311">
        <f t="shared" si="1"/>
        <v>85</v>
      </c>
      <c r="C105" s="312" t="str">
        <f>'סיכום לועדה- הזנת נתונים'!C105</f>
        <v>יענק'לה פילצר</v>
      </c>
      <c r="D105" s="572">
        <f>'סיכום לועדה- הזנת נתונים'!D105</f>
        <v>1001827347</v>
      </c>
      <c r="E105" s="573">
        <f>'סיכום לועדה- הזנת נתונים'!E105</f>
        <v>1001735491</v>
      </c>
      <c r="F105" s="573">
        <f>'סיכום לועדה- הזנת נתונים'!F105</f>
        <v>2021</v>
      </c>
      <c r="G105" s="458">
        <f>'סיכום לועדה- הזנת נתונים'!G105</f>
        <v>1</v>
      </c>
      <c r="H105" s="458" t="str">
        <f>'סיכום לועדה- הזנת נתונים'!H105</f>
        <v/>
      </c>
      <c r="I105" s="624">
        <f>'סיכום לועדה- הזנת נתונים'!I105</f>
        <v>2025</v>
      </c>
      <c r="J105" s="624">
        <f>'סיכום לועדה- הזנת נתונים'!J105</f>
        <v>40000564</v>
      </c>
      <c r="K105" s="624">
        <f>'סיכום לועדה- הזנת נתונים'!K105</f>
        <v>580215333</v>
      </c>
      <c r="L105" s="459" t="str">
        <f>'סיכום לועדה- הזנת נתונים'!L105</f>
        <v>עמותת הכוריאוגרפים (ע"ר)</v>
      </c>
      <c r="M105" s="460" t="str">
        <f>'סיכום לועדה- הזנת נתונים'!M105</f>
        <v>יענקלה פילצר-תמיכה ביוצר עצמאי</v>
      </c>
      <c r="N105" s="461">
        <f>'סיכום לועדה- הזנת נתונים'!N105</f>
        <v>295000</v>
      </c>
      <c r="O105" s="461">
        <f>'סיכום לועדה- הזנת נתונים'!O105</f>
        <v>118486</v>
      </c>
      <c r="P105" s="461">
        <f>'סיכום לועדה- הזנת נתונים'!P105</f>
        <v>147543.09020021968</v>
      </c>
      <c r="Q105" s="638">
        <f>'סיכום לועדה- הזנת נתונים'!Q105</f>
        <v>0.24523648532501463</v>
      </c>
      <c r="R105" s="457">
        <f>'סיכום לועדה- הזנת נתונים'!R105</f>
        <v>0</v>
      </c>
      <c r="S105" s="457">
        <f>'סיכום לועדה- הזנת נתונים'!S105</f>
        <v>0</v>
      </c>
      <c r="T105" s="458">
        <f>'סיכום לועדה- הזנת נתונים'!T105</f>
        <v>0</v>
      </c>
      <c r="U105" s="384" t="str">
        <f>'סיכום לועדה- הזנת נתונים'!U105</f>
        <v>התמיכה מומלצת בהתאם למבחן התמיכה</v>
      </c>
    </row>
    <row r="106" spans="2:21" ht="32.25" thickBot="1" x14ac:dyDescent="0.3">
      <c r="B106" s="311">
        <f t="shared" si="1"/>
        <v>86</v>
      </c>
      <c r="C106" s="312" t="str">
        <f>'סיכום לועדה- הזנת נתונים'!C106</f>
        <v>ענבל פינטו</v>
      </c>
      <c r="D106" s="572">
        <f>'סיכום לועדה- הזנת נתונים'!D106</f>
        <v>1001827712</v>
      </c>
      <c r="E106" s="573">
        <f>'סיכום לועדה- הזנת נתונים'!E106</f>
        <v>1001735529</v>
      </c>
      <c r="F106" s="573">
        <f>'סיכום לועדה- הזנת נתונים'!F106</f>
        <v>2021</v>
      </c>
      <c r="G106" s="458">
        <f>'סיכום לועדה- הזנת נתונים'!G106</f>
        <v>1</v>
      </c>
      <c r="H106" s="458" t="str">
        <f>'סיכום לועדה- הזנת נתונים'!H106</f>
        <v/>
      </c>
      <c r="I106" s="624">
        <f>'סיכום לועדה- הזנת נתונים'!I106</f>
        <v>2025</v>
      </c>
      <c r="J106" s="624">
        <f>'סיכום לועדה- הזנת נתונים'!J106</f>
        <v>40000564</v>
      </c>
      <c r="K106" s="624">
        <f>'סיכום לועדה- הזנת נתונים'!K106</f>
        <v>580215333</v>
      </c>
      <c r="L106" s="459" t="str">
        <f>'סיכום לועדה- הזנת נתונים'!L106</f>
        <v>עמותת הכוריאוגרפים (ע"ר)</v>
      </c>
      <c r="M106" s="460" t="str">
        <f>'סיכום לועדה- הזנת נתונים'!M106</f>
        <v>ענבל פינטו-תמיכה ביוצרת עצמאית</v>
      </c>
      <c r="N106" s="461">
        <f>'סיכום לועדה- הזנת נתונים'!N106</f>
        <v>295000</v>
      </c>
      <c r="O106" s="461">
        <f>'סיכום לועדה- הזנת נתונים'!O106</f>
        <v>104222</v>
      </c>
      <c r="P106" s="461">
        <f>'סיכום לועדה- הזנת נתונים'!P106</f>
        <v>104815.54946529686</v>
      </c>
      <c r="Q106" s="638">
        <f>'סיכום לועדה- הזנת נתונים'!Q106</f>
        <v>5.695049656472273E-3</v>
      </c>
      <c r="R106" s="457">
        <f>'סיכום לועדה- הזנת נתונים'!R106</f>
        <v>0</v>
      </c>
      <c r="S106" s="457">
        <f>'סיכום לועדה- הזנת נתונים'!S106</f>
        <v>0</v>
      </c>
      <c r="T106" s="458">
        <f>'סיכום לועדה- הזנת נתונים'!T106</f>
        <v>0</v>
      </c>
      <c r="U106" s="384" t="str">
        <f>'סיכום לועדה- הזנת נתונים'!U106</f>
        <v>התמיכה מומלצת בהתאם למבחן התמיכה</v>
      </c>
    </row>
    <row r="107" spans="2:21" ht="32.25" thickBot="1" x14ac:dyDescent="0.3">
      <c r="B107" s="311">
        <f t="shared" si="1"/>
        <v>87</v>
      </c>
      <c r="C107" s="312" t="str">
        <f>'סיכום לועדה- הזנת נתונים'!C107</f>
        <v>רוני חדש</v>
      </c>
      <c r="D107" s="572">
        <f>'סיכום לועדה- הזנת נתונים'!D107</f>
        <v>1001827770</v>
      </c>
      <c r="E107" s="573">
        <f>'סיכום לועדה- הזנת נתונים'!E107</f>
        <v>1001735551</v>
      </c>
      <c r="F107" s="573">
        <f>'סיכום לועדה- הזנת נתונים'!F107</f>
        <v>2021</v>
      </c>
      <c r="G107" s="458">
        <f>'סיכום לועדה- הזנת נתונים'!G107</f>
        <v>1</v>
      </c>
      <c r="H107" s="458" t="str">
        <f>'סיכום לועדה- הזנת נתונים'!H107</f>
        <v/>
      </c>
      <c r="I107" s="624">
        <f>'סיכום לועדה- הזנת נתונים'!I107</f>
        <v>2025</v>
      </c>
      <c r="J107" s="624">
        <f>'סיכום לועדה- הזנת נתונים'!J107</f>
        <v>40000564</v>
      </c>
      <c r="K107" s="624">
        <f>'סיכום לועדה- הזנת נתונים'!K107</f>
        <v>580215333</v>
      </c>
      <c r="L107" s="459" t="str">
        <f>'סיכום לועדה- הזנת נתונים'!L107</f>
        <v>עמותת הכוריאוגרפים (ע"ר)</v>
      </c>
      <c r="M107" s="460" t="str">
        <f>'סיכום לועדה- הזנת נתונים'!M107</f>
        <v>רוני חדש-תמיכה ביוצרת עצמאית</v>
      </c>
      <c r="N107" s="461">
        <f>'סיכום לועדה- הזנת נתונים'!N107</f>
        <v>295000</v>
      </c>
      <c r="O107" s="461">
        <f>'סיכום לועדה- הזנת נתונים'!O107</f>
        <v>113688</v>
      </c>
      <c r="P107" s="461">
        <f>'סיכום לועדה- הזנת נתונים'!P107</f>
        <v>99915.235085259555</v>
      </c>
      <c r="Q107" s="638">
        <f>'סיכום לועדה- הזנת נתונים'!Q107</f>
        <v>-0.12114528283319648</v>
      </c>
      <c r="R107" s="457">
        <f>'סיכום לועדה- הזנת נתונים'!R107</f>
        <v>0</v>
      </c>
      <c r="S107" s="457">
        <f>'סיכום לועדה- הזנת נתונים'!S107</f>
        <v>0</v>
      </c>
      <c r="T107" s="458">
        <f>'סיכום לועדה- הזנת נתונים'!T107</f>
        <v>0</v>
      </c>
      <c r="U107" s="384" t="str">
        <f>'סיכום לועדה- הזנת נתונים'!U107</f>
        <v>התמיכה מומלצת בהתאם למבחן התמיכה</v>
      </c>
    </row>
    <row r="108" spans="2:21" ht="32.25" thickBot="1" x14ac:dyDescent="0.3">
      <c r="B108" s="311">
        <f t="shared" si="1"/>
        <v>88</v>
      </c>
      <c r="C108" s="312" t="str">
        <f>'סיכום לועדה- הזנת נתונים'!C108</f>
        <v>שחר בנימיני</v>
      </c>
      <c r="D108" s="572">
        <f>'סיכום לועדה- הזנת נתונים'!D108</f>
        <v>1001827775</v>
      </c>
      <c r="E108" s="573">
        <f>'סיכום לועדה- הזנת נתונים'!E108</f>
        <v>1001735556</v>
      </c>
      <c r="F108" s="573">
        <f>'סיכום לועדה- הזנת נתונים'!F108</f>
        <v>2021</v>
      </c>
      <c r="G108" s="458">
        <f>'סיכום לועדה- הזנת נתונים'!G108</f>
        <v>1</v>
      </c>
      <c r="H108" s="458" t="str">
        <f>'סיכום לועדה- הזנת נתונים'!H108</f>
        <v/>
      </c>
      <c r="I108" s="624">
        <f>'סיכום לועדה- הזנת נתונים'!I108</f>
        <v>2025</v>
      </c>
      <c r="J108" s="624">
        <f>'סיכום לועדה- הזנת נתונים'!J108</f>
        <v>40000564</v>
      </c>
      <c r="K108" s="624">
        <f>'סיכום לועדה- הזנת נתונים'!K108</f>
        <v>580215333</v>
      </c>
      <c r="L108" s="459" t="str">
        <f>'סיכום לועדה- הזנת נתונים'!L108</f>
        <v>עמותת הכוריאוגרפים (ע"ר)</v>
      </c>
      <c r="M108" s="460" t="str">
        <f>'סיכום לועדה- הזנת נתונים'!M108</f>
        <v>שחר בנימיני-תמיכה ביוצר עצמאי</v>
      </c>
      <c r="N108" s="461">
        <f>'סיכום לועדה- הזנת נתונים'!N108</f>
        <v>295000</v>
      </c>
      <c r="O108" s="461">
        <f>'סיכום לועדה- הזנת נתונים'!O108</f>
        <v>107793</v>
      </c>
      <c r="P108" s="461">
        <f>'סיכום לועדה- הזנת נתונים'!P108</f>
        <v>105211.97108072026</v>
      </c>
      <c r="Q108" s="638">
        <f>'סיכום לועדה- הזנת נתונים'!Q108</f>
        <v>-2.3944309178515644E-2</v>
      </c>
      <c r="R108" s="457">
        <f>'סיכום לועדה- הזנת נתונים'!R108</f>
        <v>0</v>
      </c>
      <c r="S108" s="457">
        <f>'סיכום לועדה- הזנת נתונים'!S108</f>
        <v>0</v>
      </c>
      <c r="T108" s="458">
        <f>'סיכום לועדה- הזנת נתונים'!T108</f>
        <v>0</v>
      </c>
      <c r="U108" s="384" t="str">
        <f>'סיכום לועדה- הזנת נתונים'!U108</f>
        <v>התמיכה מומלצת בהתאם למבחן התמיכה</v>
      </c>
    </row>
    <row r="109" spans="2:21" ht="32.25" thickBot="1" x14ac:dyDescent="0.3">
      <c r="B109" s="311">
        <f t="shared" si="1"/>
        <v>89</v>
      </c>
      <c r="C109" s="312" t="str">
        <f>'סיכום לועדה- הזנת נתונים'!C109</f>
        <v>רביד אברבאנל</v>
      </c>
      <c r="D109" s="572">
        <f>'סיכום לועדה- הזנת נתונים'!D109</f>
        <v>1001827759</v>
      </c>
      <c r="E109" s="573">
        <f>'סיכום לועדה- הזנת נתונים'!E109</f>
        <v>1001735550</v>
      </c>
      <c r="F109" s="573">
        <f>'סיכום לועדה- הזנת נתונים'!F109</f>
        <v>2022</v>
      </c>
      <c r="G109" s="458">
        <f>'סיכום לועדה- הזנת נתונים'!G109</f>
        <v>0</v>
      </c>
      <c r="H109" s="458" t="str">
        <f>'סיכום לועדה- הזנת נתונים'!H109</f>
        <v/>
      </c>
      <c r="I109" s="624">
        <f>'סיכום לועדה- הזנת נתונים'!I109</f>
        <v>2025</v>
      </c>
      <c r="J109" s="624">
        <f>'סיכום לועדה- הזנת נתונים'!J109</f>
        <v>40000564</v>
      </c>
      <c r="K109" s="624">
        <f>'סיכום לועדה- הזנת נתונים'!K109</f>
        <v>580215333</v>
      </c>
      <c r="L109" s="459" t="str">
        <f>'סיכום לועדה- הזנת נתונים'!L109</f>
        <v>עמותת הכוריאוגרפים (ע"ר)</v>
      </c>
      <c r="M109" s="460" t="str">
        <f>'סיכום לועדה- הזנת נתונים'!M109</f>
        <v>רביד אברבנל-תמיכה ביוצרת עצמאית</v>
      </c>
      <c r="N109" s="461">
        <f>'סיכום לועדה- הזנת נתונים'!N109</f>
        <v>295000</v>
      </c>
      <c r="O109" s="461">
        <f>'סיכום לועדה- הזנת נתונים'!O109</f>
        <v>54644</v>
      </c>
      <c r="P109" s="461">
        <f>'סיכום לועדה- הזנת נתונים'!P109</f>
        <v>65375.814765201176</v>
      </c>
      <c r="Q109" s="638">
        <f>'סיכום לועדה- הזנת נתונים'!Q109</f>
        <v>0.19639511685091082</v>
      </c>
      <c r="R109" s="457">
        <f>'סיכום לועדה- הזנת נתונים'!R109</f>
        <v>0</v>
      </c>
      <c r="S109" s="457">
        <f>'סיכום לועדה- הזנת נתונים'!S109</f>
        <v>0</v>
      </c>
      <c r="T109" s="458">
        <f>'סיכום לועדה- הזנת נתונים'!T109</f>
        <v>0</v>
      </c>
      <c r="U109" s="384" t="str">
        <f>'סיכום לועדה- הזנת נתונים'!U109</f>
        <v>התמיכה מומלצת בהתאם למבחן התמיכה</v>
      </c>
    </row>
    <row r="110" spans="2:21" ht="32.25" thickBot="1" x14ac:dyDescent="0.3">
      <c r="B110" s="311">
        <f t="shared" si="1"/>
        <v>90</v>
      </c>
      <c r="C110" s="312" t="str">
        <f>'סיכום לועדה- הזנת נתונים'!C110</f>
        <v>שרון פרידמן</v>
      </c>
      <c r="D110" s="572">
        <f>'סיכום לועדה- הזנת נתונים'!D110</f>
        <v>1001827781</v>
      </c>
      <c r="E110" s="573">
        <f>'סיכום לועדה- הזנת נתונים'!E110</f>
        <v>1001735564</v>
      </c>
      <c r="F110" s="573">
        <f>'סיכום לועדה- הזנת נתונים'!F110</f>
        <v>2022</v>
      </c>
      <c r="G110" s="458">
        <f>'סיכום לועדה- הזנת נתונים'!G110</f>
        <v>0</v>
      </c>
      <c r="H110" s="458" t="str">
        <f>'סיכום לועדה- הזנת נתונים'!H110</f>
        <v/>
      </c>
      <c r="I110" s="624">
        <f>'סיכום לועדה- הזנת נתונים'!I110</f>
        <v>2025</v>
      </c>
      <c r="J110" s="624">
        <f>'סיכום לועדה- הזנת נתונים'!J110</f>
        <v>40000564</v>
      </c>
      <c r="K110" s="624">
        <f>'סיכום לועדה- הזנת נתונים'!K110</f>
        <v>580215333</v>
      </c>
      <c r="L110" s="459" t="str">
        <f>'סיכום לועדה- הזנת נתונים'!L110</f>
        <v>עמותת הכוריאוגרפים (ע"ר)</v>
      </c>
      <c r="M110" s="460" t="str">
        <f>'סיכום לועדה- הזנת נתונים'!M110</f>
        <v>שרון פרידמן-תמיכה ביוצר עצמאי</v>
      </c>
      <c r="N110" s="461">
        <f>'סיכום לועדה- הזנת נתונים'!N110</f>
        <v>295000</v>
      </c>
      <c r="O110" s="461">
        <f>'סיכום לועדה- הזנת נתונים'!O110</f>
        <v>51870</v>
      </c>
      <c r="P110" s="461">
        <f>'סיכום לועדה- הזנת נתונים'!P110</f>
        <v>85426.572974711715</v>
      </c>
      <c r="Q110" s="638">
        <f>'סיכום לועדה- הזנת נתונים'!Q110</f>
        <v>0.64693605118009856</v>
      </c>
      <c r="R110" s="457">
        <f>'סיכום לועדה- הזנת נתונים'!R110</f>
        <v>0</v>
      </c>
      <c r="S110" s="457">
        <f>'סיכום לועדה- הזנת נתונים'!S110</f>
        <v>0</v>
      </c>
      <c r="T110" s="458">
        <f>'סיכום לועדה- הזנת נתונים'!T110</f>
        <v>0</v>
      </c>
      <c r="U110" s="384" t="str">
        <f>'סיכום לועדה- הזנת נתונים'!U110</f>
        <v>התמיכה מומלצת בהתאם למבחן התמיכה</v>
      </c>
    </row>
    <row r="111" spans="2:21" ht="32.25" thickBot="1" x14ac:dyDescent="0.3">
      <c r="B111" s="311">
        <f t="shared" si="1"/>
        <v>91</v>
      </c>
      <c r="C111" s="312" t="str">
        <f>'סיכום לועדה- הזנת נתונים'!C111</f>
        <v>מירב כהן</v>
      </c>
      <c r="D111" s="572">
        <f>'סיכום לועדה- הזנת נתונים'!D111</f>
        <v>1001827363</v>
      </c>
      <c r="E111" s="573">
        <f>'סיכום לועדה- הזנת נתונים'!E111</f>
        <v>1001735504</v>
      </c>
      <c r="F111" s="573">
        <f>'סיכום לועדה- הזנת נתונים'!F111</f>
        <v>2020</v>
      </c>
      <c r="G111" s="458">
        <f>'סיכום לועדה- הזנת נתונים'!G111</f>
        <v>1</v>
      </c>
      <c r="H111" s="458" t="str">
        <f>'סיכום לועדה- הזנת נתונים'!H111</f>
        <v/>
      </c>
      <c r="I111" s="624">
        <f>'סיכום לועדה- הזנת נתונים'!I111</f>
        <v>2025</v>
      </c>
      <c r="J111" s="624">
        <f>'סיכום לועדה- הזנת נתונים'!J111</f>
        <v>40000564</v>
      </c>
      <c r="K111" s="624">
        <f>'סיכום לועדה- הזנת נתונים'!K111</f>
        <v>580215333</v>
      </c>
      <c r="L111" s="459" t="str">
        <f>'סיכום לועדה- הזנת נתונים'!L111</f>
        <v>עמותת הכוריאוגרפים (ע"ר)</v>
      </c>
      <c r="M111" s="460" t="str">
        <f>'סיכום לועדה- הזנת נתונים'!M111</f>
        <v>מירב כהן-תמיכה ביוצרת עצמאית</v>
      </c>
      <c r="N111" s="461">
        <f>'סיכום לועדה- הזנת נתונים'!N111</f>
        <v>295000</v>
      </c>
      <c r="O111" s="461">
        <f>'סיכום לועדה- הזנת נתונים'!O111</f>
        <v>44731</v>
      </c>
      <c r="P111" s="461">
        <f>'סיכום לועדה- הזנת נתונים'!P111</f>
        <v>41436.981331546849</v>
      </c>
      <c r="Q111" s="638">
        <f>'סיכום לועדה- הזנת נתונים'!Q111</f>
        <v>-7.3640622129019007E-2</v>
      </c>
      <c r="R111" s="457">
        <f>'סיכום לועדה- הזנת נתונים'!R111</f>
        <v>0</v>
      </c>
      <c r="S111" s="457">
        <f>'סיכום לועדה- הזנת נתונים'!S111</f>
        <v>0</v>
      </c>
      <c r="T111" s="458">
        <f>'סיכום לועדה- הזנת נתונים'!T111</f>
        <v>0</v>
      </c>
      <c r="U111" s="384" t="str">
        <f>'סיכום לועדה- הזנת נתונים'!U111</f>
        <v>התמיכה מומלצת בהתאם למבחן התמיכה</v>
      </c>
    </row>
    <row r="112" spans="2:21" ht="32.25" thickBot="1" x14ac:dyDescent="0.3">
      <c r="B112" s="311">
        <f t="shared" si="1"/>
        <v>92</v>
      </c>
      <c r="C112" s="312" t="str">
        <f>'סיכום לועדה- הזנת נתונים'!C112</f>
        <v>קים טייטלבאום</v>
      </c>
      <c r="D112" s="572">
        <f>'סיכום לועדה- הזנת נתונים'!D112</f>
        <v>1001827757</v>
      </c>
      <c r="E112" s="573">
        <f>'סיכום לועדה- הזנת נתונים'!E112</f>
        <v>1001735549</v>
      </c>
      <c r="F112" s="573">
        <f>'סיכום לועדה- הזנת נתונים'!F112</f>
        <v>2022</v>
      </c>
      <c r="G112" s="458">
        <f>'סיכום לועדה- הזנת נתונים'!G112</f>
        <v>0</v>
      </c>
      <c r="H112" s="458" t="str">
        <f>'סיכום לועדה- הזנת נתונים'!H112</f>
        <v/>
      </c>
      <c r="I112" s="624">
        <f>'סיכום לועדה- הזנת נתונים'!I112</f>
        <v>2025</v>
      </c>
      <c r="J112" s="624">
        <f>'סיכום לועדה- הזנת נתונים'!J112</f>
        <v>40000564</v>
      </c>
      <c r="K112" s="624">
        <f>'סיכום לועדה- הזנת נתונים'!K112</f>
        <v>580215333</v>
      </c>
      <c r="L112" s="459" t="str">
        <f>'סיכום לועדה- הזנת נתונים'!L112</f>
        <v>עמותת הכוריאוגרפים (ע"ר)</v>
      </c>
      <c r="M112" s="460" t="str">
        <f>'סיכום לועדה- הזנת נתונים'!M112</f>
        <v>קימ טייטלבאום-תמיכה ביוצר עצמאי</v>
      </c>
      <c r="N112" s="461">
        <f>'סיכום לועדה- הזנת נתונים'!N112</f>
        <v>295000</v>
      </c>
      <c r="O112" s="461">
        <f>'סיכום לועדה- הזנת נתונים'!O112</f>
        <v>48987</v>
      </c>
      <c r="P112" s="461">
        <f>'סיכום לועדה- הזנת נתונים'!P112</f>
        <v>47314.329355968453</v>
      </c>
      <c r="Q112" s="638">
        <f>'סיכום לועדה- הזנת נתונים'!Q112</f>
        <v>-3.4145194521639333E-2</v>
      </c>
      <c r="R112" s="457">
        <f>'סיכום לועדה- הזנת נתונים'!R112</f>
        <v>0</v>
      </c>
      <c r="S112" s="457">
        <f>'סיכום לועדה- הזנת נתונים'!S112</f>
        <v>0</v>
      </c>
      <c r="T112" s="458">
        <f>'סיכום לועדה- הזנת נתונים'!T112</f>
        <v>0</v>
      </c>
      <c r="U112" s="384" t="str">
        <f>'סיכום לועדה- הזנת נתונים'!U112</f>
        <v>התמיכה מומלצת בהתאם למבחן התמיכה</v>
      </c>
    </row>
    <row r="113" spans="2:21" ht="16.5" thickBot="1" x14ac:dyDescent="0.3">
      <c r="B113" s="311" t="str">
        <f t="shared" si="1"/>
        <v/>
      </c>
      <c r="C113" s="312" t="str">
        <f>'סיכום לועדה- הזנת נתונים'!C113</f>
        <v/>
      </c>
      <c r="D113" s="572">
        <f>'סיכום לועדה- הזנת נתונים'!D113</f>
        <v>0</v>
      </c>
      <c r="E113" s="573">
        <f>'סיכום לועדה- הזנת נתונים'!E113</f>
        <v>0</v>
      </c>
      <c r="F113" s="573">
        <f>'סיכום לועדה- הזנת נתונים'!F113</f>
        <v>0</v>
      </c>
      <c r="G113" s="458" t="str">
        <f>'סיכום לועדה- הזנת נתונים'!G113</f>
        <v/>
      </c>
      <c r="H113" s="458" t="str">
        <f>'סיכום לועדה- הזנת נתונים'!H113</f>
        <v/>
      </c>
      <c r="I113" s="624" t="str">
        <f>'סיכום לועדה- הזנת נתונים'!I113</f>
        <v/>
      </c>
      <c r="J113" s="624" t="str">
        <f>'סיכום לועדה- הזנת נתונים'!J113</f>
        <v/>
      </c>
      <c r="K113" s="624" t="str">
        <f>'סיכום לועדה- הזנת נתונים'!K113</f>
        <v/>
      </c>
      <c r="L113" s="459" t="str">
        <f>'סיכום לועדה- הזנת נתונים'!L113</f>
        <v/>
      </c>
      <c r="M113" s="460" t="str">
        <f>'סיכום לועדה- הזנת נתונים'!M113</f>
        <v/>
      </c>
      <c r="N113" s="461" t="str">
        <f>'סיכום לועדה- הזנת נתונים'!N113</f>
        <v/>
      </c>
      <c r="O113" s="461">
        <f>'סיכום לועדה- הזנת נתונים'!O113</f>
        <v>0</v>
      </c>
      <c r="P113" s="461" t="str">
        <f>'סיכום לועדה- הזנת נתונים'!P113</f>
        <v/>
      </c>
      <c r="Q113" s="638" t="str">
        <f>'סיכום לועדה- הזנת נתונים'!Q113</f>
        <v/>
      </c>
      <c r="R113" s="457" t="str">
        <f>'סיכום לועדה- הזנת נתונים'!R113</f>
        <v/>
      </c>
      <c r="S113" s="457">
        <f>'סיכום לועדה- הזנת נתונים'!S113</f>
        <v>0</v>
      </c>
      <c r="T113" s="458">
        <f>'סיכום לועדה- הזנת נתונים'!T113</f>
        <v>0</v>
      </c>
      <c r="U113" s="384">
        <f>'סיכום לועדה- הזנת נתונים'!U113</f>
        <v>0</v>
      </c>
    </row>
    <row r="114" spans="2:21" ht="32.25" thickBot="1" x14ac:dyDescent="0.3">
      <c r="B114" s="311">
        <f t="shared" si="1"/>
        <v>94</v>
      </c>
      <c r="C114" s="312" t="str">
        <f>'סיכום לועדה- הזנת נתונים'!C114</f>
        <v>מאי זרחי</v>
      </c>
      <c r="D114" s="572">
        <f>'סיכום לועדה- הזנת נתונים'!D114</f>
        <v>1001827350</v>
      </c>
      <c r="E114" s="573">
        <f>'סיכום לועדה- הזנת נתונים'!E114</f>
        <v>0</v>
      </c>
      <c r="F114" s="573">
        <f>'סיכום לועדה- הזנת נתונים'!F114</f>
        <v>2020</v>
      </c>
      <c r="G114" s="458">
        <f>'סיכום לועדה- הזנת נתונים'!G114</f>
        <v>1</v>
      </c>
      <c r="H114" s="458" t="str">
        <f>'סיכום לועדה- הזנת נתונים'!H114</f>
        <v>no</v>
      </c>
      <c r="I114" s="624">
        <f>'סיכום לועדה- הזנת נתונים'!I114</f>
        <v>2025</v>
      </c>
      <c r="J114" s="624">
        <f>'סיכום לועדה- הזנת נתונים'!J114</f>
        <v>40000564</v>
      </c>
      <c r="K114" s="624">
        <f>'סיכום לועדה- הזנת נתונים'!K114</f>
        <v>580215333</v>
      </c>
      <c r="L114" s="459" t="str">
        <f>'סיכום לועדה- הזנת נתונים'!L114</f>
        <v>עמותת הכוריאוגרפים (ע"ר)</v>
      </c>
      <c r="M114" s="460" t="str">
        <f>'סיכום לועדה- הזנת נתונים'!M114</f>
        <v>מאי זרחי-תמיכה ביוצרת עצמאית</v>
      </c>
      <c r="N114" s="461">
        <f>'סיכום לועדה- הזנת נתונים'!N114</f>
        <v>295000</v>
      </c>
      <c r="O114" s="461">
        <f>'סיכום לועדה- הזנת נתונים'!O114</f>
        <v>0</v>
      </c>
      <c r="P114" s="461">
        <f>'סיכום לועדה- הזנת נתונים'!P114</f>
        <v>46611.395861813027</v>
      </c>
      <c r="Q114" s="638" t="str">
        <f>'סיכום לועדה- הזנת נתונים'!Q114</f>
        <v/>
      </c>
      <c r="R114" s="457">
        <f>'סיכום לועדה- הזנת נתונים'!R114</f>
        <v>0</v>
      </c>
      <c r="S114" s="457">
        <f>'סיכום לועדה- הזנת נתונים'!S114</f>
        <v>0</v>
      </c>
      <c r="T114" s="458">
        <f>'סיכום לועדה- הזנת נתונים'!T114</f>
        <v>0</v>
      </c>
      <c r="U114" s="384" t="str">
        <f>'סיכום לועדה- הזנת נתונים'!U114</f>
        <v>יוצרת חדשה,התמיכה מומלצת בהתאם למבחן התמיכה.</v>
      </c>
    </row>
    <row r="115" spans="2:21" ht="32.25" thickBot="1" x14ac:dyDescent="0.3">
      <c r="B115" s="311">
        <f t="shared" si="1"/>
        <v>95</v>
      </c>
      <c r="C115" s="312" t="str">
        <f>'סיכום לועדה- הזנת נתונים'!C115</f>
        <v>דנה מרכוס</v>
      </c>
      <c r="D115" s="572">
        <f>'סיכום לועדה- הזנת נתונים'!D115</f>
        <v>1001827340</v>
      </c>
      <c r="E115" s="573">
        <f>'סיכום לועדה- הזנת נתונים'!E115</f>
        <v>1001735465</v>
      </c>
      <c r="F115" s="573">
        <f>'סיכום לועדה- הזנת נתונים'!F115</f>
        <v>2022</v>
      </c>
      <c r="G115" s="458">
        <f>'סיכום לועדה- הזנת נתונים'!G115</f>
        <v>0</v>
      </c>
      <c r="H115" s="458" t="str">
        <f>'סיכום לועדה- הזנת נתונים'!H115</f>
        <v/>
      </c>
      <c r="I115" s="624">
        <f>'סיכום לועדה- הזנת נתונים'!I115</f>
        <v>2025</v>
      </c>
      <c r="J115" s="624">
        <f>'סיכום לועדה- הזנת נתונים'!J115</f>
        <v>40000564</v>
      </c>
      <c r="K115" s="624">
        <f>'סיכום לועדה- הזנת נתונים'!K115</f>
        <v>580215333</v>
      </c>
      <c r="L115" s="459" t="str">
        <f>'סיכום לועדה- הזנת נתונים'!L115</f>
        <v>עמותת הכוריאוגרפים (ע"ר)</v>
      </c>
      <c r="M115" s="460" t="str">
        <f>'סיכום לועדה- הזנת נתונים'!M115</f>
        <v>דנה מרכוס-תמיכה ביוצרת עצמאית</v>
      </c>
      <c r="N115" s="461">
        <f>'סיכום לועדה- הזנת נתונים'!N115</f>
        <v>295000</v>
      </c>
      <c r="O115" s="461">
        <f>'סיכום לועדה- הזנת נתונים'!O115</f>
        <v>52969</v>
      </c>
      <c r="P115" s="461">
        <f>'סיכום לועדה- הזנת נתונים'!P115</f>
        <v>56210.924039478654</v>
      </c>
      <c r="Q115" s="638">
        <f>'סיכום לועדה- הזנת נתונים'!Q115</f>
        <v>6.1204176772803986E-2</v>
      </c>
      <c r="R115" s="457">
        <f>'סיכום לועדה- הזנת נתונים'!R115</f>
        <v>0</v>
      </c>
      <c r="S115" s="457">
        <f>'סיכום לועדה- הזנת נתונים'!S115</f>
        <v>0</v>
      </c>
      <c r="T115" s="458">
        <f>'סיכום לועדה- הזנת נתונים'!T115</f>
        <v>0</v>
      </c>
      <c r="U115" s="384" t="str">
        <f>'סיכום לועדה- הזנת נתונים'!U115</f>
        <v>התמיכה מומלצת בהתאם למבחן התמיכה</v>
      </c>
    </row>
    <row r="116" spans="2:21" ht="16.5" thickBot="1" x14ac:dyDescent="0.3">
      <c r="B116" s="311" t="str">
        <f t="shared" si="1"/>
        <v/>
      </c>
      <c r="C116" s="312" t="str">
        <f>'סיכום לועדה- הזנת נתונים'!C116</f>
        <v/>
      </c>
      <c r="D116" s="572">
        <f>'סיכום לועדה- הזנת נתונים'!D116</f>
        <v>0</v>
      </c>
      <c r="E116" s="573">
        <f>'סיכום לועדה- הזנת נתונים'!E116</f>
        <v>0</v>
      </c>
      <c r="F116" s="573">
        <f>'סיכום לועדה- הזנת נתונים'!F116</f>
        <v>0</v>
      </c>
      <c r="G116" s="458" t="str">
        <f>'סיכום לועדה- הזנת נתונים'!G116</f>
        <v/>
      </c>
      <c r="H116" s="458" t="str">
        <f>'סיכום לועדה- הזנת נתונים'!H116</f>
        <v/>
      </c>
      <c r="I116" s="624" t="str">
        <f>'סיכום לועדה- הזנת נתונים'!I116</f>
        <v/>
      </c>
      <c r="J116" s="624" t="str">
        <f>'סיכום לועדה- הזנת נתונים'!J116</f>
        <v/>
      </c>
      <c r="K116" s="624" t="str">
        <f>'סיכום לועדה- הזנת נתונים'!K116</f>
        <v/>
      </c>
      <c r="L116" s="459" t="str">
        <f>'סיכום לועדה- הזנת נתונים'!L116</f>
        <v/>
      </c>
      <c r="M116" s="460" t="str">
        <f>'סיכום לועדה- הזנת נתונים'!M116</f>
        <v/>
      </c>
      <c r="N116" s="461" t="str">
        <f>'סיכום לועדה- הזנת נתונים'!N116</f>
        <v/>
      </c>
      <c r="O116" s="461">
        <f>'סיכום לועדה- הזנת נתונים'!O116</f>
        <v>0</v>
      </c>
      <c r="P116" s="461" t="str">
        <f>'סיכום לועדה- הזנת נתונים'!P116</f>
        <v/>
      </c>
      <c r="Q116" s="638" t="str">
        <f>'סיכום לועדה- הזנת נתונים'!Q116</f>
        <v/>
      </c>
      <c r="R116" s="457" t="str">
        <f>'סיכום לועדה- הזנת נתונים'!R116</f>
        <v/>
      </c>
      <c r="S116" s="457">
        <f>'סיכום לועדה- הזנת נתונים'!S116</f>
        <v>0</v>
      </c>
      <c r="T116" s="458">
        <f>'סיכום לועדה- הזנת נתונים'!T116</f>
        <v>0</v>
      </c>
      <c r="U116" s="384">
        <f>'סיכום לועדה- הזנת נתונים'!U116</f>
        <v>0</v>
      </c>
    </row>
    <row r="117" spans="2:21" ht="16.5" thickBot="1" x14ac:dyDescent="0.3">
      <c r="B117" s="311" t="str">
        <f t="shared" si="1"/>
        <v/>
      </c>
      <c r="C117" s="312" t="str">
        <f>'סיכום לועדה- הזנת נתונים'!C117</f>
        <v/>
      </c>
      <c r="D117" s="572">
        <f>'סיכום לועדה- הזנת נתונים'!D117</f>
        <v>0</v>
      </c>
      <c r="E117" s="573">
        <f>'סיכום לועדה- הזנת נתונים'!E117</f>
        <v>0</v>
      </c>
      <c r="F117" s="573">
        <f>'סיכום לועדה- הזנת נתונים'!F117</f>
        <v>0</v>
      </c>
      <c r="G117" s="458" t="str">
        <f>'סיכום לועדה- הזנת נתונים'!G117</f>
        <v/>
      </c>
      <c r="H117" s="458" t="str">
        <f>'סיכום לועדה- הזנת נתונים'!H117</f>
        <v/>
      </c>
      <c r="I117" s="624" t="str">
        <f>'סיכום לועדה- הזנת נתונים'!I117</f>
        <v/>
      </c>
      <c r="J117" s="624" t="str">
        <f>'סיכום לועדה- הזנת נתונים'!J117</f>
        <v/>
      </c>
      <c r="K117" s="624" t="str">
        <f>'סיכום לועדה- הזנת נתונים'!K117</f>
        <v/>
      </c>
      <c r="L117" s="459" t="str">
        <f>'סיכום לועדה- הזנת נתונים'!L117</f>
        <v/>
      </c>
      <c r="M117" s="460" t="str">
        <f>'סיכום לועדה- הזנת נתונים'!M117</f>
        <v/>
      </c>
      <c r="N117" s="461" t="str">
        <f>'סיכום לועדה- הזנת נתונים'!N117</f>
        <v/>
      </c>
      <c r="O117" s="461">
        <f>'סיכום לועדה- הזנת נתונים'!O117</f>
        <v>0</v>
      </c>
      <c r="P117" s="461" t="str">
        <f>'סיכום לועדה- הזנת נתונים'!P117</f>
        <v/>
      </c>
      <c r="Q117" s="638" t="str">
        <f>'סיכום לועדה- הזנת נתונים'!Q117</f>
        <v/>
      </c>
      <c r="R117" s="457" t="str">
        <f>'סיכום לועדה- הזנת נתונים'!R117</f>
        <v/>
      </c>
      <c r="S117" s="457">
        <f>'סיכום לועדה- הזנת נתונים'!S117</f>
        <v>0</v>
      </c>
      <c r="T117" s="458">
        <f>'סיכום לועדה- הזנת נתונים'!T117</f>
        <v>0</v>
      </c>
      <c r="U117" s="384">
        <f>'סיכום לועדה- הזנת נתונים'!U117</f>
        <v>0</v>
      </c>
    </row>
    <row r="118" spans="2:21" ht="32.25" thickBot="1" x14ac:dyDescent="0.3">
      <c r="B118" s="311">
        <f t="shared" si="1"/>
        <v>98</v>
      </c>
      <c r="C118" s="312" t="str">
        <f>'סיכום לועדה- הזנת נתונים'!C118</f>
        <v>שקד מוכיח</v>
      </c>
      <c r="D118" s="572">
        <f>'סיכום לועדה- הזנת נתונים'!D118</f>
        <v>1001827778</v>
      </c>
      <c r="E118" s="573">
        <f>'סיכום לועדה- הזנת נתונים'!E118</f>
        <v>1001735561</v>
      </c>
      <c r="F118" s="573">
        <f>'סיכום לועדה- הזנת נתונים'!F118</f>
        <v>2022</v>
      </c>
      <c r="G118" s="458">
        <f>'סיכום לועדה- הזנת נתונים'!G118</f>
        <v>0</v>
      </c>
      <c r="H118" s="458" t="str">
        <f>'סיכום לועדה- הזנת נתונים'!H118</f>
        <v/>
      </c>
      <c r="I118" s="624">
        <f>'סיכום לועדה- הזנת נתונים'!I118</f>
        <v>2025</v>
      </c>
      <c r="J118" s="624">
        <f>'סיכום לועדה- הזנת נתונים'!J118</f>
        <v>40000564</v>
      </c>
      <c r="K118" s="624">
        <f>'סיכום לועדה- הזנת נתונים'!K118</f>
        <v>580215333</v>
      </c>
      <c r="L118" s="459" t="str">
        <f>'סיכום לועדה- הזנת נתונים'!L118</f>
        <v>עמותת הכוריאוגרפים (ע"ר)</v>
      </c>
      <c r="M118" s="460" t="str">
        <f>'סיכום לועדה- הזנת נתונים'!M118</f>
        <v>שקד מוכיח-תמיכה ביוצרת עצמאית</v>
      </c>
      <c r="N118" s="461">
        <f>'סיכום לועדה- הזנת נתונים'!N118</f>
        <v>295000</v>
      </c>
      <c r="O118" s="461">
        <f>'סיכום לועדה- הזנת נתונים'!O118</f>
        <v>54685</v>
      </c>
      <c r="P118" s="461">
        <f>'סיכום לועדה- הזנת נתונים'!P118</f>
        <v>87082.385534881367</v>
      </c>
      <c r="Q118" s="638">
        <f>'סיכום לועדה- הזנת נתונים'!Q118</f>
        <v>0.59243641830266736</v>
      </c>
      <c r="R118" s="457">
        <f>'סיכום לועדה- הזנת נתונים'!R118</f>
        <v>0</v>
      </c>
      <c r="S118" s="457">
        <f>'סיכום לועדה- הזנת נתונים'!S118</f>
        <v>0</v>
      </c>
      <c r="T118" s="458">
        <f>'סיכום לועדה- הזנת נתונים'!T118</f>
        <v>0</v>
      </c>
      <c r="U118" s="384" t="str">
        <f>'סיכום לועדה- הזנת נתונים'!U118</f>
        <v>התמיכה מומלצת בהתאם למבחן התמיכה</v>
      </c>
    </row>
    <row r="119" spans="2:21" ht="32.25" thickBot="1" x14ac:dyDescent="0.3">
      <c r="B119" s="311">
        <f t="shared" si="1"/>
        <v>99</v>
      </c>
      <c r="C119" s="312" t="str">
        <f>'סיכום לועדה- הזנת נתונים'!C119</f>
        <v>שרון הללי אסא</v>
      </c>
      <c r="D119" s="572">
        <f>'סיכום לועדה- הזנת נתונים'!D119</f>
        <v>1001827779</v>
      </c>
      <c r="E119" s="573">
        <f>'סיכום לועדה- הזנת נתונים'!E119</f>
        <v>1001735562</v>
      </c>
      <c r="F119" s="573">
        <f>'סיכום לועדה- הזנת נתונים'!F119</f>
        <v>2020</v>
      </c>
      <c r="G119" s="458">
        <f>'סיכום לועדה- הזנת נתונים'!G119</f>
        <v>1</v>
      </c>
      <c r="H119" s="458" t="str">
        <f>'סיכום לועדה- הזנת נתונים'!H119</f>
        <v/>
      </c>
      <c r="I119" s="624">
        <f>'סיכום לועדה- הזנת נתונים'!I119</f>
        <v>2025</v>
      </c>
      <c r="J119" s="624">
        <f>'סיכום לועדה- הזנת נתונים'!J119</f>
        <v>40000564</v>
      </c>
      <c r="K119" s="624">
        <f>'סיכום לועדה- הזנת נתונים'!K119</f>
        <v>580215333</v>
      </c>
      <c r="L119" s="459" t="str">
        <f>'סיכום לועדה- הזנת נתונים'!L119</f>
        <v>עמותת הכוריאוגרפים (ע"ר)</v>
      </c>
      <c r="M119" s="460" t="str">
        <f>'סיכום לועדה- הזנת נתונים'!M119</f>
        <v>שרון הללי אסא-תמיכה ביוצרת עצמאית</v>
      </c>
      <c r="N119" s="461">
        <f>'סיכום לועדה- הזנת נתונים'!N119</f>
        <v>295000</v>
      </c>
      <c r="O119" s="461">
        <f>'סיכום לועדה- הזנת נתונים'!O119</f>
        <v>63003</v>
      </c>
      <c r="P119" s="461">
        <f>'סיכום לועדה- הזנת נתונים'!P119</f>
        <v>82462.242590156471</v>
      </c>
      <c r="Q119" s="638">
        <f>'סיכום לועדה- הזנת נתונים'!Q119</f>
        <v>0.30886215878857315</v>
      </c>
      <c r="R119" s="457">
        <f>'סיכום לועדה- הזנת נתונים'!R119</f>
        <v>0</v>
      </c>
      <c r="S119" s="457">
        <f>'סיכום לועדה- הזנת נתונים'!S119</f>
        <v>0</v>
      </c>
      <c r="T119" s="458">
        <f>'סיכום לועדה- הזנת נתונים'!T119</f>
        <v>0</v>
      </c>
      <c r="U119" s="384" t="str">
        <f>'סיכום לועדה- הזנת נתונים'!U119</f>
        <v>התמיכה מומלצת בהתאם למבחן התמיכה</v>
      </c>
    </row>
    <row r="120" spans="2:21" ht="32.25" thickBot="1" x14ac:dyDescent="0.3">
      <c r="B120" s="311">
        <f t="shared" si="1"/>
        <v>100</v>
      </c>
      <c r="C120" s="312" t="str">
        <f>'סיכום לועדה- הזנת נתונים'!C120</f>
        <v>להקת ג'אם</v>
      </c>
      <c r="D120" s="572">
        <f>'סיכום לועדה- הזנת נתונים'!D120</f>
        <v>1001843958</v>
      </c>
      <c r="E120" s="573">
        <f>'סיכום לועדה- הזנת נתונים'!E120</f>
        <v>1001778077</v>
      </c>
      <c r="F120" s="573">
        <f>'סיכום לועדה- הזנת נתונים'!F120</f>
        <v>2022</v>
      </c>
      <c r="G120" s="458">
        <f>'סיכום לועדה- הזנת נתונים'!G120</f>
        <v>0</v>
      </c>
      <c r="H120" s="458" t="str">
        <f>'סיכום לועדה- הזנת נתונים'!H120</f>
        <v/>
      </c>
      <c r="I120" s="624">
        <f>'סיכום לועדה- הזנת נתונים'!I120</f>
        <v>2025</v>
      </c>
      <c r="J120" s="624">
        <f>'סיכום לועדה- הזנת נתונים'!J120</f>
        <v>42449646</v>
      </c>
      <c r="K120" s="624">
        <f>'סיכום לועדה- הזנת נתונים'!K120</f>
        <v>580717494</v>
      </c>
      <c r="L120" s="459" t="str">
        <f>'סיכום לועדה- הזנת נתונים'!L120</f>
        <v>ג'אם להקת מחול (ע"ר)</v>
      </c>
      <c r="M120" s="460" t="str">
        <f>'סיכום לועדה- הזנת נתונים'!M120</f>
        <v>ג'אם להקת מחול, בקשת תמיכה 2025</v>
      </c>
      <c r="N120" s="461">
        <f>'סיכום לועדה- הזנת נתונים'!N120</f>
        <v>150000</v>
      </c>
      <c r="O120" s="461">
        <f>'סיכום לועדה- הזנת נתונים'!O120</f>
        <v>34967</v>
      </c>
      <c r="P120" s="461">
        <f>'סיכום לועדה- הזנת נתונים'!P120</f>
        <v>51108.86439438277</v>
      </c>
      <c r="Q120" s="638">
        <f>'סיכום לועדה- הזנת נתונים'!Q120</f>
        <v>0.46163137799590381</v>
      </c>
      <c r="R120" s="457">
        <f>'סיכום לועדה- הזנת נתונים'!R120</f>
        <v>0</v>
      </c>
      <c r="S120" s="457">
        <f>'סיכום לועדה- הזנת נתונים'!S120</f>
        <v>0</v>
      </c>
      <c r="T120" s="458">
        <f>'סיכום לועדה- הזנת נתונים'!T120</f>
        <v>0</v>
      </c>
      <c r="U120" s="384" t="str">
        <f>'סיכום לועדה- הזנת נתונים'!U120</f>
        <v>התמיכה מומלצת בהתאם למבחן התמיכה</v>
      </c>
    </row>
    <row r="121" spans="2:21" ht="16.5" thickBot="1" x14ac:dyDescent="0.3">
      <c r="B121" s="311" t="str">
        <f t="shared" ref="B121:B132" si="2">IF(C121="","",ROW()-20)</f>
        <v/>
      </c>
      <c r="C121" s="312" t="str">
        <f>'סיכום לועדה- הזנת נתונים'!C121</f>
        <v/>
      </c>
      <c r="D121" s="572">
        <f>'סיכום לועדה- הזנת נתונים'!D121</f>
        <v>0</v>
      </c>
      <c r="E121" s="573">
        <f>'סיכום לועדה- הזנת נתונים'!E121</f>
        <v>0</v>
      </c>
      <c r="F121" s="573">
        <f>'סיכום לועדה- הזנת נתונים'!F121</f>
        <v>0</v>
      </c>
      <c r="G121" s="458" t="str">
        <f>'סיכום לועדה- הזנת נתונים'!G121</f>
        <v/>
      </c>
      <c r="H121" s="458" t="str">
        <f>'סיכום לועדה- הזנת נתונים'!H121</f>
        <v/>
      </c>
      <c r="I121" s="624" t="str">
        <f>'סיכום לועדה- הזנת נתונים'!I121</f>
        <v/>
      </c>
      <c r="J121" s="624" t="str">
        <f>'סיכום לועדה- הזנת נתונים'!J121</f>
        <v/>
      </c>
      <c r="K121" s="624" t="str">
        <f>'סיכום לועדה- הזנת נתונים'!K121</f>
        <v/>
      </c>
      <c r="L121" s="459" t="str">
        <f>'סיכום לועדה- הזנת נתונים'!L121</f>
        <v/>
      </c>
      <c r="M121" s="460" t="str">
        <f>'סיכום לועדה- הזנת נתונים'!M121</f>
        <v/>
      </c>
      <c r="N121" s="461" t="str">
        <f>'סיכום לועדה- הזנת נתונים'!N121</f>
        <v/>
      </c>
      <c r="O121" s="461">
        <f>'סיכום לועדה- הזנת נתונים'!O121</f>
        <v>0</v>
      </c>
      <c r="P121" s="461" t="str">
        <f>'סיכום לועדה- הזנת נתונים'!P121</f>
        <v/>
      </c>
      <c r="Q121" s="638" t="str">
        <f>'סיכום לועדה- הזנת נתונים'!Q121</f>
        <v/>
      </c>
      <c r="R121" s="457" t="str">
        <f>'סיכום לועדה- הזנת נתונים'!R121</f>
        <v/>
      </c>
      <c r="S121" s="457">
        <f>'סיכום לועדה- הזנת נתונים'!S121</f>
        <v>0</v>
      </c>
      <c r="T121" s="458">
        <f>'סיכום לועדה- הזנת נתונים'!T121</f>
        <v>0</v>
      </c>
      <c r="U121" s="384">
        <f>'סיכום לועדה- הזנת נתונים'!U121</f>
        <v>0</v>
      </c>
    </row>
    <row r="122" spans="2:21" ht="16.5" thickBot="1" x14ac:dyDescent="0.3">
      <c r="B122" s="311" t="str">
        <f t="shared" si="2"/>
        <v/>
      </c>
      <c r="C122" s="312" t="str">
        <f>'סיכום לועדה- הזנת נתונים'!C122</f>
        <v/>
      </c>
      <c r="D122" s="572">
        <f>'סיכום לועדה- הזנת נתונים'!D122</f>
        <v>0</v>
      </c>
      <c r="E122" s="573">
        <f>'סיכום לועדה- הזנת נתונים'!E122</f>
        <v>0</v>
      </c>
      <c r="F122" s="573">
        <f>'סיכום לועדה- הזנת נתונים'!F122</f>
        <v>0</v>
      </c>
      <c r="G122" s="458" t="str">
        <f>'סיכום לועדה- הזנת נתונים'!G122</f>
        <v/>
      </c>
      <c r="H122" s="458" t="str">
        <f>'סיכום לועדה- הזנת נתונים'!H122</f>
        <v/>
      </c>
      <c r="I122" s="624" t="str">
        <f>'סיכום לועדה- הזנת נתונים'!I122</f>
        <v/>
      </c>
      <c r="J122" s="624" t="str">
        <f>'סיכום לועדה- הזנת נתונים'!J122</f>
        <v/>
      </c>
      <c r="K122" s="624" t="str">
        <f>'סיכום לועדה- הזנת נתונים'!K122</f>
        <v/>
      </c>
      <c r="L122" s="459" t="str">
        <f>'סיכום לועדה- הזנת נתונים'!L122</f>
        <v/>
      </c>
      <c r="M122" s="460" t="str">
        <f>'סיכום לועדה- הזנת נתונים'!M122</f>
        <v/>
      </c>
      <c r="N122" s="461" t="str">
        <f>'סיכום לועדה- הזנת נתונים'!N122</f>
        <v/>
      </c>
      <c r="O122" s="461">
        <f>'סיכום לועדה- הזנת נתונים'!O122</f>
        <v>0</v>
      </c>
      <c r="P122" s="461" t="str">
        <f>'סיכום לועדה- הזנת נתונים'!P122</f>
        <v/>
      </c>
      <c r="Q122" s="638" t="str">
        <f>'סיכום לועדה- הזנת נתונים'!Q122</f>
        <v/>
      </c>
      <c r="R122" s="457" t="str">
        <f>'סיכום לועדה- הזנת נתונים'!R122</f>
        <v/>
      </c>
      <c r="S122" s="457">
        <f>'סיכום לועדה- הזנת נתונים'!S122</f>
        <v>0</v>
      </c>
      <c r="T122" s="458">
        <f>'סיכום לועדה- הזנת נתונים'!T122</f>
        <v>0</v>
      </c>
      <c r="U122" s="384">
        <f>'סיכום לועדה- הזנת נתונים'!U122</f>
        <v>0</v>
      </c>
    </row>
    <row r="123" spans="2:21" ht="16.5" thickBot="1" x14ac:dyDescent="0.3">
      <c r="B123" s="311" t="str">
        <f t="shared" si="2"/>
        <v/>
      </c>
      <c r="C123" s="312" t="str">
        <f>'סיכום לועדה- הזנת נתונים'!C123</f>
        <v/>
      </c>
      <c r="D123" s="572">
        <f>'סיכום לועדה- הזנת נתונים'!D123</f>
        <v>0</v>
      </c>
      <c r="E123" s="573">
        <f>'סיכום לועדה- הזנת נתונים'!E123</f>
        <v>0</v>
      </c>
      <c r="F123" s="573">
        <f>'סיכום לועדה- הזנת נתונים'!F123</f>
        <v>0</v>
      </c>
      <c r="G123" s="458" t="str">
        <f>'סיכום לועדה- הזנת נתונים'!G123</f>
        <v/>
      </c>
      <c r="H123" s="458" t="str">
        <f>'סיכום לועדה- הזנת נתונים'!H123</f>
        <v/>
      </c>
      <c r="I123" s="624" t="str">
        <f>'סיכום לועדה- הזנת נתונים'!I123</f>
        <v/>
      </c>
      <c r="J123" s="624" t="str">
        <f>'סיכום לועדה- הזנת נתונים'!J123</f>
        <v/>
      </c>
      <c r="K123" s="624" t="str">
        <f>'סיכום לועדה- הזנת נתונים'!K123</f>
        <v/>
      </c>
      <c r="L123" s="459" t="str">
        <f>'סיכום לועדה- הזנת נתונים'!L123</f>
        <v/>
      </c>
      <c r="M123" s="460" t="str">
        <f>'סיכום לועדה- הזנת נתונים'!M123</f>
        <v/>
      </c>
      <c r="N123" s="461" t="str">
        <f>'סיכום לועדה- הזנת נתונים'!N123</f>
        <v/>
      </c>
      <c r="O123" s="461">
        <f>'סיכום לועדה- הזנת נתונים'!O123</f>
        <v>0</v>
      </c>
      <c r="P123" s="461" t="str">
        <f>'סיכום לועדה- הזנת נתונים'!P123</f>
        <v/>
      </c>
      <c r="Q123" s="638" t="str">
        <f>'סיכום לועדה- הזנת נתונים'!Q123</f>
        <v/>
      </c>
      <c r="R123" s="457" t="str">
        <f>'סיכום לועדה- הזנת נתונים'!R123</f>
        <v/>
      </c>
      <c r="S123" s="457">
        <f>'סיכום לועדה- הזנת נתונים'!S123</f>
        <v>0</v>
      </c>
      <c r="T123" s="458">
        <f>'סיכום לועדה- הזנת נתונים'!T123</f>
        <v>0</v>
      </c>
      <c r="U123" s="384">
        <f>'סיכום לועדה- הזנת נתונים'!U123</f>
        <v>0</v>
      </c>
    </row>
    <row r="124" spans="2:21" ht="16.5" thickBot="1" x14ac:dyDescent="0.3">
      <c r="B124" s="311" t="str">
        <f t="shared" si="2"/>
        <v/>
      </c>
      <c r="C124" s="312" t="str">
        <f>'סיכום לועדה- הזנת נתונים'!C124</f>
        <v/>
      </c>
      <c r="D124" s="572">
        <f>'סיכום לועדה- הזנת נתונים'!D124</f>
        <v>0</v>
      </c>
      <c r="E124" s="573">
        <f>'סיכום לועדה- הזנת נתונים'!E124</f>
        <v>0</v>
      </c>
      <c r="F124" s="573">
        <f>'סיכום לועדה- הזנת נתונים'!F124</f>
        <v>0</v>
      </c>
      <c r="G124" s="458" t="str">
        <f>'סיכום לועדה- הזנת נתונים'!G124</f>
        <v/>
      </c>
      <c r="H124" s="458" t="str">
        <f>'סיכום לועדה- הזנת נתונים'!H124</f>
        <v/>
      </c>
      <c r="I124" s="624" t="str">
        <f>'סיכום לועדה- הזנת נתונים'!I124</f>
        <v/>
      </c>
      <c r="J124" s="624" t="str">
        <f>'סיכום לועדה- הזנת נתונים'!J124</f>
        <v/>
      </c>
      <c r="K124" s="624" t="str">
        <f>'סיכום לועדה- הזנת נתונים'!K124</f>
        <v/>
      </c>
      <c r="L124" s="459" t="str">
        <f>'סיכום לועדה- הזנת נתונים'!L124</f>
        <v/>
      </c>
      <c r="M124" s="460" t="str">
        <f>'סיכום לועדה- הזנת נתונים'!M124</f>
        <v/>
      </c>
      <c r="N124" s="461" t="str">
        <f>'סיכום לועדה- הזנת נתונים'!N124</f>
        <v/>
      </c>
      <c r="O124" s="461">
        <f>'סיכום לועדה- הזנת נתונים'!O124</f>
        <v>0</v>
      </c>
      <c r="P124" s="461" t="str">
        <f>'סיכום לועדה- הזנת נתונים'!P124</f>
        <v/>
      </c>
      <c r="Q124" s="638" t="str">
        <f>'סיכום לועדה- הזנת נתונים'!Q124</f>
        <v/>
      </c>
      <c r="R124" s="457" t="str">
        <f>'סיכום לועדה- הזנת נתונים'!R124</f>
        <v/>
      </c>
      <c r="S124" s="457">
        <f>'סיכום לועדה- הזנת נתונים'!S124</f>
        <v>0</v>
      </c>
      <c r="T124" s="458">
        <f>'סיכום לועדה- הזנת נתונים'!T124</f>
        <v>0</v>
      </c>
      <c r="U124" s="384">
        <f>'סיכום לועדה- הזנת נתונים'!U124</f>
        <v>0</v>
      </c>
    </row>
    <row r="125" spans="2:21" ht="32.25" thickBot="1" x14ac:dyDescent="0.3">
      <c r="B125" s="311">
        <f t="shared" si="2"/>
        <v>105</v>
      </c>
      <c r="C125" s="312" t="str">
        <f>'סיכום לועדה- הזנת נתונים'!C125</f>
        <v>מורן אברג'ל יצחקי</v>
      </c>
      <c r="D125" s="572">
        <f>'סיכום לועדה- הזנת נתונים'!D125</f>
        <v>1001827355</v>
      </c>
      <c r="E125" s="573">
        <f>'סיכום לועדה- הזנת נתונים'!E125</f>
        <v>0</v>
      </c>
      <c r="F125" s="573">
        <f>'סיכום לועדה- הזנת נתונים'!F125</f>
        <v>2020</v>
      </c>
      <c r="G125" s="458">
        <f>'סיכום לועדה- הזנת נתונים'!G125</f>
        <v>1</v>
      </c>
      <c r="H125" s="458" t="str">
        <f>'סיכום לועדה- הזנת נתונים'!H125</f>
        <v>no</v>
      </c>
      <c r="I125" s="624">
        <f>'סיכום לועדה- הזנת נתונים'!I125</f>
        <v>2025</v>
      </c>
      <c r="J125" s="624">
        <f>'סיכום לועדה- הזנת נתונים'!J125</f>
        <v>40000564</v>
      </c>
      <c r="K125" s="624">
        <f>'סיכום לועדה- הזנת נתונים'!K125</f>
        <v>580215333</v>
      </c>
      <c r="L125" s="459" t="str">
        <f>'סיכום לועדה- הזנת נתונים'!L125</f>
        <v>עמותת הכוריאוגרפים (ע"ר)</v>
      </c>
      <c r="M125" s="460" t="str">
        <f>'סיכום לועדה- הזנת נתונים'!M125</f>
        <v>מורן יצחקי אברגל-תמיכה ביוצרת עצמאית</v>
      </c>
      <c r="N125" s="461">
        <f>'סיכום לועדה- הזנת נתונים'!N125</f>
        <v>295000</v>
      </c>
      <c r="O125" s="461">
        <f>'סיכום לועדה- הזנת נתונים'!O125</f>
        <v>0</v>
      </c>
      <c r="P125" s="461">
        <f>'סיכום לועדה- הזנת נתונים'!P125</f>
        <v>45808.852076211057</v>
      </c>
      <c r="Q125" s="638" t="str">
        <f>'סיכום לועדה- הזנת נתונים'!Q125</f>
        <v/>
      </c>
      <c r="R125" s="457">
        <f>'סיכום לועדה- הזנת נתונים'!R125</f>
        <v>0</v>
      </c>
      <c r="S125" s="457">
        <f>'סיכום לועדה- הזנת נתונים'!S125</f>
        <v>0</v>
      </c>
      <c r="T125" s="458">
        <f>'סיכום לועדה- הזנת נתונים'!T125</f>
        <v>0</v>
      </c>
      <c r="U125" s="384" t="str">
        <f>'סיכום לועדה- הזנת נתונים'!U125</f>
        <v>בקשה חדשה, התמיכה מומלצת בהתאם למבחן התמיכה.</v>
      </c>
    </row>
    <row r="126" spans="2:21" ht="32.25" thickBot="1" x14ac:dyDescent="0.3">
      <c r="B126" s="311">
        <f t="shared" si="2"/>
        <v>106</v>
      </c>
      <c r="C126" s="312" t="str">
        <f>'סיכום לועדה- הזנת נתונים'!C126</f>
        <v>מיכל בן צבי</v>
      </c>
      <c r="D126" s="572">
        <f>'סיכום לועדה- הזנת נתונים'!D126</f>
        <v>1001827358</v>
      </c>
      <c r="E126" s="573">
        <f>'סיכום לועדה- הזנת נתונים'!E126</f>
        <v>0</v>
      </c>
      <c r="F126" s="573">
        <f>'סיכום לועדה- הזנת נתונים'!F126</f>
        <v>2020</v>
      </c>
      <c r="G126" s="458">
        <f>'סיכום לועדה- הזנת נתונים'!G126</f>
        <v>1</v>
      </c>
      <c r="H126" s="458" t="str">
        <f>'סיכום לועדה- הזנת נתונים'!H126</f>
        <v>no</v>
      </c>
      <c r="I126" s="624">
        <f>'סיכום לועדה- הזנת נתונים'!I126</f>
        <v>2025</v>
      </c>
      <c r="J126" s="624">
        <f>'סיכום לועדה- הזנת נתונים'!J126</f>
        <v>40000564</v>
      </c>
      <c r="K126" s="624">
        <f>'סיכום לועדה- הזנת נתונים'!K126</f>
        <v>580215333</v>
      </c>
      <c r="L126" s="459" t="str">
        <f>'סיכום לועדה- הזנת נתונים'!L126</f>
        <v>עמותת הכוריאוגרפים (ע"ר)</v>
      </c>
      <c r="M126" s="460" t="str">
        <f>'סיכום לועדה- הזנת נתונים'!M126</f>
        <v>מיכל בן צבי-תמיכה ביוצרת עצמאית</v>
      </c>
      <c r="N126" s="461">
        <f>'סיכום לועדה- הזנת נתונים'!N126</f>
        <v>295000</v>
      </c>
      <c r="O126" s="461">
        <f>'סיכום לועדה- הזנת נתונים'!O126</f>
        <v>0</v>
      </c>
      <c r="P126" s="461">
        <f>'סיכום לועדה- הזנת נתונים'!P126</f>
        <v>60622.093174946414</v>
      </c>
      <c r="Q126" s="638" t="str">
        <f>'סיכום לועדה- הזנת נתונים'!Q126</f>
        <v/>
      </c>
      <c r="R126" s="457">
        <f>'סיכום לועדה- הזנת נתונים'!R126</f>
        <v>0</v>
      </c>
      <c r="S126" s="457">
        <f>'סיכום לועדה- הזנת נתונים'!S126</f>
        <v>0</v>
      </c>
      <c r="T126" s="458">
        <f>'סיכום לועדה- הזנת נתונים'!T126</f>
        <v>0</v>
      </c>
      <c r="U126" s="384" t="str">
        <f>'סיכום לועדה- הזנת נתונים'!U126</f>
        <v>בקשה חדשה, התמיכה מומלצת בהתאם למבחן התמיכה.</v>
      </c>
    </row>
    <row r="127" spans="2:21" ht="32.25" thickBot="1" x14ac:dyDescent="0.3">
      <c r="B127" s="311">
        <f t="shared" si="2"/>
        <v>107</v>
      </c>
      <c r="C127" s="312" t="str">
        <f>'סיכום לועדה- הזנת נתונים'!C127</f>
        <v>מיקה קופפר</v>
      </c>
      <c r="D127" s="572">
        <f>'סיכום לועדה- הזנת נתונים'!D127</f>
        <v>1001827361</v>
      </c>
      <c r="E127" s="573">
        <f>'סיכום לועדה- הזנת נתונים'!E127</f>
        <v>1001735502</v>
      </c>
      <c r="F127" s="573">
        <f>'סיכום לועדה- הזנת נתונים'!F127</f>
        <v>2020</v>
      </c>
      <c r="G127" s="458">
        <f>'סיכום לועדה- הזנת נתונים'!G127</f>
        <v>1</v>
      </c>
      <c r="H127" s="458" t="str">
        <f>'סיכום לועדה- הזנת נתונים'!H127</f>
        <v/>
      </c>
      <c r="I127" s="624">
        <f>'סיכום לועדה- הזנת נתונים'!I127</f>
        <v>2025</v>
      </c>
      <c r="J127" s="624">
        <f>'סיכום לועדה- הזנת נתונים'!J127</f>
        <v>40000564</v>
      </c>
      <c r="K127" s="624">
        <f>'סיכום לועדה- הזנת נתונים'!K127</f>
        <v>580215333</v>
      </c>
      <c r="L127" s="459" t="str">
        <f>'סיכום לועדה- הזנת נתונים'!L127</f>
        <v>עמותת הכוריאוגרפים (ע"ר)</v>
      </c>
      <c r="M127" s="460" t="str">
        <f>'סיכום לועדה- הזנת נתונים'!M127</f>
        <v>מיקה קופפר-תמיכה ביוצרת עצמאית</v>
      </c>
      <c r="N127" s="461">
        <f>'סיכום לועדה- הזנת נתונים'!N127</f>
        <v>295000</v>
      </c>
      <c r="O127" s="461">
        <f>'סיכום לועדה- הזנת נתונים'!O127</f>
        <v>60204</v>
      </c>
      <c r="P127" s="461">
        <f>'סיכום לועדה- הזנת נתונים'!P127</f>
        <v>58515.25249562219</v>
      </c>
      <c r="Q127" s="638">
        <f>'סיכום לועדה- הזנת נתונים'!Q127</f>
        <v>-2.8050420310574253E-2</v>
      </c>
      <c r="R127" s="457">
        <f>'סיכום לועדה- הזנת נתונים'!R127</f>
        <v>0</v>
      </c>
      <c r="S127" s="457">
        <f>'סיכום לועדה- הזנת נתונים'!S127</f>
        <v>0</v>
      </c>
      <c r="T127" s="458">
        <f>'סיכום לועדה- הזנת נתונים'!T127</f>
        <v>0</v>
      </c>
      <c r="U127" s="384" t="str">
        <f>'סיכום לועדה- הזנת נתונים'!U127</f>
        <v>התמיכה מומלצת בהתאם למבחן התמיכה</v>
      </c>
    </row>
    <row r="128" spans="2:21" ht="16.5" thickBot="1" x14ac:dyDescent="0.3">
      <c r="B128" s="311" t="str">
        <f t="shared" si="2"/>
        <v/>
      </c>
      <c r="C128" s="312" t="str">
        <f>'סיכום לועדה- הזנת נתונים'!C128</f>
        <v/>
      </c>
      <c r="D128" s="572">
        <f>'סיכום לועדה- הזנת נתונים'!D128</f>
        <v>0</v>
      </c>
      <c r="E128" s="573">
        <f>'סיכום לועדה- הזנת נתונים'!E128</f>
        <v>0</v>
      </c>
      <c r="F128" s="573">
        <f>'סיכום לועדה- הזנת נתונים'!F128</f>
        <v>0</v>
      </c>
      <c r="G128" s="458" t="str">
        <f>'סיכום לועדה- הזנת נתונים'!G128</f>
        <v/>
      </c>
      <c r="H128" s="458" t="str">
        <f>'סיכום לועדה- הזנת נתונים'!H128</f>
        <v/>
      </c>
      <c r="I128" s="624" t="str">
        <f>'סיכום לועדה- הזנת נתונים'!I128</f>
        <v/>
      </c>
      <c r="J128" s="624" t="str">
        <f>'סיכום לועדה- הזנת נתונים'!J128</f>
        <v/>
      </c>
      <c r="K128" s="624" t="str">
        <f>'סיכום לועדה- הזנת נתונים'!K128</f>
        <v/>
      </c>
      <c r="L128" s="459" t="str">
        <f>'סיכום לועדה- הזנת נתונים'!L128</f>
        <v/>
      </c>
      <c r="M128" s="460" t="str">
        <f>'סיכום לועדה- הזנת נתונים'!M128</f>
        <v/>
      </c>
      <c r="N128" s="461" t="str">
        <f>'סיכום לועדה- הזנת נתונים'!N128</f>
        <v/>
      </c>
      <c r="O128" s="461">
        <f>'סיכום לועדה- הזנת נתונים'!O128</f>
        <v>0</v>
      </c>
      <c r="P128" s="461" t="str">
        <f>'סיכום לועדה- הזנת נתונים'!P128</f>
        <v/>
      </c>
      <c r="Q128" s="638" t="str">
        <f>'סיכום לועדה- הזנת נתונים'!Q128</f>
        <v/>
      </c>
      <c r="R128" s="457" t="str">
        <f>'סיכום לועדה- הזנת נתונים'!R128</f>
        <v/>
      </c>
      <c r="S128" s="457">
        <f>'סיכום לועדה- הזנת נתונים'!S128</f>
        <v>0</v>
      </c>
      <c r="T128" s="458">
        <f>'סיכום לועדה- הזנת נתונים'!T128</f>
        <v>0</v>
      </c>
      <c r="U128" s="384">
        <f>'סיכום לועדה- הזנת נתונים'!U128</f>
        <v>0</v>
      </c>
    </row>
    <row r="129" spans="2:21" ht="32.25" thickBot="1" x14ac:dyDescent="0.3">
      <c r="B129" s="311">
        <f t="shared" si="2"/>
        <v>109</v>
      </c>
      <c r="C129" s="312" t="str">
        <f>'סיכום לועדה- הזנת נתונים'!C129</f>
        <v>נועה שילה</v>
      </c>
      <c r="D129" s="572">
        <f>'סיכום לועדה- הזנת נתונים'!D129</f>
        <v>1001827669</v>
      </c>
      <c r="E129" s="573">
        <f>'סיכום לועדה- הזנת נתונים'!E129</f>
        <v>0</v>
      </c>
      <c r="F129" s="573">
        <f>'סיכום לועדה- הזנת נתונים'!F129</f>
        <v>2020</v>
      </c>
      <c r="G129" s="458">
        <f>'סיכום לועדה- הזנת נתונים'!G129</f>
        <v>1</v>
      </c>
      <c r="H129" s="458" t="str">
        <f>'סיכום לועדה- הזנת נתונים'!H129</f>
        <v>no</v>
      </c>
      <c r="I129" s="624">
        <f>'סיכום לועדה- הזנת נתונים'!I129</f>
        <v>2025</v>
      </c>
      <c r="J129" s="624">
        <f>'סיכום לועדה- הזנת נתונים'!J129</f>
        <v>40000564</v>
      </c>
      <c r="K129" s="624">
        <f>'סיכום לועדה- הזנת נתונים'!K129</f>
        <v>580215333</v>
      </c>
      <c r="L129" s="459" t="str">
        <f>'סיכום לועדה- הזנת נתונים'!L129</f>
        <v>עמותת הכוריאוגרפים (ע"ר)</v>
      </c>
      <c r="M129" s="460" t="str">
        <f>'סיכום לועדה- הזנת נתונים'!M129</f>
        <v>נעה שילה - תמיכה ביוצרת עצמאית</v>
      </c>
      <c r="N129" s="461">
        <f>'סיכום לועדה- הזנת נתונים'!N129</f>
        <v>295000</v>
      </c>
      <c r="O129" s="461">
        <f>'סיכום לועדה- הזנת נתונים'!O129</f>
        <v>0</v>
      </c>
      <c r="P129" s="461">
        <f>'סיכום לועדה- הזנת נתונים'!P129</f>
        <v>56320.524973865598</v>
      </c>
      <c r="Q129" s="638" t="str">
        <f>'סיכום לועדה- הזנת נתונים'!Q129</f>
        <v/>
      </c>
      <c r="R129" s="457">
        <f>'סיכום לועדה- הזנת נתונים'!R129</f>
        <v>0</v>
      </c>
      <c r="S129" s="457">
        <f>'סיכום לועדה- הזנת נתונים'!S129</f>
        <v>0</v>
      </c>
      <c r="T129" s="458">
        <f>'סיכום לועדה- הזנת נתונים'!T129</f>
        <v>0</v>
      </c>
      <c r="U129" s="384" t="str">
        <f>'סיכום לועדה- הזנת נתונים'!U129</f>
        <v>בקשה חדשה, התמיכה מומלצת בהתאם למבחן התמיכה.</v>
      </c>
    </row>
    <row r="130" spans="2:21" ht="16.5" thickBot="1" x14ac:dyDescent="0.3">
      <c r="B130" s="311" t="str">
        <f t="shared" si="2"/>
        <v/>
      </c>
      <c r="C130" s="312" t="str">
        <f>'סיכום לועדה- הזנת נתונים'!C130</f>
        <v/>
      </c>
      <c r="D130" s="572">
        <f>'סיכום לועדה- הזנת נתונים'!D130</f>
        <v>0</v>
      </c>
      <c r="E130" s="573">
        <f>'סיכום לועדה- הזנת נתונים'!E130</f>
        <v>0</v>
      </c>
      <c r="F130" s="573">
        <f>'סיכום לועדה- הזנת נתונים'!F130</f>
        <v>0</v>
      </c>
      <c r="G130" s="458" t="str">
        <f>'סיכום לועדה- הזנת נתונים'!G130</f>
        <v/>
      </c>
      <c r="H130" s="458" t="str">
        <f>'סיכום לועדה- הזנת נתונים'!H130</f>
        <v/>
      </c>
      <c r="I130" s="624" t="str">
        <f>'סיכום לועדה- הזנת נתונים'!I130</f>
        <v/>
      </c>
      <c r="J130" s="624" t="str">
        <f>'סיכום לועדה- הזנת נתונים'!J130</f>
        <v/>
      </c>
      <c r="K130" s="624" t="str">
        <f>'סיכום לועדה- הזנת נתונים'!K130</f>
        <v/>
      </c>
      <c r="L130" s="459" t="str">
        <f>'סיכום לועדה- הזנת נתונים'!L130</f>
        <v/>
      </c>
      <c r="M130" s="460" t="str">
        <f>'סיכום לועדה- הזנת נתונים'!M130</f>
        <v/>
      </c>
      <c r="N130" s="461" t="str">
        <f>'סיכום לועדה- הזנת נתונים'!N130</f>
        <v/>
      </c>
      <c r="O130" s="461">
        <f>'סיכום לועדה- הזנת נתונים'!O130</f>
        <v>0</v>
      </c>
      <c r="P130" s="461" t="str">
        <f>'סיכום לועדה- הזנת נתונים'!P130</f>
        <v/>
      </c>
      <c r="Q130" s="638" t="str">
        <f>'סיכום לועדה- הזנת נתונים'!Q130</f>
        <v/>
      </c>
      <c r="R130" s="457" t="str">
        <f>'סיכום לועדה- הזנת נתונים'!R130</f>
        <v/>
      </c>
      <c r="S130" s="457">
        <f>'סיכום לועדה- הזנת נתונים'!S130</f>
        <v>0</v>
      </c>
      <c r="T130" s="458">
        <f>'סיכום לועדה- הזנת נתונים'!T130</f>
        <v>0</v>
      </c>
      <c r="U130" s="384">
        <f>'סיכום לועדה- הזנת נתונים'!U130</f>
        <v>0</v>
      </c>
    </row>
    <row r="131" spans="2:21" ht="32.25" thickBot="1" x14ac:dyDescent="0.3">
      <c r="B131" s="311">
        <f t="shared" si="2"/>
        <v>111</v>
      </c>
      <c r="C131" s="312" t="str">
        <f>'סיכום לועדה- הזנת נתונים'!C131</f>
        <v>עדי בוטרוס אמנויות הבמה (ע"ר)</v>
      </c>
      <c r="D131" s="572">
        <f>'סיכום לועדה- הזנת נתונים'!D131</f>
        <v>1001829510</v>
      </c>
      <c r="E131" s="573">
        <f>'סיכום לועדה- הזנת נתונים'!E131</f>
        <v>1001779069</v>
      </c>
      <c r="F131" s="573">
        <f>'סיכום לועדה- הזנת נתונים'!F131</f>
        <v>2020</v>
      </c>
      <c r="G131" s="458">
        <f>'סיכום לועדה- הזנת נתונים'!G131</f>
        <v>1</v>
      </c>
      <c r="H131" s="458" t="str">
        <f>'סיכום לועדה- הזנת נתונים'!H131</f>
        <v/>
      </c>
      <c r="I131" s="624">
        <f>'סיכום לועדה- הזנת נתונים'!I131</f>
        <v>2025</v>
      </c>
      <c r="J131" s="624">
        <f>'סיכום לועדה- הזנת נתונים'!J131</f>
        <v>42746928</v>
      </c>
      <c r="K131" s="624">
        <f>'סיכום לועדה- הזנת נתונים'!K131</f>
        <v>580737195</v>
      </c>
      <c r="L131" s="459" t="str">
        <f>'סיכום לועדה- הזנת נתונים'!L131</f>
        <v>עדי בוטרוס אמנויות הבמה (ע"ר)</v>
      </c>
      <c r="M131" s="460" t="str">
        <f>'סיכום לועדה- הזנת נתונים'!M131</f>
        <v>עדי בוטרוס 2025 תמיכה שוטפת</v>
      </c>
      <c r="N131" s="461">
        <f>'סיכום לועדה- הזנת נתונים'!N131</f>
        <v>400000</v>
      </c>
      <c r="O131" s="461">
        <f>'סיכום לועדה- הזנת נתונים'!O131</f>
        <v>75978</v>
      </c>
      <c r="P131" s="461">
        <f>'סיכום לועדה- הזנת נתונים'!P131</f>
        <v>100645.73096221808</v>
      </c>
      <c r="Q131" s="638">
        <f>'סיכום לועדה- הזנת נתונים'!Q131</f>
        <v>0.32466939064226596</v>
      </c>
      <c r="R131" s="457">
        <f>'סיכום לועדה- הזנת נתונים'!R131</f>
        <v>0</v>
      </c>
      <c r="S131" s="457">
        <f>'סיכום לועדה- הזנת נתונים'!S131</f>
        <v>0</v>
      </c>
      <c r="T131" s="458">
        <f>'סיכום לועדה- הזנת נתונים'!T131</f>
        <v>0</v>
      </c>
      <c r="U131" s="384" t="str">
        <f>'סיכום לועדה- הזנת נתונים'!U131</f>
        <v>התמיכה מומלצת בהתאם למבחן התמיכה</v>
      </c>
    </row>
    <row r="132" spans="2:21" ht="16.5" thickBot="1" x14ac:dyDescent="0.3">
      <c r="B132" s="311" t="str">
        <f t="shared" si="2"/>
        <v/>
      </c>
      <c r="C132" s="312" t="str">
        <f>'סיכום לועדה- הזנת נתונים'!C132</f>
        <v/>
      </c>
      <c r="D132" s="572">
        <f>'סיכום לועדה- הזנת נתונים'!D132</f>
        <v>0</v>
      </c>
      <c r="E132" s="573">
        <f>'סיכום לועדה- הזנת נתונים'!E132</f>
        <v>0</v>
      </c>
      <c r="F132" s="573">
        <f>'סיכום לועדה- הזנת נתונים'!F132</f>
        <v>0</v>
      </c>
      <c r="G132" s="458" t="str">
        <f>'סיכום לועדה- הזנת נתונים'!G132</f>
        <v/>
      </c>
      <c r="H132" s="458" t="str">
        <f>'סיכום לועדה- הזנת נתונים'!H132</f>
        <v/>
      </c>
      <c r="I132" s="624" t="str">
        <f>'סיכום לועדה- הזנת נתונים'!I132</f>
        <v/>
      </c>
      <c r="J132" s="624" t="str">
        <f>'סיכום לועדה- הזנת נתונים'!J132</f>
        <v/>
      </c>
      <c r="K132" s="624" t="str">
        <f>'סיכום לועדה- הזנת נתונים'!K132</f>
        <v/>
      </c>
      <c r="L132" s="459" t="str">
        <f>'סיכום לועדה- הזנת נתונים'!L132</f>
        <v/>
      </c>
      <c r="M132" s="460" t="str">
        <f>'סיכום לועדה- הזנת נתונים'!M132</f>
        <v/>
      </c>
      <c r="N132" s="461" t="str">
        <f>'סיכום לועדה- הזנת נתונים'!N132</f>
        <v/>
      </c>
      <c r="O132" s="461">
        <f>'סיכום לועדה- הזנת נתונים'!O132</f>
        <v>0</v>
      </c>
      <c r="P132" s="461" t="str">
        <f>'סיכום לועדה- הזנת נתונים'!P132</f>
        <v/>
      </c>
      <c r="Q132" s="638" t="str">
        <f>'סיכום לועדה- הזנת נתונים'!Q132</f>
        <v/>
      </c>
      <c r="R132" s="457" t="str">
        <f>'סיכום לועדה- הזנת נתונים'!R132</f>
        <v/>
      </c>
      <c r="S132" s="457">
        <f>'סיכום לועדה- הזנת נתונים'!S132</f>
        <v>0</v>
      </c>
      <c r="T132" s="458">
        <f>'סיכום לועדה- הזנת נתונים'!T132</f>
        <v>0</v>
      </c>
      <c r="U132" s="384">
        <f>'סיכום לועדה- הזנת נתונים'!U132</f>
        <v>0</v>
      </c>
    </row>
    <row r="133" spans="2:21" ht="20.25" thickTop="1" thickBot="1" x14ac:dyDescent="0.3">
      <c r="B133" s="313" t="s">
        <v>41</v>
      </c>
      <c r="C133" s="314"/>
      <c r="D133" s="315"/>
      <c r="E133" s="316"/>
      <c r="F133" s="316"/>
      <c r="G133" s="381"/>
      <c r="H133" s="382"/>
      <c r="I133" s="625"/>
      <c r="J133" s="625"/>
      <c r="K133" s="625"/>
      <c r="L133" s="317"/>
      <c r="M133" s="317"/>
      <c r="N133" s="317">
        <f t="shared" ref="N133:S133" si="3">SUM(N21:N132)</f>
        <v>26770000</v>
      </c>
      <c r="O133" s="317">
        <f t="shared" si="3"/>
        <v>7190096</v>
      </c>
      <c r="P133" s="317">
        <f t="shared" si="3"/>
        <v>8082764.0000000019</v>
      </c>
      <c r="Q133" s="317"/>
      <c r="R133" s="317">
        <f t="shared" si="3"/>
        <v>0</v>
      </c>
      <c r="S133" s="317">
        <f t="shared" si="3"/>
        <v>0</v>
      </c>
    </row>
    <row r="134" spans="2:21" ht="16.5" thickTop="1" x14ac:dyDescent="0.25"/>
  </sheetData>
  <sheetProtection algorithmName="SHA-512" hashValue="koF7pz34HMd1JaHcwOG3zebHa3dBgoiiYglCyqVr4g8i/7c1TECuDr4RjtETnOvuEyqS/1wyfWJhmLp3qAKw0A==" saltValue="wJkxDT6PVttKlAiEEljRGw==" spinCount="100000" sheet="1" objects="1" scenarios="1" autoFilter="0"/>
  <autoFilter ref="B20:V133" xr:uid="{00000000-0001-0000-1800-000000000000}"/>
  <conditionalFormatting sqref="B21:U132">
    <cfRule type="containsBlanks" dxfId="1" priority="3">
      <formula>LEN(TRIM(B21))=0</formula>
    </cfRule>
  </conditionalFormatting>
  <conditionalFormatting sqref="E1:E2 D18:E18">
    <cfRule type="containsBlanks" dxfId="0" priority="1">
      <formula>LEN(TRIM(D1))=0</formula>
    </cfRule>
  </conditionalFormatting>
  <printOptions horizontalCentered="1"/>
  <pageMargins left="0.27559055118110237" right="0.19685039370078741" top="0.62992125984251968" bottom="0.47244094488188981" header="0.31496062992125984" footer="0.23622047244094491"/>
  <pageSetup paperSize="9" scale="46" fitToHeight="0" orientation="landscape" horizontalDpi="1200" verticalDpi="1200" r:id="rId1"/>
  <headerFooter alignWithMargins="0">
    <oddHeader>&amp;C&amp;12&amp;Uמבחנים לחלוקת כספי תמיכות של משרד החינוך התרבות והספורט למוסדות ציבור לפי חוק יסודות התקציב, התשמ"ה  - 1985</oddHeader>
    <oddFooter>&amp;L&amp;12א. חפץ ושות'
יעוץ כלכלי&amp;Cעמוד &amp;P מתוך &amp;N&amp;R&amp;A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493B4D-7F33-46FC-846B-B004013409E5}">
  <sheetPr>
    <tabColor rgb="FFFFFF00"/>
  </sheetPr>
  <dimension ref="A1:K689"/>
  <sheetViews>
    <sheetView rightToLeft="1" workbookViewId="0">
      <pane ySplit="1" topLeftCell="A133" activePane="bottomLeft" state="frozen"/>
      <selection pane="bottomLeft" activeCell="K1" sqref="A1:K1048576"/>
    </sheetView>
  </sheetViews>
  <sheetFormatPr defaultColWidth="9.140625" defaultRowHeight="15" x14ac:dyDescent="0.25"/>
  <cols>
    <col min="1" max="1" width="18.28515625" style="930" hidden="1" customWidth="1"/>
    <col min="2" max="2" width="43.5703125" style="922" hidden="1" customWidth="1"/>
    <col min="3" max="3" width="6.7109375" style="922" hidden="1" customWidth="1"/>
    <col min="4" max="4" width="15.5703125" style="922" hidden="1" customWidth="1"/>
    <col min="5" max="5" width="13.5703125" style="922" hidden="1" customWidth="1"/>
    <col min="6" max="6" width="36.85546875" style="922" hidden="1" customWidth="1"/>
    <col min="7" max="7" width="9.140625" style="922" hidden="1" customWidth="1"/>
    <col min="8" max="9" width="14.140625" style="931" hidden="1" customWidth="1"/>
    <col min="10" max="10" width="12.28515625" style="922" hidden="1" customWidth="1"/>
    <col min="11" max="11" width="16.28515625" style="922" hidden="1" customWidth="1"/>
    <col min="12" max="16384" width="9.140625" style="922"/>
  </cols>
  <sheetData>
    <row r="1" spans="1:11" x14ac:dyDescent="0.25">
      <c r="A1" s="919" t="s">
        <v>580</v>
      </c>
      <c r="B1" s="920" t="s">
        <v>581</v>
      </c>
      <c r="C1" s="920" t="s">
        <v>582</v>
      </c>
      <c r="D1" s="920" t="s">
        <v>583</v>
      </c>
      <c r="E1" s="920" t="s">
        <v>584</v>
      </c>
      <c r="F1" s="920" t="s">
        <v>585</v>
      </c>
      <c r="G1" s="920" t="s">
        <v>576</v>
      </c>
      <c r="H1" s="921" t="s">
        <v>577</v>
      </c>
      <c r="I1" s="921" t="s">
        <v>586</v>
      </c>
      <c r="J1" s="920" t="s">
        <v>587</v>
      </c>
      <c r="K1" s="920" t="s">
        <v>588</v>
      </c>
    </row>
    <row r="2" spans="1:11" x14ac:dyDescent="0.25">
      <c r="A2" s="923">
        <v>1001719707</v>
      </c>
      <c r="B2" s="924" t="s">
        <v>589</v>
      </c>
      <c r="C2" s="924" t="s">
        <v>590</v>
      </c>
      <c r="D2" s="924">
        <v>580392280</v>
      </c>
      <c r="E2" s="924">
        <v>40309074</v>
      </c>
      <c r="F2" s="924" t="s">
        <v>591</v>
      </c>
      <c r="G2" s="924">
        <v>2024</v>
      </c>
      <c r="H2" s="925">
        <v>225000</v>
      </c>
      <c r="I2" s="925">
        <v>56752</v>
      </c>
      <c r="J2" s="924" t="s">
        <v>592</v>
      </c>
      <c r="K2" s="924" t="s">
        <v>593</v>
      </c>
    </row>
    <row r="3" spans="1:11" x14ac:dyDescent="0.25">
      <c r="A3" s="923">
        <v>1001720530</v>
      </c>
      <c r="B3" s="924" t="s">
        <v>1014</v>
      </c>
      <c r="C3" s="924" t="s">
        <v>1015</v>
      </c>
      <c r="D3" s="924">
        <v>512813239</v>
      </c>
      <c r="E3" s="924">
        <v>40000037</v>
      </c>
      <c r="F3" s="924" t="s">
        <v>1016</v>
      </c>
      <c r="G3" s="924">
        <v>2024</v>
      </c>
      <c r="H3" s="925">
        <v>60000</v>
      </c>
      <c r="I3" s="925">
        <v>51008</v>
      </c>
      <c r="J3" s="924" t="s">
        <v>592</v>
      </c>
      <c r="K3" s="924" t="s">
        <v>593</v>
      </c>
    </row>
    <row r="4" spans="1:11" x14ac:dyDescent="0.25">
      <c r="A4" s="923">
        <v>1001720969</v>
      </c>
      <c r="B4" s="924" t="s">
        <v>594</v>
      </c>
      <c r="C4" s="924" t="s">
        <v>590</v>
      </c>
      <c r="D4" s="924">
        <v>580401404</v>
      </c>
      <c r="E4" s="924">
        <v>40216106</v>
      </c>
      <c r="F4" s="924" t="s">
        <v>595</v>
      </c>
      <c r="G4" s="924">
        <v>2024</v>
      </c>
      <c r="H4" s="925">
        <v>1400000</v>
      </c>
      <c r="I4" s="925">
        <v>618434</v>
      </c>
      <c r="J4" s="924" t="s">
        <v>592</v>
      </c>
      <c r="K4" s="924" t="s">
        <v>593</v>
      </c>
    </row>
    <row r="5" spans="1:11" x14ac:dyDescent="0.25">
      <c r="A5" s="923">
        <v>1001721237</v>
      </c>
      <c r="B5" s="924" t="s">
        <v>596</v>
      </c>
      <c r="C5" s="924" t="s">
        <v>590</v>
      </c>
      <c r="D5" s="924">
        <v>580103026</v>
      </c>
      <c r="E5" s="924">
        <v>40000134</v>
      </c>
      <c r="F5" s="924" t="s">
        <v>597</v>
      </c>
      <c r="G5" s="924">
        <v>2024</v>
      </c>
      <c r="H5" s="925">
        <v>300000</v>
      </c>
      <c r="I5" s="925">
        <v>257242</v>
      </c>
      <c r="J5" s="924" t="s">
        <v>592</v>
      </c>
      <c r="K5" s="924" t="s">
        <v>593</v>
      </c>
    </row>
    <row r="6" spans="1:11" x14ac:dyDescent="0.25">
      <c r="A6" s="923">
        <v>1001721278</v>
      </c>
      <c r="B6" s="924" t="s">
        <v>598</v>
      </c>
      <c r="C6" s="924" t="s">
        <v>590</v>
      </c>
      <c r="D6" s="924">
        <v>510873938</v>
      </c>
      <c r="E6" s="924">
        <v>40000283</v>
      </c>
      <c r="F6" s="924" t="s">
        <v>599</v>
      </c>
      <c r="G6" s="924">
        <v>2024</v>
      </c>
      <c r="H6" s="925">
        <v>150000</v>
      </c>
      <c r="I6" s="925">
        <v>50388</v>
      </c>
      <c r="J6" s="924" t="s">
        <v>592</v>
      </c>
      <c r="K6" s="924" t="s">
        <v>593</v>
      </c>
    </row>
    <row r="7" spans="1:11" x14ac:dyDescent="0.25">
      <c r="A7" s="923">
        <v>1001721554</v>
      </c>
      <c r="B7" s="924" t="s">
        <v>600</v>
      </c>
      <c r="C7" s="924" t="s">
        <v>590</v>
      </c>
      <c r="D7" s="924">
        <v>580423283</v>
      </c>
      <c r="E7" s="924">
        <v>40221581</v>
      </c>
      <c r="F7" s="924" t="s">
        <v>601</v>
      </c>
      <c r="G7" s="924">
        <v>2024</v>
      </c>
      <c r="H7" s="925">
        <v>220000</v>
      </c>
      <c r="I7" s="925">
        <v>151560</v>
      </c>
      <c r="J7" s="924" t="s">
        <v>592</v>
      </c>
      <c r="K7" s="924" t="s">
        <v>593</v>
      </c>
    </row>
    <row r="8" spans="1:11" x14ac:dyDescent="0.25">
      <c r="A8" s="923">
        <v>1001721949</v>
      </c>
      <c r="B8" s="924" t="s">
        <v>602</v>
      </c>
      <c r="C8" s="924" t="s">
        <v>590</v>
      </c>
      <c r="D8" s="924">
        <v>580262855</v>
      </c>
      <c r="E8" s="924">
        <v>40000631</v>
      </c>
      <c r="F8" s="924" t="s">
        <v>603</v>
      </c>
      <c r="G8" s="924">
        <v>2024</v>
      </c>
      <c r="H8" s="925">
        <v>150000</v>
      </c>
      <c r="I8" s="925">
        <v>53391</v>
      </c>
      <c r="J8" s="924" t="s">
        <v>592</v>
      </c>
      <c r="K8" s="924" t="s">
        <v>593</v>
      </c>
    </row>
    <row r="9" spans="1:11" x14ac:dyDescent="0.25">
      <c r="A9" s="923">
        <v>1001722056</v>
      </c>
      <c r="B9" s="924" t="s">
        <v>604</v>
      </c>
      <c r="C9" s="924" t="s">
        <v>590</v>
      </c>
      <c r="D9" s="924">
        <v>580466787</v>
      </c>
      <c r="E9" s="924">
        <v>40323479</v>
      </c>
      <c r="F9" s="924" t="s">
        <v>605</v>
      </c>
      <c r="G9" s="924">
        <v>2024</v>
      </c>
      <c r="H9" s="925">
        <v>870000</v>
      </c>
      <c r="I9" s="925">
        <v>573755</v>
      </c>
      <c r="J9" s="924" t="s">
        <v>592</v>
      </c>
      <c r="K9" s="924" t="s">
        <v>593</v>
      </c>
    </row>
    <row r="10" spans="1:11" x14ac:dyDescent="0.25">
      <c r="A10" s="923">
        <v>1001722483</v>
      </c>
      <c r="B10" s="924" t="s">
        <v>606</v>
      </c>
      <c r="C10" s="924" t="s">
        <v>590</v>
      </c>
      <c r="D10" s="924">
        <v>580042422</v>
      </c>
      <c r="E10" s="924">
        <v>40000394</v>
      </c>
      <c r="F10" s="924" t="s">
        <v>607</v>
      </c>
      <c r="G10" s="924">
        <v>2024</v>
      </c>
      <c r="H10" s="925">
        <v>2000000</v>
      </c>
      <c r="I10" s="925">
        <v>1151855</v>
      </c>
      <c r="J10" s="924" t="s">
        <v>592</v>
      </c>
      <c r="K10" s="924" t="s">
        <v>593</v>
      </c>
    </row>
    <row r="11" spans="1:11" x14ac:dyDescent="0.25">
      <c r="A11" s="923">
        <v>1001722531</v>
      </c>
      <c r="B11" s="924" t="s">
        <v>608</v>
      </c>
      <c r="C11" s="924" t="s">
        <v>590</v>
      </c>
      <c r="D11" s="924">
        <v>511854788</v>
      </c>
      <c r="E11" s="924">
        <v>40000036</v>
      </c>
      <c r="F11" s="924" t="s">
        <v>609</v>
      </c>
      <c r="G11" s="924">
        <v>2024</v>
      </c>
      <c r="H11" s="925">
        <v>100000</v>
      </c>
      <c r="I11" s="925">
        <v>35695</v>
      </c>
      <c r="J11" s="924" t="s">
        <v>592</v>
      </c>
      <c r="K11" s="924" t="s">
        <v>593</v>
      </c>
    </row>
    <row r="12" spans="1:11" x14ac:dyDescent="0.25">
      <c r="A12" s="923">
        <v>1001722542</v>
      </c>
      <c r="B12" s="924" t="s">
        <v>610</v>
      </c>
      <c r="C12" s="924" t="s">
        <v>590</v>
      </c>
      <c r="D12" s="924">
        <v>580082824</v>
      </c>
      <c r="E12" s="924">
        <v>40000448</v>
      </c>
      <c r="F12" s="924" t="s">
        <v>611</v>
      </c>
      <c r="G12" s="924">
        <v>2024</v>
      </c>
      <c r="H12" s="925">
        <v>100000</v>
      </c>
      <c r="I12" s="925">
        <v>35716</v>
      </c>
      <c r="J12" s="924" t="s">
        <v>592</v>
      </c>
      <c r="K12" s="924" t="s">
        <v>593</v>
      </c>
    </row>
    <row r="13" spans="1:11" x14ac:dyDescent="0.25">
      <c r="A13" s="923">
        <v>1001722543</v>
      </c>
      <c r="B13" s="924" t="s">
        <v>612</v>
      </c>
      <c r="C13" s="924" t="s">
        <v>613</v>
      </c>
      <c r="D13" s="924">
        <v>580082824</v>
      </c>
      <c r="E13" s="924">
        <v>40000448</v>
      </c>
      <c r="F13" s="924" t="s">
        <v>611</v>
      </c>
      <c r="G13" s="924">
        <v>2024</v>
      </c>
      <c r="H13" s="925">
        <v>100000</v>
      </c>
      <c r="I13" s="925">
        <v>0</v>
      </c>
      <c r="J13" s="924" t="s">
        <v>592</v>
      </c>
      <c r="K13" s="924" t="s">
        <v>593</v>
      </c>
    </row>
    <row r="14" spans="1:11" x14ac:dyDescent="0.25">
      <c r="A14" s="923">
        <v>1001722547</v>
      </c>
      <c r="B14" s="924" t="s">
        <v>614</v>
      </c>
      <c r="C14" s="924" t="s">
        <v>590</v>
      </c>
      <c r="D14" s="924">
        <v>580049955</v>
      </c>
      <c r="E14" s="924">
        <v>40000111</v>
      </c>
      <c r="F14" s="924" t="s">
        <v>615</v>
      </c>
      <c r="G14" s="924">
        <v>2024</v>
      </c>
      <c r="H14" s="925">
        <v>7000000</v>
      </c>
      <c r="I14" s="925">
        <v>5011831</v>
      </c>
      <c r="J14" s="924" t="s">
        <v>592</v>
      </c>
      <c r="K14" s="924" t="s">
        <v>593</v>
      </c>
    </row>
    <row r="15" spans="1:11" x14ac:dyDescent="0.25">
      <c r="A15" s="923">
        <v>1001722700</v>
      </c>
      <c r="B15" s="924" t="s">
        <v>616</v>
      </c>
      <c r="C15" s="924" t="s">
        <v>590</v>
      </c>
      <c r="D15" s="924">
        <v>580551984</v>
      </c>
      <c r="E15" s="924">
        <v>41457607</v>
      </c>
      <c r="F15" s="924" t="s">
        <v>617</v>
      </c>
      <c r="G15" s="924">
        <v>2024</v>
      </c>
      <c r="H15" s="925">
        <v>3000000</v>
      </c>
      <c r="I15" s="925">
        <v>1657061</v>
      </c>
      <c r="J15" s="924" t="s">
        <v>592</v>
      </c>
      <c r="K15" s="924" t="s">
        <v>593</v>
      </c>
    </row>
    <row r="16" spans="1:11" x14ac:dyDescent="0.25">
      <c r="A16" s="923">
        <v>1001722702</v>
      </c>
      <c r="B16" s="924" t="s">
        <v>618</v>
      </c>
      <c r="C16" s="924" t="s">
        <v>590</v>
      </c>
      <c r="D16" s="924">
        <v>580551984</v>
      </c>
      <c r="E16" s="924">
        <v>41457607</v>
      </c>
      <c r="F16" s="924" t="s">
        <v>617</v>
      </c>
      <c r="G16" s="924">
        <v>2024</v>
      </c>
      <c r="H16" s="925">
        <v>600000</v>
      </c>
      <c r="I16" s="925">
        <v>325660</v>
      </c>
      <c r="J16" s="924" t="s">
        <v>592</v>
      </c>
      <c r="K16" s="924" t="s">
        <v>593</v>
      </c>
    </row>
    <row r="17" spans="1:11" x14ac:dyDescent="0.25">
      <c r="A17" s="923">
        <v>1001722728</v>
      </c>
      <c r="B17" s="924" t="s">
        <v>541</v>
      </c>
      <c r="C17" s="924" t="s">
        <v>590</v>
      </c>
      <c r="D17" s="924">
        <v>580632479</v>
      </c>
      <c r="E17" s="924">
        <v>41489885</v>
      </c>
      <c r="F17" s="924" t="s">
        <v>570</v>
      </c>
      <c r="G17" s="924">
        <v>2024</v>
      </c>
      <c r="H17" s="925">
        <v>360000</v>
      </c>
      <c r="I17" s="925">
        <v>219130</v>
      </c>
      <c r="J17" s="924" t="s">
        <v>592</v>
      </c>
      <c r="K17" s="924" t="s">
        <v>593</v>
      </c>
    </row>
    <row r="18" spans="1:11" x14ac:dyDescent="0.25">
      <c r="A18" s="923">
        <v>1001722784</v>
      </c>
      <c r="B18" s="924" t="s">
        <v>619</v>
      </c>
      <c r="C18" s="924" t="s">
        <v>590</v>
      </c>
      <c r="D18" s="924">
        <v>500221015</v>
      </c>
      <c r="E18" s="924">
        <v>20000127</v>
      </c>
      <c r="F18" s="924" t="s">
        <v>620</v>
      </c>
      <c r="G18" s="924">
        <v>2024</v>
      </c>
      <c r="H18" s="925">
        <v>200000</v>
      </c>
      <c r="I18" s="925">
        <v>125489</v>
      </c>
      <c r="J18" s="924" t="s">
        <v>592</v>
      </c>
      <c r="K18" s="924" t="s">
        <v>593</v>
      </c>
    </row>
    <row r="19" spans="1:11" x14ac:dyDescent="0.25">
      <c r="A19" s="923">
        <v>1001722865</v>
      </c>
      <c r="B19" s="924" t="s">
        <v>621</v>
      </c>
      <c r="C19" s="924" t="s">
        <v>590</v>
      </c>
      <c r="D19" s="924">
        <v>580103299</v>
      </c>
      <c r="E19" s="924">
        <v>40000136</v>
      </c>
      <c r="F19" s="924" t="s">
        <v>622</v>
      </c>
      <c r="G19" s="924">
        <v>2024</v>
      </c>
      <c r="H19" s="925">
        <v>100000</v>
      </c>
      <c r="I19" s="925">
        <v>28345</v>
      </c>
      <c r="J19" s="924" t="s">
        <v>592</v>
      </c>
      <c r="K19" s="924" t="s">
        <v>593</v>
      </c>
    </row>
    <row r="20" spans="1:11" x14ac:dyDescent="0.25">
      <c r="A20" s="923">
        <v>1001722896</v>
      </c>
      <c r="B20" s="924" t="s">
        <v>623</v>
      </c>
      <c r="C20" s="924" t="s">
        <v>590</v>
      </c>
      <c r="D20" s="924">
        <v>580049591</v>
      </c>
      <c r="E20" s="924">
        <v>40000109</v>
      </c>
      <c r="F20" s="924" t="s">
        <v>624</v>
      </c>
      <c r="G20" s="924">
        <v>2024</v>
      </c>
      <c r="H20" s="925">
        <v>950000</v>
      </c>
      <c r="I20" s="925">
        <v>408340</v>
      </c>
      <c r="J20" s="924" t="s">
        <v>592</v>
      </c>
      <c r="K20" s="924" t="s">
        <v>593</v>
      </c>
    </row>
    <row r="21" spans="1:11" x14ac:dyDescent="0.25">
      <c r="A21" s="923">
        <v>1001722913</v>
      </c>
      <c r="B21" s="924" t="s">
        <v>625</v>
      </c>
      <c r="C21" s="924" t="s">
        <v>590</v>
      </c>
      <c r="D21" s="924">
        <v>580049591</v>
      </c>
      <c r="E21" s="924">
        <v>40000109</v>
      </c>
      <c r="F21" s="924" t="s">
        <v>624</v>
      </c>
      <c r="G21" s="924">
        <v>2024</v>
      </c>
      <c r="H21" s="925">
        <v>300000</v>
      </c>
      <c r="I21" s="925">
        <v>108523</v>
      </c>
      <c r="J21" s="924" t="s">
        <v>592</v>
      </c>
      <c r="K21" s="924" t="s">
        <v>593</v>
      </c>
    </row>
    <row r="22" spans="1:11" x14ac:dyDescent="0.25">
      <c r="A22" s="923">
        <v>1001722957</v>
      </c>
      <c r="B22" s="924" t="s">
        <v>626</v>
      </c>
      <c r="C22" s="924" t="s">
        <v>590</v>
      </c>
      <c r="D22" s="924">
        <v>580499143</v>
      </c>
      <c r="E22" s="924">
        <v>41102088</v>
      </c>
      <c r="F22" s="924" t="s">
        <v>627</v>
      </c>
      <c r="G22" s="924">
        <v>2024</v>
      </c>
      <c r="H22" s="925">
        <v>50000</v>
      </c>
      <c r="I22" s="925">
        <v>42307</v>
      </c>
      <c r="J22" s="924" t="s">
        <v>592</v>
      </c>
      <c r="K22" s="924" t="s">
        <v>593</v>
      </c>
    </row>
    <row r="23" spans="1:11" x14ac:dyDescent="0.25">
      <c r="A23" s="923">
        <v>1001722982</v>
      </c>
      <c r="B23" s="924" t="s">
        <v>628</v>
      </c>
      <c r="C23" s="924" t="s">
        <v>590</v>
      </c>
      <c r="D23" s="924">
        <v>514453554</v>
      </c>
      <c r="E23" s="924">
        <v>40578853</v>
      </c>
      <c r="F23" s="924" t="s">
        <v>629</v>
      </c>
      <c r="G23" s="924">
        <v>2024</v>
      </c>
      <c r="H23" s="925">
        <v>500000</v>
      </c>
      <c r="I23" s="925">
        <v>310237</v>
      </c>
      <c r="J23" s="924" t="s">
        <v>592</v>
      </c>
      <c r="K23" s="924" t="s">
        <v>593</v>
      </c>
    </row>
    <row r="24" spans="1:11" x14ac:dyDescent="0.25">
      <c r="A24" s="923">
        <v>1001723015</v>
      </c>
      <c r="B24" s="924" t="s">
        <v>630</v>
      </c>
      <c r="C24" s="924" t="s">
        <v>590</v>
      </c>
      <c r="D24" s="924">
        <v>500223136</v>
      </c>
      <c r="E24" s="924">
        <v>20000137</v>
      </c>
      <c r="F24" s="924" t="s">
        <v>631</v>
      </c>
      <c r="G24" s="924">
        <v>2024</v>
      </c>
      <c r="H24" s="925">
        <v>45000</v>
      </c>
      <c r="I24" s="925">
        <v>39801</v>
      </c>
      <c r="J24" s="924" t="s">
        <v>592</v>
      </c>
      <c r="K24" s="924" t="s">
        <v>593</v>
      </c>
    </row>
    <row r="25" spans="1:11" x14ac:dyDescent="0.25">
      <c r="A25" s="923">
        <v>1001723016</v>
      </c>
      <c r="B25" s="924" t="s">
        <v>632</v>
      </c>
      <c r="C25" s="924" t="s">
        <v>590</v>
      </c>
      <c r="D25" s="924">
        <v>500223136</v>
      </c>
      <c r="E25" s="924">
        <v>20000137</v>
      </c>
      <c r="F25" s="924" t="s">
        <v>631</v>
      </c>
      <c r="G25" s="924">
        <v>2024</v>
      </c>
      <c r="H25" s="925">
        <v>60000</v>
      </c>
      <c r="I25" s="925">
        <v>28806</v>
      </c>
      <c r="J25" s="924" t="s">
        <v>592</v>
      </c>
      <c r="K25" s="924" t="s">
        <v>593</v>
      </c>
    </row>
    <row r="26" spans="1:11" x14ac:dyDescent="0.25">
      <c r="A26" s="923">
        <v>1001723017</v>
      </c>
      <c r="B26" s="924" t="s">
        <v>633</v>
      </c>
      <c r="C26" s="924" t="s">
        <v>613</v>
      </c>
      <c r="D26" s="924">
        <v>580503613</v>
      </c>
      <c r="E26" s="924">
        <v>40395783</v>
      </c>
      <c r="F26" s="924" t="s">
        <v>634</v>
      </c>
      <c r="G26" s="924">
        <v>2024</v>
      </c>
      <c r="H26" s="925">
        <v>8000000</v>
      </c>
      <c r="I26" s="925">
        <v>0</v>
      </c>
      <c r="J26" s="924" t="s">
        <v>592</v>
      </c>
      <c r="K26" s="924" t="s">
        <v>593</v>
      </c>
    </row>
    <row r="27" spans="1:11" x14ac:dyDescent="0.25">
      <c r="A27" s="923">
        <v>1001723038</v>
      </c>
      <c r="B27" s="924" t="s">
        <v>635</v>
      </c>
      <c r="C27" s="924" t="s">
        <v>590</v>
      </c>
      <c r="D27" s="924">
        <v>580370898</v>
      </c>
      <c r="E27" s="924">
        <v>40397720</v>
      </c>
      <c r="F27" s="924" t="s">
        <v>636</v>
      </c>
      <c r="G27" s="924">
        <v>2024</v>
      </c>
      <c r="H27" s="925">
        <v>200000</v>
      </c>
      <c r="I27" s="925">
        <v>65719</v>
      </c>
      <c r="J27" s="924" t="s">
        <v>592</v>
      </c>
      <c r="K27" s="924" t="s">
        <v>593</v>
      </c>
    </row>
    <row r="28" spans="1:11" x14ac:dyDescent="0.25">
      <c r="A28" s="923">
        <v>1001723046</v>
      </c>
      <c r="B28" s="924" t="s">
        <v>637</v>
      </c>
      <c r="C28" s="924" t="s">
        <v>590</v>
      </c>
      <c r="D28" s="924">
        <v>580280550</v>
      </c>
      <c r="E28" s="924">
        <v>40000211</v>
      </c>
      <c r="F28" s="924" t="s">
        <v>638</v>
      </c>
      <c r="G28" s="924">
        <v>2024</v>
      </c>
      <c r="H28" s="925">
        <v>50000</v>
      </c>
      <c r="I28" s="925">
        <v>50000</v>
      </c>
      <c r="J28" s="924" t="s">
        <v>592</v>
      </c>
      <c r="K28" s="924" t="s">
        <v>593</v>
      </c>
    </row>
    <row r="29" spans="1:11" x14ac:dyDescent="0.25">
      <c r="A29" s="923">
        <v>1001723097</v>
      </c>
      <c r="B29" s="924" t="s">
        <v>639</v>
      </c>
      <c r="C29" s="924" t="s">
        <v>590</v>
      </c>
      <c r="D29" s="924">
        <v>580641256</v>
      </c>
      <c r="E29" s="924">
        <v>41627319</v>
      </c>
      <c r="F29" s="924" t="s">
        <v>640</v>
      </c>
      <c r="G29" s="924">
        <v>2024</v>
      </c>
      <c r="H29" s="925">
        <v>300000</v>
      </c>
      <c r="I29" s="925">
        <v>47676</v>
      </c>
      <c r="J29" s="924" t="s">
        <v>592</v>
      </c>
      <c r="K29" s="924" t="s">
        <v>593</v>
      </c>
    </row>
    <row r="30" spans="1:11" x14ac:dyDescent="0.25">
      <c r="A30" s="923">
        <v>1001723147</v>
      </c>
      <c r="B30" s="924" t="s">
        <v>641</v>
      </c>
      <c r="C30" s="924" t="s">
        <v>590</v>
      </c>
      <c r="D30" s="924">
        <v>580352490</v>
      </c>
      <c r="E30" s="924">
        <v>40000242</v>
      </c>
      <c r="F30" s="924" t="s">
        <v>642</v>
      </c>
      <c r="G30" s="924">
        <v>2024</v>
      </c>
      <c r="H30" s="925">
        <v>150000</v>
      </c>
      <c r="I30" s="925">
        <v>69483</v>
      </c>
      <c r="J30" s="924" t="s">
        <v>592</v>
      </c>
      <c r="K30" s="924" t="s">
        <v>593</v>
      </c>
    </row>
    <row r="31" spans="1:11" x14ac:dyDescent="0.25">
      <c r="A31" s="923">
        <v>1001723161</v>
      </c>
      <c r="B31" s="924" t="s">
        <v>643</v>
      </c>
      <c r="C31" s="924" t="s">
        <v>590</v>
      </c>
      <c r="D31" s="924">
        <v>513423137</v>
      </c>
      <c r="E31" s="924">
        <v>40221446</v>
      </c>
      <c r="F31" s="924" t="s">
        <v>644</v>
      </c>
      <c r="G31" s="924">
        <v>2024</v>
      </c>
      <c r="H31" s="925">
        <v>3220000</v>
      </c>
      <c r="I31" s="925">
        <v>1250422</v>
      </c>
      <c r="J31" s="924" t="s">
        <v>592</v>
      </c>
      <c r="K31" s="924" t="s">
        <v>593</v>
      </c>
    </row>
    <row r="32" spans="1:11" x14ac:dyDescent="0.25">
      <c r="A32" s="923">
        <v>1001723170</v>
      </c>
      <c r="B32" s="924" t="s">
        <v>645</v>
      </c>
      <c r="C32" s="924" t="s">
        <v>590</v>
      </c>
      <c r="D32" s="924">
        <v>500290002</v>
      </c>
      <c r="E32" s="924">
        <v>20000254</v>
      </c>
      <c r="F32" s="924" t="s">
        <v>646</v>
      </c>
      <c r="G32" s="924">
        <v>2024</v>
      </c>
      <c r="H32" s="925">
        <v>245000</v>
      </c>
      <c r="I32" s="925">
        <v>110722</v>
      </c>
      <c r="J32" s="924" t="s">
        <v>592</v>
      </c>
      <c r="K32" s="924" t="s">
        <v>593</v>
      </c>
    </row>
    <row r="33" spans="1:11" x14ac:dyDescent="0.25">
      <c r="A33" s="923">
        <v>1001734288</v>
      </c>
      <c r="B33" s="924" t="s">
        <v>647</v>
      </c>
      <c r="C33" s="924" t="s">
        <v>590</v>
      </c>
      <c r="D33" s="924">
        <v>580200830</v>
      </c>
      <c r="E33" s="924">
        <v>40000550</v>
      </c>
      <c r="F33" s="924" t="s">
        <v>648</v>
      </c>
      <c r="G33" s="924">
        <v>2024</v>
      </c>
      <c r="H33" s="925">
        <v>2000000</v>
      </c>
      <c r="I33" s="925">
        <v>655216</v>
      </c>
      <c r="J33" s="924" t="s">
        <v>592</v>
      </c>
      <c r="K33" s="924" t="s">
        <v>593</v>
      </c>
    </row>
    <row r="34" spans="1:11" x14ac:dyDescent="0.25">
      <c r="A34" s="923">
        <v>1001734329</v>
      </c>
      <c r="B34" s="924" t="s">
        <v>649</v>
      </c>
      <c r="C34" s="924" t="s">
        <v>590</v>
      </c>
      <c r="D34" s="924">
        <v>580650265</v>
      </c>
      <c r="E34" s="924">
        <v>41626750</v>
      </c>
      <c r="F34" s="924" t="s">
        <v>650</v>
      </c>
      <c r="G34" s="924">
        <v>2024</v>
      </c>
      <c r="H34" s="925">
        <v>500000</v>
      </c>
      <c r="I34" s="925">
        <v>311160</v>
      </c>
      <c r="J34" s="924" t="s">
        <v>592</v>
      </c>
      <c r="K34" s="924" t="s">
        <v>593</v>
      </c>
    </row>
    <row r="35" spans="1:11" x14ac:dyDescent="0.25">
      <c r="A35" s="923">
        <v>1001734508</v>
      </c>
      <c r="B35" s="924" t="s">
        <v>651</v>
      </c>
      <c r="C35" s="924" t="s">
        <v>590</v>
      </c>
      <c r="D35" s="924">
        <v>580420263</v>
      </c>
      <c r="E35" s="924">
        <v>40221577</v>
      </c>
      <c r="F35" s="924" t="s">
        <v>652</v>
      </c>
      <c r="G35" s="924">
        <v>2024</v>
      </c>
      <c r="H35" s="925">
        <v>800000</v>
      </c>
      <c r="I35" s="925">
        <v>493307</v>
      </c>
      <c r="J35" s="924" t="s">
        <v>592</v>
      </c>
      <c r="K35" s="924" t="s">
        <v>593</v>
      </c>
    </row>
    <row r="36" spans="1:11" x14ac:dyDescent="0.25">
      <c r="A36" s="923">
        <v>1001734547</v>
      </c>
      <c r="B36" s="924" t="s">
        <v>653</v>
      </c>
      <c r="C36" s="924" t="s">
        <v>590</v>
      </c>
      <c r="D36" s="924">
        <v>580420263</v>
      </c>
      <c r="E36" s="924">
        <v>40221577</v>
      </c>
      <c r="F36" s="924" t="s">
        <v>652</v>
      </c>
      <c r="G36" s="924">
        <v>2024</v>
      </c>
      <c r="H36" s="925">
        <v>250000</v>
      </c>
      <c r="I36" s="925">
        <v>92168</v>
      </c>
      <c r="J36" s="924" t="s">
        <v>592</v>
      </c>
      <c r="K36" s="924" t="s">
        <v>593</v>
      </c>
    </row>
    <row r="37" spans="1:11" x14ac:dyDescent="0.25">
      <c r="A37" s="923">
        <v>1001734557</v>
      </c>
      <c r="B37" s="924" t="s">
        <v>654</v>
      </c>
      <c r="C37" s="924" t="s">
        <v>590</v>
      </c>
      <c r="D37" s="924">
        <v>500261375</v>
      </c>
      <c r="E37" s="924">
        <v>20000209</v>
      </c>
      <c r="F37" s="924" t="s">
        <v>655</v>
      </c>
      <c r="G37" s="924">
        <v>2024</v>
      </c>
      <c r="H37" s="925">
        <v>135000</v>
      </c>
      <c r="I37" s="925">
        <v>62653</v>
      </c>
      <c r="J37" s="924" t="s">
        <v>592</v>
      </c>
      <c r="K37" s="924" t="s">
        <v>593</v>
      </c>
    </row>
    <row r="38" spans="1:11" x14ac:dyDescent="0.25">
      <c r="A38" s="923">
        <v>1001734558</v>
      </c>
      <c r="B38" s="924" t="s">
        <v>656</v>
      </c>
      <c r="C38" s="924" t="s">
        <v>590</v>
      </c>
      <c r="D38" s="924">
        <v>580146850</v>
      </c>
      <c r="E38" s="924">
        <v>40000505</v>
      </c>
      <c r="F38" s="924" t="s">
        <v>657</v>
      </c>
      <c r="G38" s="924">
        <v>2024</v>
      </c>
      <c r="H38" s="925">
        <v>135000</v>
      </c>
      <c r="I38" s="925">
        <v>97441</v>
      </c>
      <c r="J38" s="924" t="s">
        <v>592</v>
      </c>
      <c r="K38" s="924" t="s">
        <v>593</v>
      </c>
    </row>
    <row r="39" spans="1:11" x14ac:dyDescent="0.25">
      <c r="A39" s="923">
        <v>1001734841</v>
      </c>
      <c r="B39" s="924" t="s">
        <v>658</v>
      </c>
      <c r="C39" s="924" t="s">
        <v>659</v>
      </c>
      <c r="D39" s="924">
        <v>580216372</v>
      </c>
      <c r="E39" s="924">
        <v>40000184</v>
      </c>
      <c r="F39" s="924" t="s">
        <v>660</v>
      </c>
      <c r="G39" s="924">
        <v>2024</v>
      </c>
      <c r="H39" s="925">
        <v>150000</v>
      </c>
      <c r="I39" s="925">
        <v>0</v>
      </c>
      <c r="J39" s="924" t="s">
        <v>592</v>
      </c>
      <c r="K39" s="924" t="s">
        <v>593</v>
      </c>
    </row>
    <row r="40" spans="1:11" x14ac:dyDescent="0.25">
      <c r="A40" s="923">
        <v>1001734951</v>
      </c>
      <c r="B40" s="924" t="s">
        <v>661</v>
      </c>
      <c r="C40" s="924" t="s">
        <v>590</v>
      </c>
      <c r="D40" s="924">
        <v>580111185</v>
      </c>
      <c r="E40" s="924">
        <v>40000140</v>
      </c>
      <c r="F40" s="924" t="s">
        <v>662</v>
      </c>
      <c r="G40" s="924">
        <v>2024</v>
      </c>
      <c r="H40" s="925">
        <v>120000</v>
      </c>
      <c r="I40" s="925">
        <v>45003</v>
      </c>
      <c r="J40" s="924" t="s">
        <v>592</v>
      </c>
      <c r="K40" s="924" t="s">
        <v>593</v>
      </c>
    </row>
    <row r="41" spans="1:11" x14ac:dyDescent="0.25">
      <c r="A41" s="923">
        <v>1001735023</v>
      </c>
      <c r="B41" s="924" t="s">
        <v>485</v>
      </c>
      <c r="C41" s="924" t="s">
        <v>590</v>
      </c>
      <c r="D41" s="924">
        <v>580215333</v>
      </c>
      <c r="E41" s="924">
        <v>40000564</v>
      </c>
      <c r="F41" s="924" t="s">
        <v>371</v>
      </c>
      <c r="G41" s="924">
        <v>2024</v>
      </c>
      <c r="H41" s="925">
        <v>295000</v>
      </c>
      <c r="I41" s="925">
        <v>63582</v>
      </c>
      <c r="J41" s="924" t="s">
        <v>592</v>
      </c>
      <c r="K41" s="924" t="s">
        <v>593</v>
      </c>
    </row>
    <row r="42" spans="1:11" x14ac:dyDescent="0.25">
      <c r="A42" s="923">
        <v>1001735032</v>
      </c>
      <c r="B42" s="924" t="s">
        <v>663</v>
      </c>
      <c r="C42" s="924" t="s">
        <v>590</v>
      </c>
      <c r="D42" s="924">
        <v>510513435</v>
      </c>
      <c r="E42" s="924">
        <v>40000011</v>
      </c>
      <c r="F42" s="924" t="s">
        <v>664</v>
      </c>
      <c r="G42" s="924">
        <v>2024</v>
      </c>
      <c r="H42" s="925">
        <v>350000</v>
      </c>
      <c r="I42" s="925">
        <v>108524</v>
      </c>
      <c r="J42" s="924" t="s">
        <v>592</v>
      </c>
      <c r="K42" s="924" t="s">
        <v>593</v>
      </c>
    </row>
    <row r="43" spans="1:11" x14ac:dyDescent="0.25">
      <c r="A43" s="923">
        <v>1001735072</v>
      </c>
      <c r="B43" s="924" t="s">
        <v>549</v>
      </c>
      <c r="C43" s="924" t="s">
        <v>590</v>
      </c>
      <c r="D43" s="924">
        <v>580215333</v>
      </c>
      <c r="E43" s="924">
        <v>40000564</v>
      </c>
      <c r="F43" s="924" t="s">
        <v>371</v>
      </c>
      <c r="G43" s="924">
        <v>2024</v>
      </c>
      <c r="H43" s="925">
        <v>295000</v>
      </c>
      <c r="I43" s="925">
        <v>89585</v>
      </c>
      <c r="J43" s="924" t="s">
        <v>592</v>
      </c>
      <c r="K43" s="924" t="s">
        <v>593</v>
      </c>
    </row>
    <row r="44" spans="1:11" x14ac:dyDescent="0.25">
      <c r="A44" s="923">
        <v>1001735074</v>
      </c>
      <c r="B44" s="924" t="s">
        <v>486</v>
      </c>
      <c r="C44" s="924" t="s">
        <v>590</v>
      </c>
      <c r="D44" s="924">
        <v>580215333</v>
      </c>
      <c r="E44" s="924">
        <v>40000564</v>
      </c>
      <c r="F44" s="924" t="s">
        <v>371</v>
      </c>
      <c r="G44" s="924">
        <v>2024</v>
      </c>
      <c r="H44" s="925">
        <v>295000</v>
      </c>
      <c r="I44" s="925">
        <v>61327</v>
      </c>
      <c r="J44" s="924" t="s">
        <v>592</v>
      </c>
      <c r="K44" s="924" t="s">
        <v>593</v>
      </c>
    </row>
    <row r="45" spans="1:11" x14ac:dyDescent="0.25">
      <c r="A45" s="923">
        <v>1001735075</v>
      </c>
      <c r="B45" s="924" t="s">
        <v>665</v>
      </c>
      <c r="C45" s="924" t="s">
        <v>590</v>
      </c>
      <c r="D45" s="924">
        <v>580215333</v>
      </c>
      <c r="E45" s="924">
        <v>40000564</v>
      </c>
      <c r="F45" s="924" t="s">
        <v>371</v>
      </c>
      <c r="G45" s="924">
        <v>2024</v>
      </c>
      <c r="H45" s="925">
        <v>295000</v>
      </c>
      <c r="I45" s="925">
        <v>50905</v>
      </c>
      <c r="J45" s="924" t="s">
        <v>592</v>
      </c>
      <c r="K45" s="924" t="s">
        <v>593</v>
      </c>
    </row>
    <row r="46" spans="1:11" x14ac:dyDescent="0.25">
      <c r="A46" s="923">
        <v>1001735076</v>
      </c>
      <c r="B46" s="924" t="s">
        <v>666</v>
      </c>
      <c r="C46" s="924" t="s">
        <v>613</v>
      </c>
      <c r="D46" s="924">
        <v>580215333</v>
      </c>
      <c r="E46" s="924">
        <v>40000564</v>
      </c>
      <c r="F46" s="924" t="s">
        <v>371</v>
      </c>
      <c r="G46" s="924">
        <v>2024</v>
      </c>
      <c r="H46" s="925">
        <v>295000</v>
      </c>
      <c r="I46" s="925">
        <v>0</v>
      </c>
      <c r="J46" s="924" t="s">
        <v>592</v>
      </c>
      <c r="K46" s="924" t="s">
        <v>593</v>
      </c>
    </row>
    <row r="47" spans="1:11" x14ac:dyDescent="0.25">
      <c r="A47" s="923">
        <v>1001735078</v>
      </c>
      <c r="B47" s="924" t="s">
        <v>667</v>
      </c>
      <c r="C47" s="924" t="s">
        <v>590</v>
      </c>
      <c r="D47" s="924">
        <v>580215333</v>
      </c>
      <c r="E47" s="924">
        <v>40000564</v>
      </c>
      <c r="F47" s="924" t="s">
        <v>371</v>
      </c>
      <c r="G47" s="924">
        <v>2024</v>
      </c>
      <c r="H47" s="925">
        <v>295000</v>
      </c>
      <c r="I47" s="925">
        <v>116698</v>
      </c>
      <c r="J47" s="924" t="s">
        <v>592</v>
      </c>
      <c r="K47" s="924" t="s">
        <v>593</v>
      </c>
    </row>
    <row r="48" spans="1:11" x14ac:dyDescent="0.25">
      <c r="A48" s="923">
        <v>1001735082</v>
      </c>
      <c r="B48" s="924" t="s">
        <v>668</v>
      </c>
      <c r="C48" s="924" t="s">
        <v>590</v>
      </c>
      <c r="D48" s="924">
        <v>580154177</v>
      </c>
      <c r="E48" s="924">
        <v>40268327</v>
      </c>
      <c r="F48" s="924" t="s">
        <v>669</v>
      </c>
      <c r="G48" s="924">
        <v>2024</v>
      </c>
      <c r="H48" s="925">
        <v>120000</v>
      </c>
      <c r="I48" s="925">
        <v>36454</v>
      </c>
      <c r="J48" s="924" t="s">
        <v>592</v>
      </c>
      <c r="K48" s="924" t="s">
        <v>593</v>
      </c>
    </row>
    <row r="49" spans="1:11" x14ac:dyDescent="0.25">
      <c r="A49" s="923">
        <v>1001735280</v>
      </c>
      <c r="B49" s="924" t="s">
        <v>550</v>
      </c>
      <c r="C49" s="924" t="s">
        <v>590</v>
      </c>
      <c r="D49" s="924">
        <v>580215333</v>
      </c>
      <c r="E49" s="924">
        <v>40000564</v>
      </c>
      <c r="F49" s="924" t="s">
        <v>371</v>
      </c>
      <c r="G49" s="924">
        <v>2024</v>
      </c>
      <c r="H49" s="925">
        <v>295000</v>
      </c>
      <c r="I49" s="925">
        <v>99738</v>
      </c>
      <c r="J49" s="924" t="s">
        <v>592</v>
      </c>
      <c r="K49" s="924" t="s">
        <v>593</v>
      </c>
    </row>
    <row r="50" spans="1:11" x14ac:dyDescent="0.25">
      <c r="A50" s="923">
        <v>1001735281</v>
      </c>
      <c r="B50" s="924" t="s">
        <v>670</v>
      </c>
      <c r="C50" s="924" t="s">
        <v>659</v>
      </c>
      <c r="D50" s="924">
        <v>580215333</v>
      </c>
      <c r="E50" s="924">
        <v>40000564</v>
      </c>
      <c r="F50" s="924" t="s">
        <v>371</v>
      </c>
      <c r="G50" s="924">
        <v>2024</v>
      </c>
      <c r="H50" s="925">
        <v>295000</v>
      </c>
      <c r="I50" s="925">
        <v>0</v>
      </c>
      <c r="J50" s="924" t="s">
        <v>592</v>
      </c>
      <c r="K50" s="924" t="s">
        <v>593</v>
      </c>
    </row>
    <row r="51" spans="1:11" x14ac:dyDescent="0.25">
      <c r="A51" s="923">
        <v>1001735282</v>
      </c>
      <c r="B51" s="924" t="s">
        <v>671</v>
      </c>
      <c r="C51" s="924" t="s">
        <v>590</v>
      </c>
      <c r="D51" s="924">
        <v>580215333</v>
      </c>
      <c r="E51" s="924">
        <v>40000564</v>
      </c>
      <c r="F51" s="924" t="s">
        <v>371</v>
      </c>
      <c r="G51" s="924">
        <v>2024</v>
      </c>
      <c r="H51" s="925">
        <v>295000</v>
      </c>
      <c r="I51" s="925">
        <v>79664</v>
      </c>
      <c r="J51" s="924" t="s">
        <v>592</v>
      </c>
      <c r="K51" s="924" t="s">
        <v>593</v>
      </c>
    </row>
    <row r="52" spans="1:11" x14ac:dyDescent="0.25">
      <c r="A52" s="923">
        <v>1001735287</v>
      </c>
      <c r="B52" s="924" t="s">
        <v>672</v>
      </c>
      <c r="C52" s="924" t="s">
        <v>590</v>
      </c>
      <c r="D52" s="924">
        <v>580215333</v>
      </c>
      <c r="E52" s="924">
        <v>40000564</v>
      </c>
      <c r="F52" s="924" t="s">
        <v>371</v>
      </c>
      <c r="G52" s="924">
        <v>2024</v>
      </c>
      <c r="H52" s="925">
        <v>295000</v>
      </c>
      <c r="I52" s="925">
        <v>58656</v>
      </c>
      <c r="J52" s="924" t="s">
        <v>592</v>
      </c>
      <c r="K52" s="924" t="s">
        <v>593</v>
      </c>
    </row>
    <row r="53" spans="1:11" x14ac:dyDescent="0.25">
      <c r="A53" s="923">
        <v>1001735288</v>
      </c>
      <c r="B53" s="924" t="s">
        <v>673</v>
      </c>
      <c r="C53" s="924" t="s">
        <v>590</v>
      </c>
      <c r="D53" s="924">
        <v>580327740</v>
      </c>
      <c r="E53" s="924">
        <v>40221541</v>
      </c>
      <c r="F53" s="924" t="s">
        <v>674</v>
      </c>
      <c r="G53" s="924">
        <v>2024</v>
      </c>
      <c r="H53" s="925">
        <v>1100000</v>
      </c>
      <c r="I53" s="925">
        <v>532780</v>
      </c>
      <c r="J53" s="924" t="s">
        <v>592</v>
      </c>
      <c r="K53" s="924" t="s">
        <v>593</v>
      </c>
    </row>
    <row r="54" spans="1:11" x14ac:dyDescent="0.25">
      <c r="A54" s="923">
        <v>1001735369</v>
      </c>
      <c r="B54" s="924" t="s">
        <v>675</v>
      </c>
      <c r="C54" s="924" t="s">
        <v>590</v>
      </c>
      <c r="D54" s="924">
        <v>500222062</v>
      </c>
      <c r="E54" s="924">
        <v>20000132</v>
      </c>
      <c r="F54" s="924" t="s">
        <v>676</v>
      </c>
      <c r="G54" s="924">
        <v>2024</v>
      </c>
      <c r="H54" s="925">
        <v>200000</v>
      </c>
      <c r="I54" s="925">
        <v>134004</v>
      </c>
      <c r="J54" s="924" t="s">
        <v>592</v>
      </c>
      <c r="K54" s="924" t="s">
        <v>593</v>
      </c>
    </row>
    <row r="55" spans="1:11" x14ac:dyDescent="0.25">
      <c r="A55" s="923">
        <v>1001735441</v>
      </c>
      <c r="B55" s="924" t="s">
        <v>677</v>
      </c>
      <c r="C55" s="924" t="s">
        <v>590</v>
      </c>
      <c r="D55" s="924">
        <v>580215333</v>
      </c>
      <c r="E55" s="924">
        <v>40000564</v>
      </c>
      <c r="F55" s="924" t="s">
        <v>371</v>
      </c>
      <c r="G55" s="924">
        <v>2024</v>
      </c>
      <c r="H55" s="925">
        <v>295000</v>
      </c>
      <c r="I55" s="925">
        <v>166463</v>
      </c>
      <c r="J55" s="924" t="s">
        <v>592</v>
      </c>
      <c r="K55" s="924" t="s">
        <v>593</v>
      </c>
    </row>
    <row r="56" spans="1:11" x14ac:dyDescent="0.25">
      <c r="A56" s="923">
        <v>1001735442</v>
      </c>
      <c r="B56" s="924" t="s">
        <v>678</v>
      </c>
      <c r="C56" s="924" t="s">
        <v>590</v>
      </c>
      <c r="D56" s="924">
        <v>580215333</v>
      </c>
      <c r="E56" s="924">
        <v>40000564</v>
      </c>
      <c r="F56" s="924" t="s">
        <v>371</v>
      </c>
      <c r="G56" s="924">
        <v>2024</v>
      </c>
      <c r="H56" s="925">
        <v>295000</v>
      </c>
      <c r="I56" s="925">
        <v>141036</v>
      </c>
      <c r="J56" s="924" t="s">
        <v>592</v>
      </c>
      <c r="K56" s="924" t="s">
        <v>593</v>
      </c>
    </row>
    <row r="57" spans="1:11" x14ac:dyDescent="0.25">
      <c r="A57" s="923">
        <v>1001735443</v>
      </c>
      <c r="B57" s="924" t="s">
        <v>679</v>
      </c>
      <c r="C57" s="924" t="s">
        <v>659</v>
      </c>
      <c r="D57" s="924">
        <v>580215333</v>
      </c>
      <c r="E57" s="924">
        <v>40000564</v>
      </c>
      <c r="F57" s="924" t="s">
        <v>371</v>
      </c>
      <c r="G57" s="924">
        <v>2024</v>
      </c>
      <c r="H57" s="925">
        <v>295000</v>
      </c>
      <c r="I57" s="925">
        <v>0</v>
      </c>
      <c r="J57" s="924" t="s">
        <v>592</v>
      </c>
      <c r="K57" s="924" t="s">
        <v>593</v>
      </c>
    </row>
    <row r="58" spans="1:11" x14ac:dyDescent="0.25">
      <c r="A58" s="923">
        <v>1001735444</v>
      </c>
      <c r="B58" s="924" t="s">
        <v>680</v>
      </c>
      <c r="C58" s="924" t="s">
        <v>590</v>
      </c>
      <c r="D58" s="924">
        <v>580215333</v>
      </c>
      <c r="E58" s="924">
        <v>40000564</v>
      </c>
      <c r="F58" s="924" t="s">
        <v>371</v>
      </c>
      <c r="G58" s="924">
        <v>2024</v>
      </c>
      <c r="H58" s="925">
        <v>295000</v>
      </c>
      <c r="I58" s="925">
        <v>138082</v>
      </c>
      <c r="J58" s="924" t="s">
        <v>592</v>
      </c>
      <c r="K58" s="924" t="s">
        <v>593</v>
      </c>
    </row>
    <row r="59" spans="1:11" x14ac:dyDescent="0.25">
      <c r="A59" s="923">
        <v>1001735445</v>
      </c>
      <c r="B59" s="924" t="s">
        <v>681</v>
      </c>
      <c r="C59" s="924" t="s">
        <v>590</v>
      </c>
      <c r="D59" s="924">
        <v>580215333</v>
      </c>
      <c r="E59" s="924">
        <v>40000564</v>
      </c>
      <c r="F59" s="924" t="s">
        <v>371</v>
      </c>
      <c r="G59" s="924">
        <v>2024</v>
      </c>
      <c r="H59" s="925">
        <v>295000</v>
      </c>
      <c r="I59" s="925">
        <v>98208</v>
      </c>
      <c r="J59" s="924" t="s">
        <v>592</v>
      </c>
      <c r="K59" s="924" t="s">
        <v>593</v>
      </c>
    </row>
    <row r="60" spans="1:11" x14ac:dyDescent="0.25">
      <c r="A60" s="923">
        <v>1001735446</v>
      </c>
      <c r="B60" s="924" t="s">
        <v>682</v>
      </c>
      <c r="C60" s="924" t="s">
        <v>590</v>
      </c>
      <c r="D60" s="924">
        <v>580215333</v>
      </c>
      <c r="E60" s="924">
        <v>40000564</v>
      </c>
      <c r="F60" s="924" t="s">
        <v>371</v>
      </c>
      <c r="G60" s="924">
        <v>2024</v>
      </c>
      <c r="H60" s="925">
        <v>295000</v>
      </c>
      <c r="I60" s="925">
        <v>93916</v>
      </c>
      <c r="J60" s="924" t="s">
        <v>592</v>
      </c>
      <c r="K60" s="924" t="s">
        <v>593</v>
      </c>
    </row>
    <row r="61" spans="1:11" x14ac:dyDescent="0.25">
      <c r="A61" s="923">
        <v>1001735447</v>
      </c>
      <c r="B61" s="924" t="s">
        <v>491</v>
      </c>
      <c r="C61" s="924" t="s">
        <v>590</v>
      </c>
      <c r="D61" s="924">
        <v>580215333</v>
      </c>
      <c r="E61" s="924">
        <v>40000564</v>
      </c>
      <c r="F61" s="924" t="s">
        <v>371</v>
      </c>
      <c r="G61" s="924">
        <v>2024</v>
      </c>
      <c r="H61" s="925">
        <v>295000</v>
      </c>
      <c r="I61" s="925">
        <v>43708</v>
      </c>
      <c r="J61" s="924" t="s">
        <v>592</v>
      </c>
      <c r="K61" s="924" t="s">
        <v>593</v>
      </c>
    </row>
    <row r="62" spans="1:11" x14ac:dyDescent="0.25">
      <c r="A62" s="923">
        <v>1001735448</v>
      </c>
      <c r="B62" s="924" t="s">
        <v>683</v>
      </c>
      <c r="C62" s="924" t="s">
        <v>590</v>
      </c>
      <c r="D62" s="924">
        <v>580215333</v>
      </c>
      <c r="E62" s="924">
        <v>40000564</v>
      </c>
      <c r="F62" s="924" t="s">
        <v>371</v>
      </c>
      <c r="G62" s="924">
        <v>2024</v>
      </c>
      <c r="H62" s="925">
        <v>295000</v>
      </c>
      <c r="I62" s="925">
        <v>97446</v>
      </c>
      <c r="J62" s="924" t="s">
        <v>592</v>
      </c>
      <c r="K62" s="924" t="s">
        <v>593</v>
      </c>
    </row>
    <row r="63" spans="1:11" x14ac:dyDescent="0.25">
      <c r="A63" s="923">
        <v>1001735449</v>
      </c>
      <c r="B63" s="924" t="s">
        <v>684</v>
      </c>
      <c r="C63" s="924" t="s">
        <v>590</v>
      </c>
      <c r="D63" s="924">
        <v>580215333</v>
      </c>
      <c r="E63" s="924">
        <v>40000564</v>
      </c>
      <c r="F63" s="924" t="s">
        <v>371</v>
      </c>
      <c r="G63" s="924">
        <v>2024</v>
      </c>
      <c r="H63" s="925">
        <v>295000</v>
      </c>
      <c r="I63" s="925">
        <v>100731</v>
      </c>
      <c r="J63" s="924" t="s">
        <v>592</v>
      </c>
      <c r="K63" s="924" t="s">
        <v>593</v>
      </c>
    </row>
    <row r="64" spans="1:11" x14ac:dyDescent="0.25">
      <c r="A64" s="923">
        <v>1001735460</v>
      </c>
      <c r="B64" s="924" t="s">
        <v>685</v>
      </c>
      <c r="C64" s="924" t="s">
        <v>590</v>
      </c>
      <c r="D64" s="924">
        <v>580215333</v>
      </c>
      <c r="E64" s="924">
        <v>40000564</v>
      </c>
      <c r="F64" s="924" t="s">
        <v>371</v>
      </c>
      <c r="G64" s="924">
        <v>2024</v>
      </c>
      <c r="H64" s="925">
        <v>295000</v>
      </c>
      <c r="I64" s="925">
        <v>35296</v>
      </c>
      <c r="J64" s="924" t="s">
        <v>592</v>
      </c>
      <c r="K64" s="924" t="s">
        <v>593</v>
      </c>
    </row>
    <row r="65" spans="1:11" x14ac:dyDescent="0.25">
      <c r="A65" s="923">
        <v>1001735461</v>
      </c>
      <c r="B65" s="924" t="s">
        <v>686</v>
      </c>
      <c r="C65" s="924" t="s">
        <v>590</v>
      </c>
      <c r="D65" s="924">
        <v>580215333</v>
      </c>
      <c r="E65" s="924">
        <v>40000564</v>
      </c>
      <c r="F65" s="924" t="s">
        <v>371</v>
      </c>
      <c r="G65" s="924">
        <v>2024</v>
      </c>
      <c r="H65" s="925">
        <v>295000</v>
      </c>
      <c r="I65" s="925">
        <v>78965</v>
      </c>
      <c r="J65" s="924" t="s">
        <v>592</v>
      </c>
      <c r="K65" s="924" t="s">
        <v>593</v>
      </c>
    </row>
    <row r="66" spans="1:11" x14ac:dyDescent="0.25">
      <c r="A66" s="923">
        <v>1001735462</v>
      </c>
      <c r="B66" s="924" t="s">
        <v>687</v>
      </c>
      <c r="C66" s="924" t="s">
        <v>590</v>
      </c>
      <c r="D66" s="924">
        <v>580215333</v>
      </c>
      <c r="E66" s="924">
        <v>40000564</v>
      </c>
      <c r="F66" s="924" t="s">
        <v>371</v>
      </c>
      <c r="G66" s="924">
        <v>2024</v>
      </c>
      <c r="H66" s="925">
        <v>295000</v>
      </c>
      <c r="I66" s="925">
        <v>40372</v>
      </c>
      <c r="J66" s="924" t="s">
        <v>592</v>
      </c>
      <c r="K66" s="924" t="s">
        <v>593</v>
      </c>
    </row>
    <row r="67" spans="1:11" x14ac:dyDescent="0.25">
      <c r="A67" s="923">
        <v>1001735463</v>
      </c>
      <c r="B67" s="924" t="s">
        <v>688</v>
      </c>
      <c r="C67" s="924" t="s">
        <v>590</v>
      </c>
      <c r="D67" s="924">
        <v>580215333</v>
      </c>
      <c r="E67" s="924">
        <v>40000564</v>
      </c>
      <c r="F67" s="924" t="s">
        <v>371</v>
      </c>
      <c r="G67" s="924">
        <v>2024</v>
      </c>
      <c r="H67" s="925">
        <v>295000</v>
      </c>
      <c r="I67" s="925">
        <v>128269</v>
      </c>
      <c r="J67" s="924" t="s">
        <v>592</v>
      </c>
      <c r="K67" s="924" t="s">
        <v>593</v>
      </c>
    </row>
    <row r="68" spans="1:11" x14ac:dyDescent="0.25">
      <c r="A68" s="923">
        <v>1001735465</v>
      </c>
      <c r="B68" s="924" t="s">
        <v>689</v>
      </c>
      <c r="C68" s="924" t="s">
        <v>590</v>
      </c>
      <c r="D68" s="924">
        <v>580215333</v>
      </c>
      <c r="E68" s="924">
        <v>40000564</v>
      </c>
      <c r="F68" s="924" t="s">
        <v>371</v>
      </c>
      <c r="G68" s="924">
        <v>2024</v>
      </c>
      <c r="H68" s="925">
        <v>295000</v>
      </c>
      <c r="I68" s="925">
        <v>52969</v>
      </c>
      <c r="J68" s="924" t="s">
        <v>592</v>
      </c>
      <c r="K68" s="924" t="s">
        <v>593</v>
      </c>
    </row>
    <row r="69" spans="1:11" x14ac:dyDescent="0.25">
      <c r="A69" s="923">
        <v>1001735469</v>
      </c>
      <c r="B69" s="924" t="s">
        <v>690</v>
      </c>
      <c r="C69" s="924" t="s">
        <v>590</v>
      </c>
      <c r="D69" s="924">
        <v>500283007</v>
      </c>
      <c r="E69" s="924">
        <v>20000247</v>
      </c>
      <c r="F69" s="924" t="s">
        <v>691</v>
      </c>
      <c r="G69" s="924">
        <v>2024</v>
      </c>
      <c r="H69" s="925">
        <v>100000</v>
      </c>
      <c r="I69" s="925">
        <v>33272</v>
      </c>
      <c r="J69" s="924" t="s">
        <v>592</v>
      </c>
      <c r="K69" s="924" t="s">
        <v>593</v>
      </c>
    </row>
    <row r="70" spans="1:11" x14ac:dyDescent="0.25">
      <c r="A70" s="923">
        <v>1001735472</v>
      </c>
      <c r="B70" s="924" t="s">
        <v>692</v>
      </c>
      <c r="C70" s="924" t="s">
        <v>590</v>
      </c>
      <c r="D70" s="924">
        <v>580215333</v>
      </c>
      <c r="E70" s="924">
        <v>40000564</v>
      </c>
      <c r="F70" s="924" t="s">
        <v>371</v>
      </c>
      <c r="G70" s="924">
        <v>2024</v>
      </c>
      <c r="H70" s="925">
        <v>295000</v>
      </c>
      <c r="I70" s="925">
        <v>75628</v>
      </c>
      <c r="J70" s="924" t="s">
        <v>592</v>
      </c>
      <c r="K70" s="924" t="s">
        <v>593</v>
      </c>
    </row>
    <row r="71" spans="1:11" x14ac:dyDescent="0.25">
      <c r="A71" s="923">
        <v>1001735475</v>
      </c>
      <c r="B71" s="924" t="s">
        <v>693</v>
      </c>
      <c r="C71" s="924" t="s">
        <v>590</v>
      </c>
      <c r="D71" s="924">
        <v>580215333</v>
      </c>
      <c r="E71" s="924">
        <v>40000564</v>
      </c>
      <c r="F71" s="924" t="s">
        <v>371</v>
      </c>
      <c r="G71" s="924">
        <v>2024</v>
      </c>
      <c r="H71" s="925">
        <v>295000</v>
      </c>
      <c r="I71" s="925">
        <v>61978</v>
      </c>
      <c r="J71" s="924" t="s">
        <v>592</v>
      </c>
      <c r="K71" s="924" t="s">
        <v>593</v>
      </c>
    </row>
    <row r="72" spans="1:11" x14ac:dyDescent="0.25">
      <c r="A72" s="923">
        <v>1001735476</v>
      </c>
      <c r="B72" s="924" t="s">
        <v>694</v>
      </c>
      <c r="C72" s="924" t="s">
        <v>590</v>
      </c>
      <c r="D72" s="924">
        <v>580215333</v>
      </c>
      <c r="E72" s="924">
        <v>40000564</v>
      </c>
      <c r="F72" s="924" t="s">
        <v>371</v>
      </c>
      <c r="G72" s="924">
        <v>2024</v>
      </c>
      <c r="H72" s="925">
        <v>295000</v>
      </c>
      <c r="I72" s="925">
        <v>100469</v>
      </c>
      <c r="J72" s="924" t="s">
        <v>592</v>
      </c>
      <c r="K72" s="924" t="s">
        <v>593</v>
      </c>
    </row>
    <row r="73" spans="1:11" x14ac:dyDescent="0.25">
      <c r="A73" s="923">
        <v>1001735478</v>
      </c>
      <c r="B73" s="924" t="s">
        <v>695</v>
      </c>
      <c r="C73" s="924" t="s">
        <v>590</v>
      </c>
      <c r="D73" s="924">
        <v>580215333</v>
      </c>
      <c r="E73" s="924">
        <v>40000564</v>
      </c>
      <c r="F73" s="924" t="s">
        <v>371</v>
      </c>
      <c r="G73" s="924">
        <v>2024</v>
      </c>
      <c r="H73" s="925">
        <v>295000</v>
      </c>
      <c r="I73" s="925">
        <v>84428</v>
      </c>
      <c r="J73" s="924" t="s">
        <v>592</v>
      </c>
      <c r="K73" s="924" t="s">
        <v>593</v>
      </c>
    </row>
    <row r="74" spans="1:11" x14ac:dyDescent="0.25">
      <c r="A74" s="923">
        <v>1001735479</v>
      </c>
      <c r="B74" s="924" t="s">
        <v>566</v>
      </c>
      <c r="C74" s="924" t="s">
        <v>590</v>
      </c>
      <c r="D74" s="924">
        <v>580215333</v>
      </c>
      <c r="E74" s="924">
        <v>40000564</v>
      </c>
      <c r="F74" s="924" t="s">
        <v>371</v>
      </c>
      <c r="G74" s="924">
        <v>2024</v>
      </c>
      <c r="H74" s="925">
        <v>295000</v>
      </c>
      <c r="I74" s="925">
        <v>40665</v>
      </c>
      <c r="J74" s="924" t="s">
        <v>592</v>
      </c>
      <c r="K74" s="924" t="s">
        <v>593</v>
      </c>
    </row>
    <row r="75" spans="1:11" x14ac:dyDescent="0.25">
      <c r="A75" s="923">
        <v>1001735490</v>
      </c>
      <c r="B75" s="924" t="s">
        <v>696</v>
      </c>
      <c r="C75" s="924" t="s">
        <v>659</v>
      </c>
      <c r="D75" s="924">
        <v>580215333</v>
      </c>
      <c r="E75" s="924">
        <v>40000564</v>
      </c>
      <c r="F75" s="924" t="s">
        <v>371</v>
      </c>
      <c r="G75" s="924">
        <v>2024</v>
      </c>
      <c r="H75" s="925">
        <v>295000</v>
      </c>
      <c r="I75" s="925">
        <v>0</v>
      </c>
      <c r="J75" s="924" t="s">
        <v>592</v>
      </c>
      <c r="K75" s="924" t="s">
        <v>593</v>
      </c>
    </row>
    <row r="76" spans="1:11" x14ac:dyDescent="0.25">
      <c r="A76" s="923">
        <v>1001735491</v>
      </c>
      <c r="B76" s="924" t="s">
        <v>697</v>
      </c>
      <c r="C76" s="924" t="s">
        <v>590</v>
      </c>
      <c r="D76" s="924">
        <v>580215333</v>
      </c>
      <c r="E76" s="924">
        <v>40000564</v>
      </c>
      <c r="F76" s="924" t="s">
        <v>371</v>
      </c>
      <c r="G76" s="924">
        <v>2024</v>
      </c>
      <c r="H76" s="925">
        <v>295000</v>
      </c>
      <c r="I76" s="925">
        <v>118486</v>
      </c>
      <c r="J76" s="924" t="s">
        <v>592</v>
      </c>
      <c r="K76" s="924" t="s">
        <v>593</v>
      </c>
    </row>
    <row r="77" spans="1:11" x14ac:dyDescent="0.25">
      <c r="A77" s="923">
        <v>1001735492</v>
      </c>
      <c r="B77" s="924" t="s">
        <v>698</v>
      </c>
      <c r="C77" s="924" t="s">
        <v>613</v>
      </c>
      <c r="D77" s="924">
        <v>580215333</v>
      </c>
      <c r="E77" s="924">
        <v>40000564</v>
      </c>
      <c r="F77" s="924" t="s">
        <v>371</v>
      </c>
      <c r="G77" s="924">
        <v>2024</v>
      </c>
      <c r="H77" s="925">
        <v>295000</v>
      </c>
      <c r="I77" s="925">
        <v>0</v>
      </c>
      <c r="J77" s="924" t="s">
        <v>592</v>
      </c>
      <c r="K77" s="924" t="s">
        <v>593</v>
      </c>
    </row>
    <row r="78" spans="1:11" x14ac:dyDescent="0.25">
      <c r="A78" s="923">
        <v>1001735493</v>
      </c>
      <c r="B78" s="924" t="s">
        <v>699</v>
      </c>
      <c r="C78" s="924" t="s">
        <v>590</v>
      </c>
      <c r="D78" s="924">
        <v>580215333</v>
      </c>
      <c r="E78" s="924">
        <v>40000564</v>
      </c>
      <c r="F78" s="924" t="s">
        <v>371</v>
      </c>
      <c r="G78" s="924">
        <v>2024</v>
      </c>
      <c r="H78" s="925">
        <v>295000</v>
      </c>
      <c r="I78" s="925">
        <v>171075</v>
      </c>
      <c r="J78" s="924" t="s">
        <v>592</v>
      </c>
      <c r="K78" s="924" t="s">
        <v>593</v>
      </c>
    </row>
    <row r="79" spans="1:11" x14ac:dyDescent="0.25">
      <c r="A79" s="923">
        <v>1001735494</v>
      </c>
      <c r="B79" s="924" t="s">
        <v>700</v>
      </c>
      <c r="C79" s="924" t="s">
        <v>590</v>
      </c>
      <c r="D79" s="924">
        <v>580215333</v>
      </c>
      <c r="E79" s="924">
        <v>40000564</v>
      </c>
      <c r="F79" s="924" t="s">
        <v>371</v>
      </c>
      <c r="G79" s="924">
        <v>2024</v>
      </c>
      <c r="H79" s="925">
        <v>295000</v>
      </c>
      <c r="I79" s="925">
        <v>39826</v>
      </c>
      <c r="J79" s="924" t="s">
        <v>592</v>
      </c>
      <c r="K79" s="924" t="s">
        <v>593</v>
      </c>
    </row>
    <row r="80" spans="1:11" x14ac:dyDescent="0.25">
      <c r="A80" s="923">
        <v>1001735495</v>
      </c>
      <c r="B80" s="924" t="s">
        <v>561</v>
      </c>
      <c r="C80" s="924" t="s">
        <v>590</v>
      </c>
      <c r="D80" s="924">
        <v>580215333</v>
      </c>
      <c r="E80" s="924">
        <v>40000564</v>
      </c>
      <c r="F80" s="924" t="s">
        <v>371</v>
      </c>
      <c r="G80" s="924">
        <v>2024</v>
      </c>
      <c r="H80" s="925">
        <v>295000</v>
      </c>
      <c r="I80" s="925">
        <v>50575</v>
      </c>
      <c r="J80" s="924" t="s">
        <v>592</v>
      </c>
      <c r="K80" s="924" t="s">
        <v>593</v>
      </c>
    </row>
    <row r="81" spans="1:11" x14ac:dyDescent="0.25">
      <c r="A81" s="923">
        <v>1001735496</v>
      </c>
      <c r="B81" s="924" t="s">
        <v>701</v>
      </c>
      <c r="C81" s="924" t="s">
        <v>659</v>
      </c>
      <c r="D81" s="924">
        <v>580215333</v>
      </c>
      <c r="E81" s="924">
        <v>40000564</v>
      </c>
      <c r="F81" s="924" t="s">
        <v>371</v>
      </c>
      <c r="G81" s="924">
        <v>2024</v>
      </c>
      <c r="H81" s="925">
        <v>295000</v>
      </c>
      <c r="I81" s="925">
        <v>0</v>
      </c>
      <c r="J81" s="924" t="s">
        <v>592</v>
      </c>
      <c r="K81" s="924" t="s">
        <v>593</v>
      </c>
    </row>
    <row r="82" spans="1:11" x14ac:dyDescent="0.25">
      <c r="A82" s="923">
        <v>1001735497</v>
      </c>
      <c r="B82" s="924" t="s">
        <v>702</v>
      </c>
      <c r="C82" s="924" t="s">
        <v>590</v>
      </c>
      <c r="D82" s="924">
        <v>580215333</v>
      </c>
      <c r="E82" s="924">
        <v>40000564</v>
      </c>
      <c r="F82" s="924" t="s">
        <v>371</v>
      </c>
      <c r="G82" s="924">
        <v>2024</v>
      </c>
      <c r="H82" s="925">
        <v>295000</v>
      </c>
      <c r="I82" s="925">
        <v>68651</v>
      </c>
      <c r="J82" s="924" t="s">
        <v>592</v>
      </c>
      <c r="K82" s="924" t="s">
        <v>593</v>
      </c>
    </row>
    <row r="83" spans="1:11" x14ac:dyDescent="0.25">
      <c r="A83" s="923">
        <v>1001735498</v>
      </c>
      <c r="B83" s="924" t="s">
        <v>703</v>
      </c>
      <c r="C83" s="924" t="s">
        <v>590</v>
      </c>
      <c r="D83" s="924">
        <v>580215333</v>
      </c>
      <c r="E83" s="924">
        <v>40000564</v>
      </c>
      <c r="F83" s="924" t="s">
        <v>371</v>
      </c>
      <c r="G83" s="924">
        <v>2024</v>
      </c>
      <c r="H83" s="925">
        <v>295000</v>
      </c>
      <c r="I83" s="925">
        <v>112592</v>
      </c>
      <c r="J83" s="924" t="s">
        <v>592</v>
      </c>
      <c r="K83" s="924" t="s">
        <v>593</v>
      </c>
    </row>
    <row r="84" spans="1:11" x14ac:dyDescent="0.25">
      <c r="A84" s="923">
        <v>1001735499</v>
      </c>
      <c r="B84" s="924" t="s">
        <v>704</v>
      </c>
      <c r="C84" s="924" t="s">
        <v>659</v>
      </c>
      <c r="D84" s="924">
        <v>580215333</v>
      </c>
      <c r="E84" s="924">
        <v>40000564</v>
      </c>
      <c r="F84" s="924" t="s">
        <v>371</v>
      </c>
      <c r="G84" s="924">
        <v>2024</v>
      </c>
      <c r="H84" s="925">
        <v>295000</v>
      </c>
      <c r="I84" s="925">
        <v>0</v>
      </c>
      <c r="J84" s="924" t="s">
        <v>592</v>
      </c>
      <c r="K84" s="924" t="s">
        <v>593</v>
      </c>
    </row>
    <row r="85" spans="1:11" x14ac:dyDescent="0.25">
      <c r="A85" s="923">
        <v>1001735500</v>
      </c>
      <c r="B85" s="924" t="s">
        <v>705</v>
      </c>
      <c r="C85" s="924" t="s">
        <v>590</v>
      </c>
      <c r="D85" s="924">
        <v>580215333</v>
      </c>
      <c r="E85" s="924">
        <v>40000564</v>
      </c>
      <c r="F85" s="924" t="s">
        <v>371</v>
      </c>
      <c r="G85" s="924">
        <v>2024</v>
      </c>
      <c r="H85" s="925">
        <v>295000</v>
      </c>
      <c r="I85" s="925">
        <v>50949</v>
      </c>
      <c r="J85" s="924" t="s">
        <v>592</v>
      </c>
      <c r="K85" s="924" t="s">
        <v>593</v>
      </c>
    </row>
    <row r="86" spans="1:11" x14ac:dyDescent="0.25">
      <c r="A86" s="923">
        <v>1001735501</v>
      </c>
      <c r="B86" s="924" t="s">
        <v>706</v>
      </c>
      <c r="C86" s="924" t="s">
        <v>590</v>
      </c>
      <c r="D86" s="924">
        <v>580215333</v>
      </c>
      <c r="E86" s="924">
        <v>40000564</v>
      </c>
      <c r="F86" s="924" t="s">
        <v>371</v>
      </c>
      <c r="G86" s="924">
        <v>2024</v>
      </c>
      <c r="H86" s="925">
        <v>295000</v>
      </c>
      <c r="I86" s="925">
        <v>56557</v>
      </c>
      <c r="J86" s="924" t="s">
        <v>592</v>
      </c>
      <c r="K86" s="924" t="s">
        <v>593</v>
      </c>
    </row>
    <row r="87" spans="1:11" x14ac:dyDescent="0.25">
      <c r="A87" s="923">
        <v>1001735502</v>
      </c>
      <c r="B87" s="924" t="s">
        <v>560</v>
      </c>
      <c r="C87" s="924" t="s">
        <v>590</v>
      </c>
      <c r="D87" s="924">
        <v>580215333</v>
      </c>
      <c r="E87" s="924">
        <v>40000564</v>
      </c>
      <c r="F87" s="924" t="s">
        <v>371</v>
      </c>
      <c r="G87" s="924">
        <v>2024</v>
      </c>
      <c r="H87" s="925">
        <v>295000</v>
      </c>
      <c r="I87" s="925">
        <v>60204</v>
      </c>
      <c r="J87" s="924" t="s">
        <v>592</v>
      </c>
      <c r="K87" s="924" t="s">
        <v>593</v>
      </c>
    </row>
    <row r="88" spans="1:11" x14ac:dyDescent="0.25">
      <c r="A88" s="923">
        <v>1001735503</v>
      </c>
      <c r="B88" s="924" t="s">
        <v>707</v>
      </c>
      <c r="C88" s="924" t="s">
        <v>590</v>
      </c>
      <c r="D88" s="924">
        <v>580215333</v>
      </c>
      <c r="E88" s="924">
        <v>40000564</v>
      </c>
      <c r="F88" s="924" t="s">
        <v>371</v>
      </c>
      <c r="G88" s="924">
        <v>2024</v>
      </c>
      <c r="H88" s="925">
        <v>295000</v>
      </c>
      <c r="I88" s="925">
        <v>64954</v>
      </c>
      <c r="J88" s="924" t="s">
        <v>592</v>
      </c>
      <c r="K88" s="924" t="s">
        <v>593</v>
      </c>
    </row>
    <row r="89" spans="1:11" x14ac:dyDescent="0.25">
      <c r="A89" s="923">
        <v>1001735504</v>
      </c>
      <c r="B89" s="924" t="s">
        <v>565</v>
      </c>
      <c r="C89" s="924" t="s">
        <v>590</v>
      </c>
      <c r="D89" s="924">
        <v>580215333</v>
      </c>
      <c r="E89" s="924">
        <v>40000564</v>
      </c>
      <c r="F89" s="924" t="s">
        <v>371</v>
      </c>
      <c r="G89" s="924">
        <v>2024</v>
      </c>
      <c r="H89" s="925">
        <v>295000</v>
      </c>
      <c r="I89" s="925">
        <v>44731</v>
      </c>
      <c r="J89" s="924" t="s">
        <v>592</v>
      </c>
      <c r="K89" s="924" t="s">
        <v>593</v>
      </c>
    </row>
    <row r="90" spans="1:11" x14ac:dyDescent="0.25">
      <c r="A90" s="923">
        <v>1001735505</v>
      </c>
      <c r="B90" s="924" t="s">
        <v>708</v>
      </c>
      <c r="C90" s="924" t="s">
        <v>659</v>
      </c>
      <c r="D90" s="924">
        <v>580215333</v>
      </c>
      <c r="E90" s="924">
        <v>40000564</v>
      </c>
      <c r="F90" s="924" t="s">
        <v>371</v>
      </c>
      <c r="G90" s="924">
        <v>2024</v>
      </c>
      <c r="H90" s="925">
        <v>295000</v>
      </c>
      <c r="I90" s="925">
        <v>0</v>
      </c>
      <c r="J90" s="924" t="s">
        <v>592</v>
      </c>
      <c r="K90" s="924" t="s">
        <v>593</v>
      </c>
    </row>
    <row r="91" spans="1:11" x14ac:dyDescent="0.25">
      <c r="A91" s="923">
        <v>1001735506</v>
      </c>
      <c r="B91" s="924" t="s">
        <v>709</v>
      </c>
      <c r="C91" s="924" t="s">
        <v>613</v>
      </c>
      <c r="D91" s="924">
        <v>580215333</v>
      </c>
      <c r="E91" s="924">
        <v>40000564</v>
      </c>
      <c r="F91" s="924" t="s">
        <v>371</v>
      </c>
      <c r="G91" s="924">
        <v>2024</v>
      </c>
      <c r="H91" s="925">
        <v>295000</v>
      </c>
      <c r="I91" s="925">
        <v>0</v>
      </c>
      <c r="J91" s="924" t="s">
        <v>592</v>
      </c>
      <c r="K91" s="924" t="s">
        <v>593</v>
      </c>
    </row>
    <row r="92" spans="1:11" x14ac:dyDescent="0.25">
      <c r="A92" s="923">
        <v>1001735507</v>
      </c>
      <c r="B92" s="924" t="s">
        <v>710</v>
      </c>
      <c r="C92" s="924" t="s">
        <v>590</v>
      </c>
      <c r="D92" s="924">
        <v>580215333</v>
      </c>
      <c r="E92" s="924">
        <v>40000564</v>
      </c>
      <c r="F92" s="924" t="s">
        <v>371</v>
      </c>
      <c r="G92" s="924">
        <v>2024</v>
      </c>
      <c r="H92" s="925">
        <v>295000</v>
      </c>
      <c r="I92" s="925">
        <v>75145</v>
      </c>
      <c r="J92" s="924" t="s">
        <v>592</v>
      </c>
      <c r="K92" s="924" t="s">
        <v>593</v>
      </c>
    </row>
    <row r="93" spans="1:11" x14ac:dyDescent="0.25">
      <c r="A93" s="923">
        <v>1001735508</v>
      </c>
      <c r="B93" s="924" t="s">
        <v>711</v>
      </c>
      <c r="C93" s="924" t="s">
        <v>659</v>
      </c>
      <c r="D93" s="924">
        <v>580215333</v>
      </c>
      <c r="E93" s="924">
        <v>40000564</v>
      </c>
      <c r="F93" s="924" t="s">
        <v>371</v>
      </c>
      <c r="G93" s="924">
        <v>2024</v>
      </c>
      <c r="H93" s="925">
        <v>295000</v>
      </c>
      <c r="I93" s="925">
        <v>0</v>
      </c>
      <c r="J93" s="924" t="s">
        <v>592</v>
      </c>
      <c r="K93" s="924" t="s">
        <v>593</v>
      </c>
    </row>
    <row r="94" spans="1:11" x14ac:dyDescent="0.25">
      <c r="A94" s="923">
        <v>1001735509</v>
      </c>
      <c r="B94" s="924" t="s">
        <v>546</v>
      </c>
      <c r="C94" s="924" t="s">
        <v>590</v>
      </c>
      <c r="D94" s="924">
        <v>580215333</v>
      </c>
      <c r="E94" s="924">
        <v>40000564</v>
      </c>
      <c r="F94" s="924" t="s">
        <v>371</v>
      </c>
      <c r="G94" s="924">
        <v>2024</v>
      </c>
      <c r="H94" s="925">
        <v>295000</v>
      </c>
      <c r="I94" s="925">
        <v>102939</v>
      </c>
      <c r="J94" s="924" t="s">
        <v>592</v>
      </c>
      <c r="K94" s="924" t="s">
        <v>593</v>
      </c>
    </row>
    <row r="95" spans="1:11" x14ac:dyDescent="0.25">
      <c r="A95" s="923">
        <v>1001735510</v>
      </c>
      <c r="B95" s="924" t="s">
        <v>712</v>
      </c>
      <c r="C95" s="924" t="s">
        <v>659</v>
      </c>
      <c r="D95" s="924">
        <v>580215333</v>
      </c>
      <c r="E95" s="924">
        <v>40000564</v>
      </c>
      <c r="F95" s="924" t="s">
        <v>371</v>
      </c>
      <c r="G95" s="924">
        <v>2024</v>
      </c>
      <c r="H95" s="925">
        <v>295000</v>
      </c>
      <c r="I95" s="925">
        <v>0</v>
      </c>
      <c r="J95" s="924" t="s">
        <v>592</v>
      </c>
      <c r="K95" s="924" t="s">
        <v>593</v>
      </c>
    </row>
    <row r="96" spans="1:11" x14ac:dyDescent="0.25">
      <c r="A96" s="923">
        <v>1001735511</v>
      </c>
      <c r="B96" s="924" t="s">
        <v>713</v>
      </c>
      <c r="C96" s="924" t="s">
        <v>590</v>
      </c>
      <c r="D96" s="924">
        <v>580215333</v>
      </c>
      <c r="E96" s="924">
        <v>40000564</v>
      </c>
      <c r="F96" s="924" t="s">
        <v>371</v>
      </c>
      <c r="G96" s="924">
        <v>2024</v>
      </c>
      <c r="H96" s="925">
        <v>295000</v>
      </c>
      <c r="I96" s="925">
        <v>88721</v>
      </c>
      <c r="J96" s="924" t="s">
        <v>592</v>
      </c>
      <c r="K96" s="924" t="s">
        <v>593</v>
      </c>
    </row>
    <row r="97" spans="1:11" x14ac:dyDescent="0.25">
      <c r="A97" s="923">
        <v>1001735512</v>
      </c>
      <c r="B97" s="924" t="s">
        <v>714</v>
      </c>
      <c r="C97" s="924" t="s">
        <v>590</v>
      </c>
      <c r="D97" s="924">
        <v>580215333</v>
      </c>
      <c r="E97" s="924">
        <v>40000564</v>
      </c>
      <c r="F97" s="924" t="s">
        <v>371</v>
      </c>
      <c r="G97" s="924">
        <v>2024</v>
      </c>
      <c r="H97" s="925">
        <v>295000</v>
      </c>
      <c r="I97" s="925">
        <v>147533</v>
      </c>
      <c r="J97" s="924" t="s">
        <v>592</v>
      </c>
      <c r="K97" s="924" t="s">
        <v>593</v>
      </c>
    </row>
    <row r="98" spans="1:11" x14ac:dyDescent="0.25">
      <c r="A98" s="923">
        <v>1001735513</v>
      </c>
      <c r="B98" s="924" t="s">
        <v>715</v>
      </c>
      <c r="C98" s="924" t="s">
        <v>590</v>
      </c>
      <c r="D98" s="924">
        <v>580215333</v>
      </c>
      <c r="E98" s="924">
        <v>40000564</v>
      </c>
      <c r="F98" s="924" t="s">
        <v>371</v>
      </c>
      <c r="G98" s="924">
        <v>2024</v>
      </c>
      <c r="H98" s="925">
        <v>295000</v>
      </c>
      <c r="I98" s="925">
        <v>61023</v>
      </c>
      <c r="J98" s="924" t="s">
        <v>592</v>
      </c>
      <c r="K98" s="924" t="s">
        <v>593</v>
      </c>
    </row>
    <row r="99" spans="1:11" x14ac:dyDescent="0.25">
      <c r="A99" s="923">
        <v>1001735514</v>
      </c>
      <c r="B99" s="924" t="s">
        <v>716</v>
      </c>
      <c r="C99" s="924" t="s">
        <v>590</v>
      </c>
      <c r="D99" s="924">
        <v>580215333</v>
      </c>
      <c r="E99" s="924">
        <v>40000564</v>
      </c>
      <c r="F99" s="924" t="s">
        <v>371</v>
      </c>
      <c r="G99" s="924">
        <v>2024</v>
      </c>
      <c r="H99" s="925">
        <v>295000</v>
      </c>
      <c r="I99" s="925">
        <v>120357</v>
      </c>
      <c r="J99" s="924" t="s">
        <v>592</v>
      </c>
      <c r="K99" s="924" t="s">
        <v>593</v>
      </c>
    </row>
    <row r="100" spans="1:11" x14ac:dyDescent="0.25">
      <c r="A100" s="923">
        <v>1001735515</v>
      </c>
      <c r="B100" s="924" t="s">
        <v>717</v>
      </c>
      <c r="C100" s="924" t="s">
        <v>590</v>
      </c>
      <c r="D100" s="924">
        <v>580215333</v>
      </c>
      <c r="E100" s="924">
        <v>40000564</v>
      </c>
      <c r="F100" s="924" t="s">
        <v>371</v>
      </c>
      <c r="G100" s="924">
        <v>2024</v>
      </c>
      <c r="H100" s="925">
        <v>295000</v>
      </c>
      <c r="I100" s="925">
        <v>67993</v>
      </c>
      <c r="J100" s="924" t="s">
        <v>592</v>
      </c>
      <c r="K100" s="924" t="s">
        <v>593</v>
      </c>
    </row>
    <row r="101" spans="1:11" x14ac:dyDescent="0.25">
      <c r="A101" s="923">
        <v>1001735516</v>
      </c>
      <c r="B101" s="924" t="s">
        <v>718</v>
      </c>
      <c r="C101" s="924" t="s">
        <v>590</v>
      </c>
      <c r="D101" s="924">
        <v>580215333</v>
      </c>
      <c r="E101" s="924">
        <v>40000564</v>
      </c>
      <c r="F101" s="924" t="s">
        <v>371</v>
      </c>
      <c r="G101" s="924">
        <v>2024</v>
      </c>
      <c r="H101" s="925">
        <v>295000</v>
      </c>
      <c r="I101" s="925">
        <v>39601</v>
      </c>
      <c r="J101" s="924" t="s">
        <v>592</v>
      </c>
      <c r="K101" s="924" t="s">
        <v>593</v>
      </c>
    </row>
    <row r="102" spans="1:11" x14ac:dyDescent="0.25">
      <c r="A102" s="923">
        <v>1001735517</v>
      </c>
      <c r="B102" s="924" t="s">
        <v>719</v>
      </c>
      <c r="C102" s="924" t="s">
        <v>590</v>
      </c>
      <c r="D102" s="924">
        <v>580215333</v>
      </c>
      <c r="E102" s="924">
        <v>40000564</v>
      </c>
      <c r="F102" s="924" t="s">
        <v>371</v>
      </c>
      <c r="G102" s="924">
        <v>2024</v>
      </c>
      <c r="H102" s="925">
        <v>295000</v>
      </c>
      <c r="I102" s="925">
        <v>63942</v>
      </c>
      <c r="J102" s="924" t="s">
        <v>592</v>
      </c>
      <c r="K102" s="924" t="s">
        <v>593</v>
      </c>
    </row>
    <row r="103" spans="1:11" x14ac:dyDescent="0.25">
      <c r="A103" s="923">
        <v>1001735518</v>
      </c>
      <c r="B103" s="924" t="s">
        <v>720</v>
      </c>
      <c r="C103" s="924" t="s">
        <v>590</v>
      </c>
      <c r="D103" s="924">
        <v>580215333</v>
      </c>
      <c r="E103" s="924">
        <v>40000564</v>
      </c>
      <c r="F103" s="924" t="s">
        <v>371</v>
      </c>
      <c r="G103" s="924">
        <v>2024</v>
      </c>
      <c r="H103" s="925">
        <v>295000</v>
      </c>
      <c r="I103" s="925">
        <v>79144</v>
      </c>
      <c r="J103" s="924" t="s">
        <v>592</v>
      </c>
      <c r="K103" s="924" t="s">
        <v>593</v>
      </c>
    </row>
    <row r="104" spans="1:11" x14ac:dyDescent="0.25">
      <c r="A104" s="923">
        <v>1001735519</v>
      </c>
      <c r="B104" s="924" t="s">
        <v>721</v>
      </c>
      <c r="C104" s="924" t="s">
        <v>659</v>
      </c>
      <c r="D104" s="924">
        <v>580215333</v>
      </c>
      <c r="E104" s="924">
        <v>40000564</v>
      </c>
      <c r="F104" s="924" t="s">
        <v>371</v>
      </c>
      <c r="G104" s="924">
        <v>2024</v>
      </c>
      <c r="H104" s="925">
        <v>295000</v>
      </c>
      <c r="I104" s="925">
        <v>0</v>
      </c>
      <c r="J104" s="924" t="s">
        <v>592</v>
      </c>
      <c r="K104" s="924" t="s">
        <v>593</v>
      </c>
    </row>
    <row r="105" spans="1:11" x14ac:dyDescent="0.25">
      <c r="A105" s="923">
        <v>1001735520</v>
      </c>
      <c r="B105" s="924" t="s">
        <v>722</v>
      </c>
      <c r="C105" s="924" t="s">
        <v>659</v>
      </c>
      <c r="D105" s="924">
        <v>580215333</v>
      </c>
      <c r="E105" s="924">
        <v>40000564</v>
      </c>
      <c r="F105" s="924" t="s">
        <v>371</v>
      </c>
      <c r="G105" s="924">
        <v>2024</v>
      </c>
      <c r="H105" s="925">
        <v>295000</v>
      </c>
      <c r="I105" s="925">
        <v>0</v>
      </c>
      <c r="J105" s="924" t="s">
        <v>592</v>
      </c>
      <c r="K105" s="924" t="s">
        <v>593</v>
      </c>
    </row>
    <row r="106" spans="1:11" x14ac:dyDescent="0.25">
      <c r="A106" s="923">
        <v>1001735521</v>
      </c>
      <c r="B106" s="924" t="s">
        <v>723</v>
      </c>
      <c r="C106" s="924" t="s">
        <v>590</v>
      </c>
      <c r="D106" s="924">
        <v>580215333</v>
      </c>
      <c r="E106" s="924">
        <v>40000564</v>
      </c>
      <c r="F106" s="924" t="s">
        <v>371</v>
      </c>
      <c r="G106" s="924">
        <v>2024</v>
      </c>
      <c r="H106" s="925">
        <v>295000</v>
      </c>
      <c r="I106" s="925">
        <v>68033</v>
      </c>
      <c r="J106" s="924" t="s">
        <v>592</v>
      </c>
      <c r="K106" s="924" t="s">
        <v>593</v>
      </c>
    </row>
    <row r="107" spans="1:11" x14ac:dyDescent="0.25">
      <c r="A107" s="923">
        <v>1001735522</v>
      </c>
      <c r="B107" s="924" t="s">
        <v>724</v>
      </c>
      <c r="C107" s="924" t="s">
        <v>590</v>
      </c>
      <c r="D107" s="924">
        <v>580215333</v>
      </c>
      <c r="E107" s="924">
        <v>40000564</v>
      </c>
      <c r="F107" s="924" t="s">
        <v>371</v>
      </c>
      <c r="G107" s="924">
        <v>2024</v>
      </c>
      <c r="H107" s="925">
        <v>295000</v>
      </c>
      <c r="I107" s="925">
        <v>28695</v>
      </c>
      <c r="J107" s="924" t="s">
        <v>592</v>
      </c>
      <c r="K107" s="924" t="s">
        <v>593</v>
      </c>
    </row>
    <row r="108" spans="1:11" x14ac:dyDescent="0.25">
      <c r="A108" s="923">
        <v>1001735523</v>
      </c>
      <c r="B108" s="924" t="s">
        <v>725</v>
      </c>
      <c r="C108" s="924" t="s">
        <v>590</v>
      </c>
      <c r="D108" s="924">
        <v>580215333</v>
      </c>
      <c r="E108" s="924">
        <v>40000564</v>
      </c>
      <c r="F108" s="924" t="s">
        <v>371</v>
      </c>
      <c r="G108" s="924">
        <v>2024</v>
      </c>
      <c r="H108" s="925">
        <v>295000</v>
      </c>
      <c r="I108" s="925">
        <v>57397</v>
      </c>
      <c r="J108" s="924" t="s">
        <v>592</v>
      </c>
      <c r="K108" s="924" t="s">
        <v>593</v>
      </c>
    </row>
    <row r="109" spans="1:11" x14ac:dyDescent="0.25">
      <c r="A109" s="923">
        <v>1001735525</v>
      </c>
      <c r="B109" s="924" t="s">
        <v>726</v>
      </c>
      <c r="C109" s="924" t="s">
        <v>590</v>
      </c>
      <c r="D109" s="924">
        <v>580215333</v>
      </c>
      <c r="E109" s="924">
        <v>40000564</v>
      </c>
      <c r="F109" s="924" t="s">
        <v>371</v>
      </c>
      <c r="G109" s="924">
        <v>2024</v>
      </c>
      <c r="H109" s="925">
        <v>295000</v>
      </c>
      <c r="I109" s="925">
        <v>55682</v>
      </c>
      <c r="J109" s="924" t="s">
        <v>592</v>
      </c>
      <c r="K109" s="924" t="s">
        <v>593</v>
      </c>
    </row>
    <row r="110" spans="1:11" x14ac:dyDescent="0.25">
      <c r="A110" s="923">
        <v>1001735526</v>
      </c>
      <c r="B110" s="924" t="s">
        <v>727</v>
      </c>
      <c r="C110" s="924" t="s">
        <v>590</v>
      </c>
      <c r="D110" s="924">
        <v>580215333</v>
      </c>
      <c r="E110" s="924">
        <v>40000564</v>
      </c>
      <c r="F110" s="924" t="s">
        <v>371</v>
      </c>
      <c r="G110" s="924">
        <v>2024</v>
      </c>
      <c r="H110" s="925">
        <v>295000</v>
      </c>
      <c r="I110" s="925">
        <v>44371</v>
      </c>
      <c r="J110" s="924" t="s">
        <v>592</v>
      </c>
      <c r="K110" s="924" t="s">
        <v>593</v>
      </c>
    </row>
    <row r="111" spans="1:11" x14ac:dyDescent="0.25">
      <c r="A111" s="923">
        <v>1001735527</v>
      </c>
      <c r="B111" s="924" t="s">
        <v>728</v>
      </c>
      <c r="C111" s="924" t="s">
        <v>590</v>
      </c>
      <c r="D111" s="924">
        <v>580215333</v>
      </c>
      <c r="E111" s="924">
        <v>40000564</v>
      </c>
      <c r="F111" s="924" t="s">
        <v>371</v>
      </c>
      <c r="G111" s="924">
        <v>2024</v>
      </c>
      <c r="H111" s="925">
        <v>295000</v>
      </c>
      <c r="I111" s="925">
        <v>58491</v>
      </c>
      <c r="J111" s="924" t="s">
        <v>592</v>
      </c>
      <c r="K111" s="924" t="s">
        <v>593</v>
      </c>
    </row>
    <row r="112" spans="1:11" x14ac:dyDescent="0.25">
      <c r="A112" s="923">
        <v>1001735528</v>
      </c>
      <c r="B112" s="924" t="s">
        <v>729</v>
      </c>
      <c r="C112" s="924" t="s">
        <v>590</v>
      </c>
      <c r="D112" s="924">
        <v>580215333</v>
      </c>
      <c r="E112" s="924">
        <v>40000564</v>
      </c>
      <c r="F112" s="924" t="s">
        <v>371</v>
      </c>
      <c r="G112" s="924">
        <v>2024</v>
      </c>
      <c r="H112" s="925">
        <v>295000</v>
      </c>
      <c r="I112" s="925">
        <v>53042</v>
      </c>
      <c r="J112" s="924" t="s">
        <v>592</v>
      </c>
      <c r="K112" s="924" t="s">
        <v>593</v>
      </c>
    </row>
    <row r="113" spans="1:11" x14ac:dyDescent="0.25">
      <c r="A113" s="923">
        <v>1001735529</v>
      </c>
      <c r="B113" s="924" t="s">
        <v>730</v>
      </c>
      <c r="C113" s="924" t="s">
        <v>590</v>
      </c>
      <c r="D113" s="924">
        <v>580215333</v>
      </c>
      <c r="E113" s="924">
        <v>40000564</v>
      </c>
      <c r="F113" s="924" t="s">
        <v>371</v>
      </c>
      <c r="G113" s="924">
        <v>2024</v>
      </c>
      <c r="H113" s="925">
        <v>295000</v>
      </c>
      <c r="I113" s="925">
        <v>104222</v>
      </c>
      <c r="J113" s="924" t="s">
        <v>592</v>
      </c>
      <c r="K113" s="924" t="s">
        <v>593</v>
      </c>
    </row>
    <row r="114" spans="1:11" x14ac:dyDescent="0.25">
      <c r="A114" s="923">
        <v>1001735530</v>
      </c>
      <c r="B114" s="924" t="s">
        <v>731</v>
      </c>
      <c r="C114" s="924" t="s">
        <v>590</v>
      </c>
      <c r="D114" s="924">
        <v>580215333</v>
      </c>
      <c r="E114" s="924">
        <v>40000564</v>
      </c>
      <c r="F114" s="924" t="s">
        <v>371</v>
      </c>
      <c r="G114" s="924">
        <v>2024</v>
      </c>
      <c r="H114" s="925">
        <v>295000</v>
      </c>
      <c r="I114" s="925">
        <v>51589</v>
      </c>
      <c r="J114" s="924" t="s">
        <v>592</v>
      </c>
      <c r="K114" s="924" t="s">
        <v>593</v>
      </c>
    </row>
    <row r="115" spans="1:11" x14ac:dyDescent="0.25">
      <c r="A115" s="923">
        <v>1001735531</v>
      </c>
      <c r="B115" s="924" t="s">
        <v>732</v>
      </c>
      <c r="C115" s="924" t="s">
        <v>590</v>
      </c>
      <c r="D115" s="924">
        <v>580215333</v>
      </c>
      <c r="E115" s="924">
        <v>40000564</v>
      </c>
      <c r="F115" s="924" t="s">
        <v>371</v>
      </c>
      <c r="G115" s="924">
        <v>2024</v>
      </c>
      <c r="H115" s="925">
        <v>295000</v>
      </c>
      <c r="I115" s="925">
        <v>79787</v>
      </c>
      <c r="J115" s="924" t="s">
        <v>592</v>
      </c>
      <c r="K115" s="924" t="s">
        <v>593</v>
      </c>
    </row>
    <row r="116" spans="1:11" x14ac:dyDescent="0.25">
      <c r="A116" s="923">
        <v>1001735532</v>
      </c>
      <c r="B116" s="924" t="s">
        <v>567</v>
      </c>
      <c r="C116" s="924" t="s">
        <v>590</v>
      </c>
      <c r="D116" s="924">
        <v>580215333</v>
      </c>
      <c r="E116" s="924">
        <v>40000564</v>
      </c>
      <c r="F116" s="924" t="s">
        <v>371</v>
      </c>
      <c r="G116" s="924">
        <v>2024</v>
      </c>
      <c r="H116" s="925">
        <v>295000</v>
      </c>
      <c r="I116" s="925">
        <v>47544</v>
      </c>
      <c r="J116" s="924" t="s">
        <v>592</v>
      </c>
      <c r="K116" s="924" t="s">
        <v>593</v>
      </c>
    </row>
    <row r="117" spans="1:11" x14ac:dyDescent="0.25">
      <c r="A117" s="923">
        <v>1001735533</v>
      </c>
      <c r="B117" s="924" t="s">
        <v>733</v>
      </c>
      <c r="C117" s="924" t="s">
        <v>590</v>
      </c>
      <c r="D117" s="924">
        <v>580215333</v>
      </c>
      <c r="E117" s="924">
        <v>40000564</v>
      </c>
      <c r="F117" s="924" t="s">
        <v>371</v>
      </c>
      <c r="G117" s="924">
        <v>2024</v>
      </c>
      <c r="H117" s="925">
        <v>295000</v>
      </c>
      <c r="I117" s="925">
        <v>63584</v>
      </c>
      <c r="J117" s="924" t="s">
        <v>592</v>
      </c>
      <c r="K117" s="924" t="s">
        <v>593</v>
      </c>
    </row>
    <row r="118" spans="1:11" x14ac:dyDescent="0.25">
      <c r="A118" s="923">
        <v>1001735534</v>
      </c>
      <c r="B118" s="924" t="s">
        <v>734</v>
      </c>
      <c r="C118" s="924" t="s">
        <v>590</v>
      </c>
      <c r="D118" s="924">
        <v>580215333</v>
      </c>
      <c r="E118" s="924">
        <v>40000564</v>
      </c>
      <c r="F118" s="924" t="s">
        <v>371</v>
      </c>
      <c r="G118" s="924">
        <v>2024</v>
      </c>
      <c r="H118" s="925">
        <v>295000</v>
      </c>
      <c r="I118" s="925">
        <v>73892</v>
      </c>
      <c r="J118" s="924" t="s">
        <v>592</v>
      </c>
      <c r="K118" s="924" t="s">
        <v>593</v>
      </c>
    </row>
    <row r="119" spans="1:11" x14ac:dyDescent="0.25">
      <c r="A119" s="923">
        <v>1001735535</v>
      </c>
      <c r="B119" s="924" t="s">
        <v>735</v>
      </c>
      <c r="C119" s="924" t="s">
        <v>590</v>
      </c>
      <c r="D119" s="924">
        <v>580215333</v>
      </c>
      <c r="E119" s="924">
        <v>40000564</v>
      </c>
      <c r="F119" s="924" t="s">
        <v>371</v>
      </c>
      <c r="G119" s="924">
        <v>2024</v>
      </c>
      <c r="H119" s="925">
        <v>295000</v>
      </c>
      <c r="I119" s="925">
        <v>61155</v>
      </c>
      <c r="J119" s="924" t="s">
        <v>592</v>
      </c>
      <c r="K119" s="924" t="s">
        <v>593</v>
      </c>
    </row>
    <row r="120" spans="1:11" x14ac:dyDescent="0.25">
      <c r="A120" s="923">
        <v>1001735536</v>
      </c>
      <c r="B120" s="924" t="s">
        <v>736</v>
      </c>
      <c r="C120" s="924" t="s">
        <v>590</v>
      </c>
      <c r="D120" s="924">
        <v>580215333</v>
      </c>
      <c r="E120" s="924">
        <v>40000564</v>
      </c>
      <c r="F120" s="924" t="s">
        <v>371</v>
      </c>
      <c r="G120" s="924">
        <v>2024</v>
      </c>
      <c r="H120" s="925">
        <v>295000</v>
      </c>
      <c r="I120" s="925">
        <v>77241</v>
      </c>
      <c r="J120" s="924" t="s">
        <v>592</v>
      </c>
      <c r="K120" s="924" t="s">
        <v>593</v>
      </c>
    </row>
    <row r="121" spans="1:11" x14ac:dyDescent="0.25">
      <c r="A121" s="923">
        <v>1001735537</v>
      </c>
      <c r="B121" s="924" t="s">
        <v>737</v>
      </c>
      <c r="C121" s="924" t="s">
        <v>659</v>
      </c>
      <c r="D121" s="924">
        <v>580215333</v>
      </c>
      <c r="E121" s="924">
        <v>40000564</v>
      </c>
      <c r="F121" s="924" t="s">
        <v>371</v>
      </c>
      <c r="G121" s="924">
        <v>2024</v>
      </c>
      <c r="H121" s="925">
        <v>295000</v>
      </c>
      <c r="I121" s="925">
        <v>0</v>
      </c>
      <c r="J121" s="924" t="s">
        <v>592</v>
      </c>
      <c r="K121" s="924" t="s">
        <v>593</v>
      </c>
    </row>
    <row r="122" spans="1:11" x14ac:dyDescent="0.25">
      <c r="A122" s="923">
        <v>1001735538</v>
      </c>
      <c r="B122" s="924" t="s">
        <v>738</v>
      </c>
      <c r="C122" s="924" t="s">
        <v>590</v>
      </c>
      <c r="D122" s="924">
        <v>580215333</v>
      </c>
      <c r="E122" s="924">
        <v>40000564</v>
      </c>
      <c r="F122" s="924" t="s">
        <v>371</v>
      </c>
      <c r="G122" s="924">
        <v>2024</v>
      </c>
      <c r="H122" s="925">
        <v>295000</v>
      </c>
      <c r="I122" s="925">
        <v>56744</v>
      </c>
      <c r="J122" s="924" t="s">
        <v>592</v>
      </c>
      <c r="K122" s="924" t="s">
        <v>593</v>
      </c>
    </row>
    <row r="123" spans="1:11" x14ac:dyDescent="0.25">
      <c r="A123" s="923">
        <v>1001735539</v>
      </c>
      <c r="B123" s="924" t="s">
        <v>739</v>
      </c>
      <c r="C123" s="924" t="s">
        <v>590</v>
      </c>
      <c r="D123" s="924">
        <v>580215333</v>
      </c>
      <c r="E123" s="924">
        <v>40000564</v>
      </c>
      <c r="F123" s="924" t="s">
        <v>371</v>
      </c>
      <c r="G123" s="924">
        <v>2024</v>
      </c>
      <c r="H123" s="925">
        <v>295000</v>
      </c>
      <c r="I123" s="925">
        <v>52560</v>
      </c>
      <c r="J123" s="924" t="s">
        <v>592</v>
      </c>
      <c r="K123" s="924" t="s">
        <v>593</v>
      </c>
    </row>
    <row r="124" spans="1:11" x14ac:dyDescent="0.25">
      <c r="A124" s="923">
        <v>1001735540</v>
      </c>
      <c r="B124" s="924" t="s">
        <v>740</v>
      </c>
      <c r="C124" s="924" t="s">
        <v>590</v>
      </c>
      <c r="D124" s="924">
        <v>580215333</v>
      </c>
      <c r="E124" s="924">
        <v>40000564</v>
      </c>
      <c r="F124" s="924" t="s">
        <v>371</v>
      </c>
      <c r="G124" s="924">
        <v>2024</v>
      </c>
      <c r="H124" s="925">
        <v>295000</v>
      </c>
      <c r="I124" s="925">
        <v>55133</v>
      </c>
      <c r="J124" s="924" t="s">
        <v>592</v>
      </c>
      <c r="K124" s="924" t="s">
        <v>593</v>
      </c>
    </row>
    <row r="125" spans="1:11" x14ac:dyDescent="0.25">
      <c r="A125" s="923">
        <v>1001735541</v>
      </c>
      <c r="B125" s="924" t="s">
        <v>741</v>
      </c>
      <c r="C125" s="924" t="s">
        <v>590</v>
      </c>
      <c r="D125" s="924">
        <v>580215333</v>
      </c>
      <c r="E125" s="924">
        <v>40000564</v>
      </c>
      <c r="F125" s="924" t="s">
        <v>371</v>
      </c>
      <c r="G125" s="924">
        <v>2024</v>
      </c>
      <c r="H125" s="925">
        <v>295000</v>
      </c>
      <c r="I125" s="925">
        <v>45965</v>
      </c>
      <c r="J125" s="924" t="s">
        <v>592</v>
      </c>
      <c r="K125" s="924" t="s">
        <v>593</v>
      </c>
    </row>
    <row r="126" spans="1:11" x14ac:dyDescent="0.25">
      <c r="A126" s="923">
        <v>1001735542</v>
      </c>
      <c r="B126" s="924" t="s">
        <v>742</v>
      </c>
      <c r="C126" s="924" t="s">
        <v>590</v>
      </c>
      <c r="D126" s="924">
        <v>580215333</v>
      </c>
      <c r="E126" s="924">
        <v>40000564</v>
      </c>
      <c r="F126" s="924" t="s">
        <v>371</v>
      </c>
      <c r="G126" s="924">
        <v>2024</v>
      </c>
      <c r="H126" s="925">
        <v>295000</v>
      </c>
      <c r="I126" s="925">
        <v>44088</v>
      </c>
      <c r="J126" s="924" t="s">
        <v>592</v>
      </c>
      <c r="K126" s="924" t="s">
        <v>593</v>
      </c>
    </row>
    <row r="127" spans="1:11" x14ac:dyDescent="0.25">
      <c r="A127" s="923">
        <v>1001735543</v>
      </c>
      <c r="B127" s="924" t="s">
        <v>743</v>
      </c>
      <c r="C127" s="924" t="s">
        <v>590</v>
      </c>
      <c r="D127" s="924">
        <v>580215333</v>
      </c>
      <c r="E127" s="924">
        <v>40000564</v>
      </c>
      <c r="F127" s="924" t="s">
        <v>371</v>
      </c>
      <c r="G127" s="924">
        <v>2024</v>
      </c>
      <c r="H127" s="925">
        <v>295000</v>
      </c>
      <c r="I127" s="925">
        <v>78213</v>
      </c>
      <c r="J127" s="924" t="s">
        <v>592</v>
      </c>
      <c r="K127" s="924" t="s">
        <v>593</v>
      </c>
    </row>
    <row r="128" spans="1:11" x14ac:dyDescent="0.25">
      <c r="A128" s="923">
        <v>1001735544</v>
      </c>
      <c r="B128" s="924" t="s">
        <v>744</v>
      </c>
      <c r="C128" s="924" t="s">
        <v>590</v>
      </c>
      <c r="D128" s="924">
        <v>580215333</v>
      </c>
      <c r="E128" s="924">
        <v>40000564</v>
      </c>
      <c r="F128" s="924" t="s">
        <v>371</v>
      </c>
      <c r="G128" s="924">
        <v>2024</v>
      </c>
      <c r="H128" s="925">
        <v>295000</v>
      </c>
      <c r="I128" s="925">
        <v>40900</v>
      </c>
      <c r="J128" s="924" t="s">
        <v>592</v>
      </c>
      <c r="K128" s="924" t="s">
        <v>593</v>
      </c>
    </row>
    <row r="129" spans="1:11" x14ac:dyDescent="0.25">
      <c r="A129" s="923">
        <v>1001735545</v>
      </c>
      <c r="B129" s="924" t="s">
        <v>745</v>
      </c>
      <c r="C129" s="924" t="s">
        <v>659</v>
      </c>
      <c r="D129" s="924">
        <v>580215333</v>
      </c>
      <c r="E129" s="924">
        <v>40000564</v>
      </c>
      <c r="F129" s="924" t="s">
        <v>371</v>
      </c>
      <c r="G129" s="924">
        <v>2024</v>
      </c>
      <c r="H129" s="925">
        <v>295000</v>
      </c>
      <c r="I129" s="925">
        <v>0</v>
      </c>
      <c r="J129" s="924" t="s">
        <v>592</v>
      </c>
      <c r="K129" s="924" t="s">
        <v>593</v>
      </c>
    </row>
    <row r="130" spans="1:11" x14ac:dyDescent="0.25">
      <c r="A130" s="923">
        <v>1001735547</v>
      </c>
      <c r="B130" s="924" t="s">
        <v>746</v>
      </c>
      <c r="C130" s="924" t="s">
        <v>590</v>
      </c>
      <c r="D130" s="924">
        <v>580215333</v>
      </c>
      <c r="E130" s="924">
        <v>40000564</v>
      </c>
      <c r="F130" s="924" t="s">
        <v>371</v>
      </c>
      <c r="G130" s="924">
        <v>2024</v>
      </c>
      <c r="H130" s="925">
        <v>295000</v>
      </c>
      <c r="I130" s="925">
        <v>43210</v>
      </c>
      <c r="J130" s="924" t="s">
        <v>592</v>
      </c>
      <c r="K130" s="924" t="s">
        <v>593</v>
      </c>
    </row>
    <row r="131" spans="1:11" x14ac:dyDescent="0.25">
      <c r="A131" s="923">
        <v>1001735548</v>
      </c>
      <c r="B131" s="924" t="s">
        <v>747</v>
      </c>
      <c r="C131" s="924" t="s">
        <v>590</v>
      </c>
      <c r="D131" s="924">
        <v>580215333</v>
      </c>
      <c r="E131" s="924">
        <v>40000564</v>
      </c>
      <c r="F131" s="924" t="s">
        <v>371</v>
      </c>
      <c r="G131" s="924">
        <v>2024</v>
      </c>
      <c r="H131" s="925">
        <v>295000</v>
      </c>
      <c r="I131" s="925">
        <v>52814</v>
      </c>
      <c r="J131" s="924" t="s">
        <v>592</v>
      </c>
      <c r="K131" s="924" t="s">
        <v>593</v>
      </c>
    </row>
    <row r="132" spans="1:11" x14ac:dyDescent="0.25">
      <c r="A132" s="923">
        <v>1001735549</v>
      </c>
      <c r="B132" s="924" t="s">
        <v>748</v>
      </c>
      <c r="C132" s="924" t="s">
        <v>590</v>
      </c>
      <c r="D132" s="924">
        <v>580215333</v>
      </c>
      <c r="E132" s="924">
        <v>40000564</v>
      </c>
      <c r="F132" s="924" t="s">
        <v>371</v>
      </c>
      <c r="G132" s="924">
        <v>2024</v>
      </c>
      <c r="H132" s="925">
        <v>295000</v>
      </c>
      <c r="I132" s="925">
        <v>48987</v>
      </c>
      <c r="J132" s="924" t="s">
        <v>592</v>
      </c>
      <c r="K132" s="924" t="s">
        <v>593</v>
      </c>
    </row>
    <row r="133" spans="1:11" x14ac:dyDescent="0.25">
      <c r="A133" s="923">
        <v>1001735550</v>
      </c>
      <c r="B133" s="924" t="s">
        <v>749</v>
      </c>
      <c r="C133" s="924" t="s">
        <v>590</v>
      </c>
      <c r="D133" s="924">
        <v>580215333</v>
      </c>
      <c r="E133" s="924">
        <v>40000564</v>
      </c>
      <c r="F133" s="924" t="s">
        <v>371</v>
      </c>
      <c r="G133" s="924">
        <v>2024</v>
      </c>
      <c r="H133" s="925">
        <v>295000</v>
      </c>
      <c r="I133" s="925">
        <v>54644</v>
      </c>
      <c r="J133" s="924" t="s">
        <v>592</v>
      </c>
      <c r="K133" s="924" t="s">
        <v>593</v>
      </c>
    </row>
    <row r="134" spans="1:11" x14ac:dyDescent="0.25">
      <c r="A134" s="923">
        <v>1001735551</v>
      </c>
      <c r="B134" s="924" t="s">
        <v>750</v>
      </c>
      <c r="C134" s="924" t="s">
        <v>590</v>
      </c>
      <c r="D134" s="924">
        <v>580215333</v>
      </c>
      <c r="E134" s="924">
        <v>40000564</v>
      </c>
      <c r="F134" s="924" t="s">
        <v>371</v>
      </c>
      <c r="G134" s="924">
        <v>2024</v>
      </c>
      <c r="H134" s="925">
        <v>295000</v>
      </c>
      <c r="I134" s="925">
        <v>113688</v>
      </c>
      <c r="J134" s="924" t="s">
        <v>592</v>
      </c>
      <c r="K134" s="924" t="s">
        <v>593</v>
      </c>
    </row>
    <row r="135" spans="1:11" x14ac:dyDescent="0.25">
      <c r="A135" s="923">
        <v>1001735552</v>
      </c>
      <c r="B135" s="924" t="s">
        <v>751</v>
      </c>
      <c r="C135" s="924" t="s">
        <v>590</v>
      </c>
      <c r="D135" s="924">
        <v>580215333</v>
      </c>
      <c r="E135" s="924">
        <v>40000564</v>
      </c>
      <c r="F135" s="924" t="s">
        <v>371</v>
      </c>
      <c r="G135" s="924">
        <v>2024</v>
      </c>
      <c r="H135" s="925">
        <v>295000</v>
      </c>
      <c r="I135" s="925">
        <v>88927</v>
      </c>
      <c r="J135" s="924" t="s">
        <v>592</v>
      </c>
      <c r="K135" s="924" t="s">
        <v>593</v>
      </c>
    </row>
    <row r="136" spans="1:11" x14ac:dyDescent="0.25">
      <c r="A136" s="923">
        <v>1001735553</v>
      </c>
      <c r="B136" s="924" t="s">
        <v>752</v>
      </c>
      <c r="C136" s="924" t="s">
        <v>590</v>
      </c>
      <c r="D136" s="924">
        <v>580215333</v>
      </c>
      <c r="E136" s="924">
        <v>40000564</v>
      </c>
      <c r="F136" s="924" t="s">
        <v>371</v>
      </c>
      <c r="G136" s="924">
        <v>2024</v>
      </c>
      <c r="H136" s="925">
        <v>295000</v>
      </c>
      <c r="I136" s="925">
        <v>37843</v>
      </c>
      <c r="J136" s="924" t="s">
        <v>592</v>
      </c>
      <c r="K136" s="924" t="s">
        <v>593</v>
      </c>
    </row>
    <row r="137" spans="1:11" x14ac:dyDescent="0.25">
      <c r="A137" s="923">
        <v>1001735554</v>
      </c>
      <c r="B137" s="924" t="s">
        <v>753</v>
      </c>
      <c r="C137" s="924" t="s">
        <v>659</v>
      </c>
      <c r="D137" s="924">
        <v>580215333</v>
      </c>
      <c r="E137" s="924">
        <v>40000564</v>
      </c>
      <c r="F137" s="924" t="s">
        <v>371</v>
      </c>
      <c r="G137" s="924">
        <v>2024</v>
      </c>
      <c r="H137" s="925">
        <v>295000</v>
      </c>
      <c r="I137" s="925">
        <v>0</v>
      </c>
      <c r="J137" s="924" t="s">
        <v>592</v>
      </c>
      <c r="K137" s="924" t="s">
        <v>593</v>
      </c>
    </row>
    <row r="138" spans="1:11" x14ac:dyDescent="0.25">
      <c r="A138" s="923">
        <v>1001735555</v>
      </c>
      <c r="B138" s="924" t="s">
        <v>754</v>
      </c>
      <c r="C138" s="924" t="s">
        <v>590</v>
      </c>
      <c r="D138" s="924">
        <v>580215333</v>
      </c>
      <c r="E138" s="924">
        <v>40000564</v>
      </c>
      <c r="F138" s="924" t="s">
        <v>371</v>
      </c>
      <c r="G138" s="924">
        <v>2024</v>
      </c>
      <c r="H138" s="925">
        <v>295000</v>
      </c>
      <c r="I138" s="925">
        <v>100326</v>
      </c>
      <c r="J138" s="924" t="s">
        <v>592</v>
      </c>
      <c r="K138" s="924" t="s">
        <v>593</v>
      </c>
    </row>
    <row r="139" spans="1:11" x14ac:dyDescent="0.25">
      <c r="A139" s="923">
        <v>1001735556</v>
      </c>
      <c r="B139" s="924" t="s">
        <v>755</v>
      </c>
      <c r="C139" s="924" t="s">
        <v>590</v>
      </c>
      <c r="D139" s="924">
        <v>580215333</v>
      </c>
      <c r="E139" s="924">
        <v>40000564</v>
      </c>
      <c r="F139" s="924" t="s">
        <v>371</v>
      </c>
      <c r="G139" s="924">
        <v>2024</v>
      </c>
      <c r="H139" s="925">
        <v>295000</v>
      </c>
      <c r="I139" s="925">
        <v>107793</v>
      </c>
      <c r="J139" s="924" t="s">
        <v>592</v>
      </c>
      <c r="K139" s="924" t="s">
        <v>593</v>
      </c>
    </row>
    <row r="140" spans="1:11" x14ac:dyDescent="0.25">
      <c r="A140" s="923">
        <v>1001735557</v>
      </c>
      <c r="B140" s="924" t="s">
        <v>756</v>
      </c>
      <c r="C140" s="924" t="s">
        <v>590</v>
      </c>
      <c r="D140" s="924">
        <v>580215333</v>
      </c>
      <c r="E140" s="924">
        <v>40000564</v>
      </c>
      <c r="F140" s="924" t="s">
        <v>371</v>
      </c>
      <c r="G140" s="924">
        <v>2024</v>
      </c>
      <c r="H140" s="925">
        <v>295000</v>
      </c>
      <c r="I140" s="925">
        <v>52406</v>
      </c>
      <c r="J140" s="924" t="s">
        <v>592</v>
      </c>
      <c r="K140" s="924" t="s">
        <v>593</v>
      </c>
    </row>
    <row r="141" spans="1:11" x14ac:dyDescent="0.25">
      <c r="A141" s="923">
        <v>1001735558</v>
      </c>
      <c r="B141" s="924" t="s">
        <v>757</v>
      </c>
      <c r="C141" s="924" t="s">
        <v>590</v>
      </c>
      <c r="D141" s="924">
        <v>580215333</v>
      </c>
      <c r="E141" s="924">
        <v>40000564</v>
      </c>
      <c r="F141" s="924" t="s">
        <v>371</v>
      </c>
      <c r="G141" s="924">
        <v>2024</v>
      </c>
      <c r="H141" s="925">
        <v>295000</v>
      </c>
      <c r="I141" s="925">
        <v>46665</v>
      </c>
      <c r="J141" s="924" t="s">
        <v>592</v>
      </c>
      <c r="K141" s="924" t="s">
        <v>593</v>
      </c>
    </row>
    <row r="142" spans="1:11" x14ac:dyDescent="0.25">
      <c r="A142" s="923">
        <v>1001735559</v>
      </c>
      <c r="B142" s="924" t="s">
        <v>758</v>
      </c>
      <c r="C142" s="924" t="s">
        <v>590</v>
      </c>
      <c r="D142" s="924">
        <v>580215333</v>
      </c>
      <c r="E142" s="924">
        <v>40000564</v>
      </c>
      <c r="F142" s="924" t="s">
        <v>371</v>
      </c>
      <c r="G142" s="924">
        <v>2024</v>
      </c>
      <c r="H142" s="925">
        <v>295000</v>
      </c>
      <c r="I142" s="925">
        <v>100289</v>
      </c>
      <c r="J142" s="924" t="s">
        <v>592</v>
      </c>
      <c r="K142" s="924" t="s">
        <v>593</v>
      </c>
    </row>
    <row r="143" spans="1:11" x14ac:dyDescent="0.25">
      <c r="A143" s="923">
        <v>1001735561</v>
      </c>
      <c r="B143" s="924" t="s">
        <v>759</v>
      </c>
      <c r="C143" s="924" t="s">
        <v>590</v>
      </c>
      <c r="D143" s="924">
        <v>580215333</v>
      </c>
      <c r="E143" s="924">
        <v>40000564</v>
      </c>
      <c r="F143" s="924" t="s">
        <v>371</v>
      </c>
      <c r="G143" s="924">
        <v>2024</v>
      </c>
      <c r="H143" s="925">
        <v>295000</v>
      </c>
      <c r="I143" s="925">
        <v>54685</v>
      </c>
      <c r="J143" s="924" t="s">
        <v>592</v>
      </c>
      <c r="K143" s="924" t="s">
        <v>593</v>
      </c>
    </row>
    <row r="144" spans="1:11" x14ac:dyDescent="0.25">
      <c r="A144" s="923">
        <v>1001735562</v>
      </c>
      <c r="B144" s="924" t="s">
        <v>564</v>
      </c>
      <c r="C144" s="924" t="s">
        <v>590</v>
      </c>
      <c r="D144" s="924">
        <v>580215333</v>
      </c>
      <c r="E144" s="924">
        <v>40000564</v>
      </c>
      <c r="F144" s="924" t="s">
        <v>371</v>
      </c>
      <c r="G144" s="924">
        <v>2024</v>
      </c>
      <c r="H144" s="925">
        <v>295000</v>
      </c>
      <c r="I144" s="925">
        <v>63003</v>
      </c>
      <c r="J144" s="924" t="s">
        <v>592</v>
      </c>
      <c r="K144" s="924" t="s">
        <v>593</v>
      </c>
    </row>
    <row r="145" spans="1:11" x14ac:dyDescent="0.25">
      <c r="A145" s="923">
        <v>1001735563</v>
      </c>
      <c r="B145" s="924" t="s">
        <v>760</v>
      </c>
      <c r="C145" s="924" t="s">
        <v>590</v>
      </c>
      <c r="D145" s="924">
        <v>580215333</v>
      </c>
      <c r="E145" s="924">
        <v>40000564</v>
      </c>
      <c r="F145" s="924" t="s">
        <v>371</v>
      </c>
      <c r="G145" s="924">
        <v>2024</v>
      </c>
      <c r="H145" s="925">
        <v>295000</v>
      </c>
      <c r="I145" s="925">
        <v>72868</v>
      </c>
      <c r="J145" s="924" t="s">
        <v>592</v>
      </c>
      <c r="K145" s="924" t="s">
        <v>593</v>
      </c>
    </row>
    <row r="146" spans="1:11" x14ac:dyDescent="0.25">
      <c r="A146" s="923">
        <v>1001735564</v>
      </c>
      <c r="B146" s="924" t="s">
        <v>761</v>
      </c>
      <c r="C146" s="924" t="s">
        <v>590</v>
      </c>
      <c r="D146" s="924">
        <v>580215333</v>
      </c>
      <c r="E146" s="924">
        <v>40000564</v>
      </c>
      <c r="F146" s="924" t="s">
        <v>371</v>
      </c>
      <c r="G146" s="924">
        <v>2024</v>
      </c>
      <c r="H146" s="925">
        <v>295000</v>
      </c>
      <c r="I146" s="925">
        <v>51870</v>
      </c>
      <c r="J146" s="924" t="s">
        <v>592</v>
      </c>
      <c r="K146" s="924" t="s">
        <v>593</v>
      </c>
    </row>
    <row r="147" spans="1:11" x14ac:dyDescent="0.25">
      <c r="A147" s="923">
        <v>1001735565</v>
      </c>
      <c r="B147" s="924" t="s">
        <v>762</v>
      </c>
      <c r="C147" s="924" t="s">
        <v>590</v>
      </c>
      <c r="D147" s="924">
        <v>580215333</v>
      </c>
      <c r="E147" s="924">
        <v>40000564</v>
      </c>
      <c r="F147" s="924" t="s">
        <v>371</v>
      </c>
      <c r="G147" s="924">
        <v>2024</v>
      </c>
      <c r="H147" s="925">
        <v>295000</v>
      </c>
      <c r="I147" s="925">
        <v>44924</v>
      </c>
      <c r="J147" s="924" t="s">
        <v>592</v>
      </c>
      <c r="K147" s="924" t="s">
        <v>593</v>
      </c>
    </row>
    <row r="148" spans="1:11" x14ac:dyDescent="0.25">
      <c r="A148" s="923">
        <v>1001735566</v>
      </c>
      <c r="B148" s="924" t="s">
        <v>763</v>
      </c>
      <c r="C148" s="924" t="s">
        <v>590</v>
      </c>
      <c r="D148" s="924">
        <v>580215333</v>
      </c>
      <c r="E148" s="924">
        <v>40000564</v>
      </c>
      <c r="F148" s="924" t="s">
        <v>371</v>
      </c>
      <c r="G148" s="924">
        <v>2024</v>
      </c>
      <c r="H148" s="925">
        <v>295000</v>
      </c>
      <c r="I148" s="925">
        <v>141083</v>
      </c>
      <c r="J148" s="924" t="s">
        <v>592</v>
      </c>
      <c r="K148" s="924" t="s">
        <v>593</v>
      </c>
    </row>
    <row r="149" spans="1:11" x14ac:dyDescent="0.25">
      <c r="A149" s="923">
        <v>1001735567</v>
      </c>
      <c r="B149" s="924" t="s">
        <v>764</v>
      </c>
      <c r="C149" s="924" t="s">
        <v>590</v>
      </c>
      <c r="D149" s="924">
        <v>580215333</v>
      </c>
      <c r="E149" s="924">
        <v>40000564</v>
      </c>
      <c r="F149" s="924" t="s">
        <v>371</v>
      </c>
      <c r="G149" s="924">
        <v>2024</v>
      </c>
      <c r="H149" s="925">
        <v>295000</v>
      </c>
      <c r="I149" s="925">
        <v>61466</v>
      </c>
      <c r="J149" s="924" t="s">
        <v>592</v>
      </c>
      <c r="K149" s="924" t="s">
        <v>593</v>
      </c>
    </row>
    <row r="150" spans="1:11" x14ac:dyDescent="0.25">
      <c r="A150" s="923">
        <v>1001735568</v>
      </c>
      <c r="B150" s="924" t="s">
        <v>765</v>
      </c>
      <c r="C150" s="924" t="s">
        <v>590</v>
      </c>
      <c r="D150" s="924">
        <v>580215333</v>
      </c>
      <c r="E150" s="924">
        <v>40000564</v>
      </c>
      <c r="F150" s="924" t="s">
        <v>371</v>
      </c>
      <c r="G150" s="924">
        <v>2024</v>
      </c>
      <c r="H150" s="925">
        <v>295000</v>
      </c>
      <c r="I150" s="925">
        <v>76073</v>
      </c>
      <c r="J150" s="924" t="s">
        <v>592</v>
      </c>
      <c r="K150" s="924" t="s">
        <v>593</v>
      </c>
    </row>
    <row r="151" spans="1:11" x14ac:dyDescent="0.25">
      <c r="A151" s="923">
        <v>1001735569</v>
      </c>
      <c r="B151" s="924" t="s">
        <v>540</v>
      </c>
      <c r="C151" s="924" t="s">
        <v>590</v>
      </c>
      <c r="D151" s="924">
        <v>580215333</v>
      </c>
      <c r="E151" s="924">
        <v>40000564</v>
      </c>
      <c r="F151" s="924" t="s">
        <v>371</v>
      </c>
      <c r="G151" s="924">
        <v>2024</v>
      </c>
      <c r="H151" s="925">
        <v>295000</v>
      </c>
      <c r="I151" s="925">
        <v>44329</v>
      </c>
      <c r="J151" s="924" t="s">
        <v>592</v>
      </c>
      <c r="K151" s="924" t="s">
        <v>593</v>
      </c>
    </row>
    <row r="152" spans="1:11" x14ac:dyDescent="0.25">
      <c r="A152" s="923">
        <v>1001735642</v>
      </c>
      <c r="B152" s="924" t="s">
        <v>766</v>
      </c>
      <c r="C152" s="924" t="s">
        <v>590</v>
      </c>
      <c r="D152" s="924">
        <v>580215333</v>
      </c>
      <c r="E152" s="924">
        <v>40000564</v>
      </c>
      <c r="F152" s="924" t="s">
        <v>371</v>
      </c>
      <c r="G152" s="924">
        <v>2024</v>
      </c>
      <c r="H152" s="925">
        <v>5000000</v>
      </c>
      <c r="I152" s="925">
        <v>1807697</v>
      </c>
      <c r="J152" s="924" t="s">
        <v>592</v>
      </c>
      <c r="K152" s="924" t="s">
        <v>593</v>
      </c>
    </row>
    <row r="153" spans="1:11" x14ac:dyDescent="0.25">
      <c r="A153" s="923">
        <v>1001735721</v>
      </c>
      <c r="B153" s="924" t="s">
        <v>767</v>
      </c>
      <c r="C153" s="924" t="s">
        <v>590</v>
      </c>
      <c r="D153" s="924">
        <v>580051068</v>
      </c>
      <c r="E153" s="924">
        <v>40000400</v>
      </c>
      <c r="F153" s="924" t="s">
        <v>768</v>
      </c>
      <c r="G153" s="924">
        <v>2024</v>
      </c>
      <c r="H153" s="925">
        <v>350000</v>
      </c>
      <c r="I153" s="925">
        <v>142544</v>
      </c>
      <c r="J153" s="924" t="s">
        <v>592</v>
      </c>
      <c r="K153" s="924" t="s">
        <v>593</v>
      </c>
    </row>
    <row r="154" spans="1:11" x14ac:dyDescent="0.25">
      <c r="A154" s="923">
        <v>1001735725</v>
      </c>
      <c r="B154" s="924" t="s">
        <v>769</v>
      </c>
      <c r="C154" s="924" t="s">
        <v>613</v>
      </c>
      <c r="D154" s="924">
        <v>580051068</v>
      </c>
      <c r="E154" s="924">
        <v>40000400</v>
      </c>
      <c r="F154" s="924" t="s">
        <v>768</v>
      </c>
      <c r="G154" s="924">
        <v>2024</v>
      </c>
      <c r="H154" s="925">
        <v>400000</v>
      </c>
      <c r="I154" s="925">
        <v>0</v>
      </c>
      <c r="J154" s="924" t="s">
        <v>592</v>
      </c>
      <c r="K154" s="924" t="s">
        <v>593</v>
      </c>
    </row>
    <row r="155" spans="1:11" x14ac:dyDescent="0.25">
      <c r="A155" s="923">
        <v>1001735761</v>
      </c>
      <c r="B155" s="924" t="s">
        <v>770</v>
      </c>
      <c r="C155" s="924" t="s">
        <v>590</v>
      </c>
      <c r="D155" s="924">
        <v>580286847</v>
      </c>
      <c r="E155" s="924">
        <v>40216005</v>
      </c>
      <c r="F155" s="924" t="s">
        <v>771</v>
      </c>
      <c r="G155" s="924">
        <v>2024</v>
      </c>
      <c r="H155" s="925">
        <v>350000</v>
      </c>
      <c r="I155" s="925">
        <v>107768</v>
      </c>
      <c r="J155" s="924" t="s">
        <v>592</v>
      </c>
      <c r="K155" s="924" t="s">
        <v>593</v>
      </c>
    </row>
    <row r="156" spans="1:11" x14ac:dyDescent="0.25">
      <c r="A156" s="923">
        <v>1001735780</v>
      </c>
      <c r="B156" s="924" t="s">
        <v>772</v>
      </c>
      <c r="C156" s="924" t="s">
        <v>590</v>
      </c>
      <c r="D156" s="924">
        <v>580510105</v>
      </c>
      <c r="E156" s="924">
        <v>41604114</v>
      </c>
      <c r="F156" s="924" t="s">
        <v>773</v>
      </c>
      <c r="G156" s="924">
        <v>2024</v>
      </c>
      <c r="H156" s="925">
        <v>175000</v>
      </c>
      <c r="I156" s="925">
        <v>116985</v>
      </c>
      <c r="J156" s="924" t="s">
        <v>592</v>
      </c>
      <c r="K156" s="924" t="s">
        <v>593</v>
      </c>
    </row>
    <row r="157" spans="1:11" x14ac:dyDescent="0.25">
      <c r="A157" s="923">
        <v>1001736496</v>
      </c>
      <c r="B157" s="924" t="s">
        <v>774</v>
      </c>
      <c r="C157" s="924" t="s">
        <v>590</v>
      </c>
      <c r="D157" s="924">
        <v>580651362</v>
      </c>
      <c r="E157" s="924">
        <v>41556008</v>
      </c>
      <c r="F157" s="924" t="s">
        <v>775</v>
      </c>
      <c r="G157" s="924">
        <v>2024</v>
      </c>
      <c r="H157" s="925">
        <v>280000</v>
      </c>
      <c r="I157" s="925">
        <v>209701</v>
      </c>
      <c r="J157" s="924" t="s">
        <v>592</v>
      </c>
      <c r="K157" s="924" t="s">
        <v>593</v>
      </c>
    </row>
    <row r="158" spans="1:11" x14ac:dyDescent="0.25">
      <c r="A158" s="923">
        <v>1001736630</v>
      </c>
      <c r="B158" s="924" t="s">
        <v>776</v>
      </c>
      <c r="C158" s="924" t="s">
        <v>590</v>
      </c>
      <c r="D158" s="924">
        <v>580189595</v>
      </c>
      <c r="E158" s="924">
        <v>40299627</v>
      </c>
      <c r="F158" s="924" t="s">
        <v>777</v>
      </c>
      <c r="G158" s="924">
        <v>2024</v>
      </c>
      <c r="H158" s="925">
        <v>220000</v>
      </c>
      <c r="I158" s="925">
        <v>85240</v>
      </c>
      <c r="J158" s="924" t="s">
        <v>592</v>
      </c>
      <c r="K158" s="924" t="s">
        <v>593</v>
      </c>
    </row>
    <row r="159" spans="1:11" x14ac:dyDescent="0.25">
      <c r="A159" s="923">
        <v>1001736688</v>
      </c>
      <c r="B159" s="924" t="s">
        <v>544</v>
      </c>
      <c r="C159" s="924" t="s">
        <v>590</v>
      </c>
      <c r="D159" s="924">
        <v>580641256</v>
      </c>
      <c r="E159" s="924">
        <v>41627319</v>
      </c>
      <c r="F159" s="924" t="s">
        <v>640</v>
      </c>
      <c r="G159" s="924">
        <v>2024</v>
      </c>
      <c r="H159" s="925">
        <v>450000</v>
      </c>
      <c r="I159" s="925">
        <v>99192</v>
      </c>
      <c r="J159" s="924" t="s">
        <v>592</v>
      </c>
      <c r="K159" s="924" t="s">
        <v>593</v>
      </c>
    </row>
    <row r="160" spans="1:11" x14ac:dyDescent="0.25">
      <c r="A160" s="923">
        <v>1001736738</v>
      </c>
      <c r="B160" s="924" t="s">
        <v>778</v>
      </c>
      <c r="C160" s="924" t="s">
        <v>590</v>
      </c>
      <c r="D160" s="924">
        <v>580056687</v>
      </c>
      <c r="E160" s="924">
        <v>40000409</v>
      </c>
      <c r="F160" s="924" t="s">
        <v>779</v>
      </c>
      <c r="G160" s="924">
        <v>2024</v>
      </c>
      <c r="H160" s="925">
        <v>60000</v>
      </c>
      <c r="I160" s="925">
        <v>21043</v>
      </c>
      <c r="J160" s="924" t="s">
        <v>592</v>
      </c>
      <c r="K160" s="924" t="s">
        <v>593</v>
      </c>
    </row>
    <row r="161" spans="1:11" x14ac:dyDescent="0.25">
      <c r="A161" s="923">
        <v>1001745298</v>
      </c>
      <c r="B161" s="924" t="s">
        <v>780</v>
      </c>
      <c r="C161" s="924" t="s">
        <v>590</v>
      </c>
      <c r="D161" s="924">
        <v>580111185</v>
      </c>
      <c r="E161" s="924">
        <v>40000140</v>
      </c>
      <c r="F161" s="924" t="s">
        <v>662</v>
      </c>
      <c r="G161" s="924">
        <v>2024</v>
      </c>
      <c r="H161" s="925">
        <v>9500000</v>
      </c>
      <c r="I161" s="925">
        <v>6961415</v>
      </c>
      <c r="J161" s="924" t="s">
        <v>592</v>
      </c>
      <c r="K161" s="924" t="s">
        <v>593</v>
      </c>
    </row>
    <row r="162" spans="1:11" x14ac:dyDescent="0.25">
      <c r="A162" s="923">
        <v>1001745387</v>
      </c>
      <c r="B162" s="924" t="s">
        <v>781</v>
      </c>
      <c r="C162" s="924" t="s">
        <v>590</v>
      </c>
      <c r="D162" s="924">
        <v>500284005</v>
      </c>
      <c r="E162" s="924">
        <v>20000248</v>
      </c>
      <c r="F162" s="924" t="s">
        <v>782</v>
      </c>
      <c r="G162" s="924">
        <v>2024</v>
      </c>
      <c r="H162" s="925">
        <v>150000</v>
      </c>
      <c r="I162" s="925">
        <v>85210</v>
      </c>
      <c r="J162" s="924" t="s">
        <v>592</v>
      </c>
      <c r="K162" s="924" t="s">
        <v>593</v>
      </c>
    </row>
    <row r="163" spans="1:11" x14ac:dyDescent="0.25">
      <c r="A163" s="923">
        <v>1001745409</v>
      </c>
      <c r="B163" s="924" t="s">
        <v>783</v>
      </c>
      <c r="C163" s="924" t="s">
        <v>590</v>
      </c>
      <c r="D163" s="924">
        <v>580189033</v>
      </c>
      <c r="E163" s="924">
        <v>40163978</v>
      </c>
      <c r="F163" s="924" t="s">
        <v>784</v>
      </c>
      <c r="G163" s="924">
        <v>2024</v>
      </c>
      <c r="H163" s="925">
        <v>60000</v>
      </c>
      <c r="I163" s="925">
        <v>47745</v>
      </c>
      <c r="J163" s="924" t="s">
        <v>592</v>
      </c>
      <c r="K163" s="924" t="s">
        <v>593</v>
      </c>
    </row>
    <row r="164" spans="1:11" x14ac:dyDescent="0.25">
      <c r="A164" s="923">
        <v>1001745740</v>
      </c>
      <c r="B164" s="924" t="s">
        <v>785</v>
      </c>
      <c r="C164" s="924" t="s">
        <v>590</v>
      </c>
      <c r="D164" s="924">
        <v>580189033</v>
      </c>
      <c r="E164" s="924">
        <v>40163978</v>
      </c>
      <c r="F164" s="924" t="s">
        <v>784</v>
      </c>
      <c r="G164" s="924">
        <v>2024</v>
      </c>
      <c r="H164" s="925">
        <v>390000</v>
      </c>
      <c r="I164" s="925">
        <v>102078</v>
      </c>
      <c r="J164" s="924" t="s">
        <v>592</v>
      </c>
      <c r="K164" s="924" t="s">
        <v>593</v>
      </c>
    </row>
    <row r="165" spans="1:11" x14ac:dyDescent="0.25">
      <c r="A165" s="923">
        <v>1001745741</v>
      </c>
      <c r="B165" s="924" t="s">
        <v>786</v>
      </c>
      <c r="C165" s="924" t="s">
        <v>659</v>
      </c>
      <c r="D165" s="924">
        <v>580189033</v>
      </c>
      <c r="E165" s="924">
        <v>40163978</v>
      </c>
      <c r="F165" s="924" t="s">
        <v>784</v>
      </c>
      <c r="G165" s="924">
        <v>2024</v>
      </c>
      <c r="H165" s="925">
        <v>270000</v>
      </c>
      <c r="I165" s="925">
        <v>0</v>
      </c>
      <c r="J165" s="924" t="s">
        <v>592</v>
      </c>
      <c r="K165" s="924" t="s">
        <v>593</v>
      </c>
    </row>
    <row r="166" spans="1:11" x14ac:dyDescent="0.25">
      <c r="A166" s="923">
        <v>1001745742</v>
      </c>
      <c r="B166" s="924" t="s">
        <v>787</v>
      </c>
      <c r="C166" s="924" t="s">
        <v>590</v>
      </c>
      <c r="D166" s="924">
        <v>580189033</v>
      </c>
      <c r="E166" s="924">
        <v>40163978</v>
      </c>
      <c r="F166" s="924" t="s">
        <v>784</v>
      </c>
      <c r="G166" s="924">
        <v>2024</v>
      </c>
      <c r="H166" s="925">
        <v>270000</v>
      </c>
      <c r="I166" s="925">
        <v>270000</v>
      </c>
      <c r="J166" s="924" t="s">
        <v>592</v>
      </c>
      <c r="K166" s="924" t="s">
        <v>593</v>
      </c>
    </row>
    <row r="167" spans="1:11" x14ac:dyDescent="0.25">
      <c r="A167" s="923">
        <v>1001746337</v>
      </c>
      <c r="B167" s="924" t="s">
        <v>788</v>
      </c>
      <c r="C167" s="924" t="s">
        <v>590</v>
      </c>
      <c r="D167" s="924">
        <v>580603546</v>
      </c>
      <c r="E167" s="924">
        <v>41489778</v>
      </c>
      <c r="F167" s="924" t="s">
        <v>789</v>
      </c>
      <c r="G167" s="924">
        <v>2024</v>
      </c>
      <c r="H167" s="925">
        <v>1200000</v>
      </c>
      <c r="I167" s="925">
        <v>442721</v>
      </c>
      <c r="J167" s="924" t="s">
        <v>592</v>
      </c>
      <c r="K167" s="924" t="s">
        <v>593</v>
      </c>
    </row>
    <row r="168" spans="1:11" x14ac:dyDescent="0.25">
      <c r="A168" s="923">
        <v>1001747301</v>
      </c>
      <c r="B168" s="924" t="s">
        <v>790</v>
      </c>
      <c r="C168" s="924" t="s">
        <v>590</v>
      </c>
      <c r="D168" s="924">
        <v>580542645</v>
      </c>
      <c r="E168" s="924">
        <v>42217638</v>
      </c>
      <c r="F168" s="924" t="s">
        <v>791</v>
      </c>
      <c r="G168" s="924">
        <v>2024</v>
      </c>
      <c r="H168" s="925">
        <v>210000</v>
      </c>
      <c r="I168" s="925">
        <v>74261</v>
      </c>
      <c r="J168" s="924" t="s">
        <v>592</v>
      </c>
      <c r="K168" s="924" t="s">
        <v>593</v>
      </c>
    </row>
    <row r="169" spans="1:11" x14ac:dyDescent="0.25">
      <c r="A169" s="923">
        <v>1001747501</v>
      </c>
      <c r="B169" s="924" t="s">
        <v>792</v>
      </c>
      <c r="C169" s="924" t="s">
        <v>590</v>
      </c>
      <c r="D169" s="924">
        <v>580552909</v>
      </c>
      <c r="E169" s="924">
        <v>41072447</v>
      </c>
      <c r="F169" s="924" t="s">
        <v>793</v>
      </c>
      <c r="G169" s="924">
        <v>2024</v>
      </c>
      <c r="H169" s="925">
        <v>4000000</v>
      </c>
      <c r="I169" s="925">
        <v>752266</v>
      </c>
      <c r="J169" s="924" t="s">
        <v>592</v>
      </c>
      <c r="K169" s="924" t="s">
        <v>593</v>
      </c>
    </row>
    <row r="170" spans="1:11" x14ac:dyDescent="0.25">
      <c r="A170" s="923">
        <v>1001747508</v>
      </c>
      <c r="B170" s="924" t="s">
        <v>794</v>
      </c>
      <c r="C170" s="924" t="s">
        <v>590</v>
      </c>
      <c r="D170" s="924">
        <v>580552909</v>
      </c>
      <c r="E170" s="924">
        <v>41072447</v>
      </c>
      <c r="F170" s="924" t="s">
        <v>793</v>
      </c>
      <c r="G170" s="924">
        <v>2024</v>
      </c>
      <c r="H170" s="925">
        <v>1000000</v>
      </c>
      <c r="I170" s="925">
        <v>143101</v>
      </c>
      <c r="J170" s="924" t="s">
        <v>592</v>
      </c>
      <c r="K170" s="924" t="s">
        <v>593</v>
      </c>
    </row>
    <row r="171" spans="1:11" x14ac:dyDescent="0.25">
      <c r="A171" s="923">
        <v>1001747512</v>
      </c>
      <c r="B171" s="924" t="s">
        <v>795</v>
      </c>
      <c r="C171" s="924" t="s">
        <v>590</v>
      </c>
      <c r="D171" s="924">
        <v>580649937</v>
      </c>
      <c r="E171" s="924">
        <v>42000048</v>
      </c>
      <c r="F171" s="924" t="s">
        <v>796</v>
      </c>
      <c r="G171" s="924">
        <v>2024</v>
      </c>
      <c r="H171" s="925">
        <v>210000</v>
      </c>
      <c r="I171" s="925">
        <v>102170</v>
      </c>
      <c r="J171" s="924" t="s">
        <v>592</v>
      </c>
      <c r="K171" s="924" t="s">
        <v>593</v>
      </c>
    </row>
    <row r="172" spans="1:11" x14ac:dyDescent="0.25">
      <c r="A172" s="923">
        <v>1001747516</v>
      </c>
      <c r="B172" s="924" t="s">
        <v>797</v>
      </c>
      <c r="C172" s="924" t="s">
        <v>659</v>
      </c>
      <c r="D172" s="924">
        <v>580423283</v>
      </c>
      <c r="E172" s="924">
        <v>40221581</v>
      </c>
      <c r="F172" s="924" t="s">
        <v>601</v>
      </c>
      <c r="G172" s="924">
        <v>2024</v>
      </c>
      <c r="H172" s="925">
        <v>75000</v>
      </c>
      <c r="I172" s="925">
        <v>0</v>
      </c>
      <c r="J172" s="924" t="s">
        <v>592</v>
      </c>
      <c r="K172" s="924" t="s">
        <v>593</v>
      </c>
    </row>
    <row r="173" spans="1:11" x14ac:dyDescent="0.25">
      <c r="A173" s="923">
        <v>1001747529</v>
      </c>
      <c r="B173" s="924" t="s">
        <v>798</v>
      </c>
      <c r="C173" s="924" t="s">
        <v>590</v>
      </c>
      <c r="D173" s="924">
        <v>580321016</v>
      </c>
      <c r="E173" s="924">
        <v>40000234</v>
      </c>
      <c r="F173" s="924" t="s">
        <v>799</v>
      </c>
      <c r="G173" s="924">
        <v>2024</v>
      </c>
      <c r="H173" s="925">
        <v>6000000</v>
      </c>
      <c r="I173" s="925">
        <v>3917434</v>
      </c>
      <c r="J173" s="924" t="s">
        <v>592</v>
      </c>
      <c r="K173" s="924" t="s">
        <v>593</v>
      </c>
    </row>
    <row r="174" spans="1:11" x14ac:dyDescent="0.25">
      <c r="A174" s="923">
        <v>1001747536</v>
      </c>
      <c r="B174" s="924" t="s">
        <v>800</v>
      </c>
      <c r="C174" s="924" t="s">
        <v>659</v>
      </c>
      <c r="D174" s="924">
        <v>580397230</v>
      </c>
      <c r="E174" s="924">
        <v>40221510</v>
      </c>
      <c r="F174" s="924" t="s">
        <v>801</v>
      </c>
      <c r="G174" s="924">
        <v>2024</v>
      </c>
      <c r="H174" s="925">
        <v>263451</v>
      </c>
      <c r="I174" s="925">
        <v>0</v>
      </c>
      <c r="J174" s="924" t="s">
        <v>592</v>
      </c>
      <c r="K174" s="924" t="s">
        <v>593</v>
      </c>
    </row>
    <row r="175" spans="1:11" x14ac:dyDescent="0.25">
      <c r="A175" s="923">
        <v>1001747538</v>
      </c>
      <c r="B175" s="924" t="s">
        <v>802</v>
      </c>
      <c r="C175" s="924" t="s">
        <v>590</v>
      </c>
      <c r="D175" s="924">
        <v>580321016</v>
      </c>
      <c r="E175" s="924">
        <v>40000234</v>
      </c>
      <c r="F175" s="924" t="s">
        <v>799</v>
      </c>
      <c r="G175" s="924">
        <v>2024</v>
      </c>
      <c r="H175" s="925">
        <v>750000</v>
      </c>
      <c r="I175" s="925">
        <v>522307</v>
      </c>
      <c r="J175" s="924" t="s">
        <v>592</v>
      </c>
      <c r="K175" s="924" t="s">
        <v>593</v>
      </c>
    </row>
    <row r="176" spans="1:11" x14ac:dyDescent="0.25">
      <c r="A176" s="923">
        <v>1001747540</v>
      </c>
      <c r="B176" s="924" t="s">
        <v>803</v>
      </c>
      <c r="C176" s="924" t="s">
        <v>590</v>
      </c>
      <c r="D176" s="924">
        <v>580321016</v>
      </c>
      <c r="E176" s="924">
        <v>40000234</v>
      </c>
      <c r="F176" s="924" t="s">
        <v>799</v>
      </c>
      <c r="G176" s="924">
        <v>2024</v>
      </c>
      <c r="H176" s="925">
        <v>600000</v>
      </c>
      <c r="I176" s="925">
        <v>358690</v>
      </c>
      <c r="J176" s="924" t="s">
        <v>592</v>
      </c>
      <c r="K176" s="924" t="s">
        <v>593</v>
      </c>
    </row>
    <row r="177" spans="1:11" x14ac:dyDescent="0.25">
      <c r="A177" s="923">
        <v>1001747587</v>
      </c>
      <c r="B177" s="924" t="s">
        <v>804</v>
      </c>
      <c r="C177" s="924" t="s">
        <v>590</v>
      </c>
      <c r="D177" s="924">
        <v>580094977</v>
      </c>
      <c r="E177" s="924">
        <v>40000458</v>
      </c>
      <c r="F177" s="924" t="s">
        <v>805</v>
      </c>
      <c r="G177" s="924">
        <v>2024</v>
      </c>
      <c r="H177" s="925">
        <v>2500000</v>
      </c>
      <c r="I177" s="925">
        <v>1145456</v>
      </c>
      <c r="J177" s="924" t="s">
        <v>592</v>
      </c>
      <c r="K177" s="924" t="s">
        <v>593</v>
      </c>
    </row>
    <row r="178" spans="1:11" x14ac:dyDescent="0.25">
      <c r="A178" s="923">
        <v>1001748079</v>
      </c>
      <c r="B178" s="924" t="s">
        <v>806</v>
      </c>
      <c r="C178" s="924" t="s">
        <v>590</v>
      </c>
      <c r="D178" s="924">
        <v>580574945</v>
      </c>
      <c r="E178" s="924">
        <v>41558157</v>
      </c>
      <c r="F178" s="924" t="s">
        <v>807</v>
      </c>
      <c r="G178" s="924">
        <v>2024</v>
      </c>
      <c r="H178" s="925">
        <v>50000</v>
      </c>
      <c r="I178" s="925">
        <v>34950</v>
      </c>
      <c r="J178" s="924" t="s">
        <v>592</v>
      </c>
      <c r="K178" s="924" t="s">
        <v>593</v>
      </c>
    </row>
    <row r="179" spans="1:11" x14ac:dyDescent="0.25">
      <c r="A179" s="923">
        <v>1001754201</v>
      </c>
      <c r="B179" s="924" t="s">
        <v>643</v>
      </c>
      <c r="C179" s="924" t="s">
        <v>590</v>
      </c>
      <c r="D179" s="924">
        <v>580154938</v>
      </c>
      <c r="E179" s="924">
        <v>40000157</v>
      </c>
      <c r="F179" s="924" t="s">
        <v>808</v>
      </c>
      <c r="G179" s="924">
        <v>2024</v>
      </c>
      <c r="H179" s="925">
        <v>2500000</v>
      </c>
      <c r="I179" s="925">
        <v>2500000</v>
      </c>
      <c r="J179" s="924" t="s">
        <v>592</v>
      </c>
      <c r="K179" s="924" t="s">
        <v>593</v>
      </c>
    </row>
    <row r="180" spans="1:11" x14ac:dyDescent="0.25">
      <c r="A180" s="923">
        <v>1001754202</v>
      </c>
      <c r="B180" s="924" t="s">
        <v>809</v>
      </c>
      <c r="C180" s="924" t="s">
        <v>590</v>
      </c>
      <c r="D180" s="924">
        <v>580154938</v>
      </c>
      <c r="E180" s="924">
        <v>40000157</v>
      </c>
      <c r="F180" s="924" t="s">
        <v>808</v>
      </c>
      <c r="G180" s="924">
        <v>2024</v>
      </c>
      <c r="H180" s="925">
        <v>200000</v>
      </c>
      <c r="I180" s="925">
        <v>111495</v>
      </c>
      <c r="J180" s="924" t="s">
        <v>592</v>
      </c>
      <c r="K180" s="924" t="s">
        <v>593</v>
      </c>
    </row>
    <row r="181" spans="1:11" x14ac:dyDescent="0.25">
      <c r="A181" s="923">
        <v>1001754203</v>
      </c>
      <c r="B181" s="924" t="s">
        <v>810</v>
      </c>
      <c r="C181" s="924" t="s">
        <v>659</v>
      </c>
      <c r="D181" s="924">
        <v>580154938</v>
      </c>
      <c r="E181" s="924">
        <v>40000157</v>
      </c>
      <c r="F181" s="924" t="s">
        <v>808</v>
      </c>
      <c r="G181" s="924">
        <v>2024</v>
      </c>
      <c r="H181" s="925">
        <v>67000</v>
      </c>
      <c r="I181" s="925">
        <v>0</v>
      </c>
      <c r="J181" s="924" t="s">
        <v>592</v>
      </c>
      <c r="K181" s="924" t="s">
        <v>593</v>
      </c>
    </row>
    <row r="182" spans="1:11" x14ac:dyDescent="0.25">
      <c r="A182" s="923">
        <v>1001754411</v>
      </c>
      <c r="B182" s="924" t="s">
        <v>539</v>
      </c>
      <c r="C182" s="924" t="s">
        <v>590</v>
      </c>
      <c r="D182" s="924">
        <v>580635423</v>
      </c>
      <c r="E182" s="924">
        <v>41489877</v>
      </c>
      <c r="F182" s="924" t="s">
        <v>811</v>
      </c>
      <c r="G182" s="924">
        <v>2024</v>
      </c>
      <c r="H182" s="925">
        <v>230000</v>
      </c>
      <c r="I182" s="925">
        <v>185871</v>
      </c>
      <c r="J182" s="924" t="s">
        <v>592</v>
      </c>
      <c r="K182" s="924" t="s">
        <v>593</v>
      </c>
    </row>
    <row r="183" spans="1:11" x14ac:dyDescent="0.25">
      <c r="A183" s="923">
        <v>1001754543</v>
      </c>
      <c r="B183" s="924" t="s">
        <v>812</v>
      </c>
      <c r="C183" s="924" t="s">
        <v>590</v>
      </c>
      <c r="D183" s="924">
        <v>580503613</v>
      </c>
      <c r="E183" s="924">
        <v>40395783</v>
      </c>
      <c r="F183" s="924" t="s">
        <v>634</v>
      </c>
      <c r="G183" s="924">
        <v>2024</v>
      </c>
      <c r="H183" s="925">
        <v>8000000</v>
      </c>
      <c r="I183" s="925">
        <v>6718727</v>
      </c>
      <c r="J183" s="924" t="s">
        <v>592</v>
      </c>
      <c r="K183" s="924" t="s">
        <v>593</v>
      </c>
    </row>
    <row r="184" spans="1:11" x14ac:dyDescent="0.25">
      <c r="A184" s="923">
        <v>1001774189</v>
      </c>
      <c r="B184" s="924" t="s">
        <v>813</v>
      </c>
      <c r="C184" s="924" t="s">
        <v>590</v>
      </c>
      <c r="D184" s="924">
        <v>580107977</v>
      </c>
      <c r="E184" s="924">
        <v>41484317</v>
      </c>
      <c r="F184" s="924" t="s">
        <v>814</v>
      </c>
      <c r="G184" s="924">
        <v>2024</v>
      </c>
      <c r="H184" s="925">
        <v>1000000</v>
      </c>
      <c r="I184" s="925">
        <v>183534</v>
      </c>
      <c r="J184" s="924" t="s">
        <v>592</v>
      </c>
      <c r="K184" s="924" t="s">
        <v>593</v>
      </c>
    </row>
    <row r="185" spans="1:11" x14ac:dyDescent="0.25">
      <c r="A185" s="923">
        <v>1001774200</v>
      </c>
      <c r="B185" s="924" t="s">
        <v>815</v>
      </c>
      <c r="C185" s="924" t="s">
        <v>659</v>
      </c>
      <c r="D185" s="924">
        <v>580107977</v>
      </c>
      <c r="E185" s="924">
        <v>41484317</v>
      </c>
      <c r="F185" s="924" t="s">
        <v>814</v>
      </c>
      <c r="G185" s="924">
        <v>2024</v>
      </c>
      <c r="H185" s="925">
        <v>1000000</v>
      </c>
      <c r="I185" s="925">
        <v>0</v>
      </c>
      <c r="J185" s="924" t="s">
        <v>592</v>
      </c>
      <c r="K185" s="924" t="s">
        <v>593</v>
      </c>
    </row>
    <row r="186" spans="1:11" x14ac:dyDescent="0.25">
      <c r="A186" s="923">
        <v>1001774239</v>
      </c>
      <c r="B186" s="924" t="s">
        <v>545</v>
      </c>
      <c r="C186" s="924" t="s">
        <v>590</v>
      </c>
      <c r="D186" s="924">
        <v>580632446</v>
      </c>
      <c r="E186" s="924">
        <v>41489893</v>
      </c>
      <c r="F186" s="924" t="s">
        <v>816</v>
      </c>
      <c r="G186" s="924">
        <v>2024</v>
      </c>
      <c r="H186" s="925">
        <v>1000000</v>
      </c>
      <c r="I186" s="925">
        <v>180005</v>
      </c>
      <c r="J186" s="924" t="s">
        <v>592</v>
      </c>
      <c r="K186" s="924" t="s">
        <v>593</v>
      </c>
    </row>
    <row r="187" spans="1:11" x14ac:dyDescent="0.25">
      <c r="A187" s="923">
        <v>1001775643</v>
      </c>
      <c r="B187" s="924" t="s">
        <v>563</v>
      </c>
      <c r="C187" s="924" t="s">
        <v>590</v>
      </c>
      <c r="D187" s="924">
        <v>580736908</v>
      </c>
      <c r="E187" s="924">
        <v>42736788</v>
      </c>
      <c r="F187" s="924" t="s">
        <v>552</v>
      </c>
      <c r="G187" s="924">
        <v>2024</v>
      </c>
      <c r="H187" s="925">
        <v>300000</v>
      </c>
      <c r="I187" s="925">
        <v>88240</v>
      </c>
      <c r="J187" s="924" t="s">
        <v>592</v>
      </c>
      <c r="K187" s="924" t="s">
        <v>593</v>
      </c>
    </row>
    <row r="188" spans="1:11" x14ac:dyDescent="0.25">
      <c r="A188" s="923">
        <v>1001775715</v>
      </c>
      <c r="B188" s="924" t="s">
        <v>817</v>
      </c>
      <c r="C188" s="924" t="s">
        <v>590</v>
      </c>
      <c r="D188" s="924">
        <v>580525236</v>
      </c>
      <c r="E188" s="924">
        <v>40521896</v>
      </c>
      <c r="F188" s="924" t="s">
        <v>818</v>
      </c>
      <c r="G188" s="924">
        <v>2024</v>
      </c>
      <c r="H188" s="925">
        <v>100000</v>
      </c>
      <c r="I188" s="925">
        <v>30772</v>
      </c>
      <c r="J188" s="924" t="s">
        <v>592</v>
      </c>
      <c r="K188" s="924" t="s">
        <v>593</v>
      </c>
    </row>
    <row r="189" spans="1:11" x14ac:dyDescent="0.25">
      <c r="A189" s="923">
        <v>1001775802</v>
      </c>
      <c r="B189" s="924" t="s">
        <v>819</v>
      </c>
      <c r="C189" s="924" t="s">
        <v>590</v>
      </c>
      <c r="D189" s="924">
        <v>500262548</v>
      </c>
      <c r="E189" s="924">
        <v>20000220</v>
      </c>
      <c r="F189" s="924" t="s">
        <v>820</v>
      </c>
      <c r="G189" s="924">
        <v>2024</v>
      </c>
      <c r="H189" s="925">
        <v>50000</v>
      </c>
      <c r="I189" s="925">
        <v>26958</v>
      </c>
      <c r="J189" s="924" t="s">
        <v>592</v>
      </c>
      <c r="K189" s="924" t="s">
        <v>593</v>
      </c>
    </row>
    <row r="190" spans="1:11" x14ac:dyDescent="0.25">
      <c r="A190" s="923">
        <v>1001776060</v>
      </c>
      <c r="B190" s="924" t="s">
        <v>821</v>
      </c>
      <c r="C190" s="924" t="s">
        <v>590</v>
      </c>
      <c r="D190" s="924">
        <v>515209039</v>
      </c>
      <c r="E190" s="924">
        <v>42451328</v>
      </c>
      <c r="F190" s="924" t="s">
        <v>822</v>
      </c>
      <c r="G190" s="924">
        <v>2024</v>
      </c>
      <c r="H190" s="925">
        <v>650000</v>
      </c>
      <c r="I190" s="925">
        <v>131877</v>
      </c>
      <c r="J190" s="924" t="s">
        <v>592</v>
      </c>
      <c r="K190" s="924" t="s">
        <v>593</v>
      </c>
    </row>
    <row r="191" spans="1:11" x14ac:dyDescent="0.25">
      <c r="A191" s="923">
        <v>1001776098</v>
      </c>
      <c r="B191" s="924" t="s">
        <v>823</v>
      </c>
      <c r="C191" s="924" t="s">
        <v>590</v>
      </c>
      <c r="D191" s="924">
        <v>580617660</v>
      </c>
      <c r="E191" s="924">
        <v>41376759</v>
      </c>
      <c r="F191" s="924" t="s">
        <v>824</v>
      </c>
      <c r="G191" s="924">
        <v>2024</v>
      </c>
      <c r="H191" s="925">
        <v>200000</v>
      </c>
      <c r="I191" s="925">
        <v>83753</v>
      </c>
      <c r="J191" s="924" t="s">
        <v>592</v>
      </c>
      <c r="K191" s="924" t="s">
        <v>593</v>
      </c>
    </row>
    <row r="192" spans="1:11" x14ac:dyDescent="0.25">
      <c r="A192" s="923">
        <v>1001776099</v>
      </c>
      <c r="B192" s="924" t="s">
        <v>825</v>
      </c>
      <c r="C192" s="924" t="s">
        <v>590</v>
      </c>
      <c r="D192" s="924">
        <v>580617660</v>
      </c>
      <c r="E192" s="924">
        <v>41376759</v>
      </c>
      <c r="F192" s="924" t="s">
        <v>824</v>
      </c>
      <c r="G192" s="924">
        <v>2024</v>
      </c>
      <c r="H192" s="925">
        <v>800000</v>
      </c>
      <c r="I192" s="925">
        <v>403614</v>
      </c>
      <c r="J192" s="924" t="s">
        <v>592</v>
      </c>
      <c r="K192" s="924" t="s">
        <v>593</v>
      </c>
    </row>
    <row r="193" spans="1:11" x14ac:dyDescent="0.25">
      <c r="A193" s="923">
        <v>1001776235</v>
      </c>
      <c r="B193" s="924" t="s">
        <v>826</v>
      </c>
      <c r="C193" s="924" t="s">
        <v>590</v>
      </c>
      <c r="D193" s="924">
        <v>580079887</v>
      </c>
      <c r="E193" s="924">
        <v>40002883</v>
      </c>
      <c r="F193" s="924" t="s">
        <v>827</v>
      </c>
      <c r="G193" s="924">
        <v>2024</v>
      </c>
      <c r="H193" s="925">
        <v>5000000</v>
      </c>
      <c r="I193" s="925">
        <v>2433157</v>
      </c>
      <c r="J193" s="924" t="s">
        <v>592</v>
      </c>
      <c r="K193" s="924" t="s">
        <v>593</v>
      </c>
    </row>
    <row r="194" spans="1:11" x14ac:dyDescent="0.25">
      <c r="A194" s="923">
        <v>1001776362</v>
      </c>
      <c r="B194" s="924" t="s">
        <v>828</v>
      </c>
      <c r="C194" s="924" t="s">
        <v>590</v>
      </c>
      <c r="D194" s="924">
        <v>580079887</v>
      </c>
      <c r="E194" s="924">
        <v>40002883</v>
      </c>
      <c r="F194" s="924" t="s">
        <v>827</v>
      </c>
      <c r="G194" s="924">
        <v>2024</v>
      </c>
      <c r="H194" s="925">
        <v>1000000</v>
      </c>
      <c r="I194" s="925">
        <v>289734</v>
      </c>
      <c r="J194" s="924" t="s">
        <v>592</v>
      </c>
      <c r="K194" s="924" t="s">
        <v>593</v>
      </c>
    </row>
    <row r="195" spans="1:11" x14ac:dyDescent="0.25">
      <c r="A195" s="923">
        <v>1001776435</v>
      </c>
      <c r="B195" s="924" t="s">
        <v>547</v>
      </c>
      <c r="C195" s="924" t="s">
        <v>590</v>
      </c>
      <c r="D195" s="924">
        <v>511757114</v>
      </c>
      <c r="E195" s="924">
        <v>40000291</v>
      </c>
      <c r="F195" s="924" t="s">
        <v>373</v>
      </c>
      <c r="G195" s="924">
        <v>2024</v>
      </c>
      <c r="H195" s="925">
        <v>800000</v>
      </c>
      <c r="I195" s="925">
        <v>313447</v>
      </c>
      <c r="J195" s="924" t="s">
        <v>592</v>
      </c>
      <c r="K195" s="924" t="s">
        <v>593</v>
      </c>
    </row>
    <row r="196" spans="1:11" x14ac:dyDescent="0.25">
      <c r="A196" s="923">
        <v>1001776591</v>
      </c>
      <c r="B196" s="924" t="s">
        <v>829</v>
      </c>
      <c r="C196" s="924" t="s">
        <v>590</v>
      </c>
      <c r="D196" s="924">
        <v>500250006</v>
      </c>
      <c r="E196" s="924">
        <v>20000201</v>
      </c>
      <c r="F196" s="924" t="s">
        <v>830</v>
      </c>
      <c r="G196" s="924">
        <v>2024</v>
      </c>
      <c r="H196" s="925">
        <v>400000</v>
      </c>
      <c r="I196" s="925">
        <v>25735</v>
      </c>
      <c r="J196" s="924" t="s">
        <v>592</v>
      </c>
      <c r="K196" s="924" t="s">
        <v>593</v>
      </c>
    </row>
    <row r="197" spans="1:11" x14ac:dyDescent="0.25">
      <c r="A197" s="923">
        <v>1001776592</v>
      </c>
      <c r="B197" s="924" t="s">
        <v>831</v>
      </c>
      <c r="C197" s="924" t="s">
        <v>590</v>
      </c>
      <c r="D197" s="924">
        <v>500250006</v>
      </c>
      <c r="E197" s="924">
        <v>20000201</v>
      </c>
      <c r="F197" s="924" t="s">
        <v>830</v>
      </c>
      <c r="G197" s="924">
        <v>2024</v>
      </c>
      <c r="H197" s="925">
        <v>980000</v>
      </c>
      <c r="I197" s="925">
        <v>542875</v>
      </c>
      <c r="J197" s="924" t="s">
        <v>592</v>
      </c>
      <c r="K197" s="924" t="s">
        <v>593</v>
      </c>
    </row>
    <row r="198" spans="1:11" x14ac:dyDescent="0.25">
      <c r="A198" s="923">
        <v>1001777052</v>
      </c>
      <c r="B198" s="924" t="s">
        <v>832</v>
      </c>
      <c r="C198" s="924" t="s">
        <v>590</v>
      </c>
      <c r="D198" s="924">
        <v>580036242</v>
      </c>
      <c r="E198" s="924">
        <v>40000091</v>
      </c>
      <c r="F198" s="924" t="s">
        <v>833</v>
      </c>
      <c r="G198" s="924">
        <v>2024</v>
      </c>
      <c r="H198" s="925">
        <v>90000</v>
      </c>
      <c r="I198" s="925">
        <v>50984</v>
      </c>
      <c r="J198" s="924" t="s">
        <v>592</v>
      </c>
      <c r="K198" s="924" t="s">
        <v>593</v>
      </c>
    </row>
    <row r="199" spans="1:11" x14ac:dyDescent="0.25">
      <c r="A199" s="923">
        <v>1001777068</v>
      </c>
      <c r="B199" s="924" t="s">
        <v>538</v>
      </c>
      <c r="C199" s="924" t="s">
        <v>590</v>
      </c>
      <c r="D199" s="924">
        <v>580617660</v>
      </c>
      <c r="E199" s="924">
        <v>41376759</v>
      </c>
      <c r="F199" s="924" t="s">
        <v>824</v>
      </c>
      <c r="G199" s="924">
        <v>2024</v>
      </c>
      <c r="H199" s="925">
        <v>400000</v>
      </c>
      <c r="I199" s="925">
        <v>91811</v>
      </c>
      <c r="J199" s="924" t="s">
        <v>592</v>
      </c>
      <c r="K199" s="924" t="s">
        <v>593</v>
      </c>
    </row>
    <row r="200" spans="1:11" x14ac:dyDescent="0.25">
      <c r="A200" s="923">
        <v>1001777075</v>
      </c>
      <c r="B200" s="924" t="s">
        <v>834</v>
      </c>
      <c r="C200" s="924" t="s">
        <v>590</v>
      </c>
      <c r="D200" s="924">
        <v>580255875</v>
      </c>
      <c r="E200" s="924">
        <v>40000623</v>
      </c>
      <c r="F200" s="924" t="s">
        <v>835</v>
      </c>
      <c r="G200" s="924">
        <v>2024</v>
      </c>
      <c r="H200" s="925">
        <v>200000</v>
      </c>
      <c r="I200" s="925">
        <v>63337</v>
      </c>
      <c r="J200" s="924" t="s">
        <v>592</v>
      </c>
      <c r="K200" s="924" t="s">
        <v>593</v>
      </c>
    </row>
    <row r="201" spans="1:11" x14ac:dyDescent="0.25">
      <c r="A201" s="923">
        <v>1001777920</v>
      </c>
      <c r="B201" s="924" t="s">
        <v>836</v>
      </c>
      <c r="C201" s="924" t="s">
        <v>590</v>
      </c>
      <c r="D201" s="924">
        <v>514810860</v>
      </c>
      <c r="E201" s="924">
        <v>40821681</v>
      </c>
      <c r="F201" s="924" t="s">
        <v>837</v>
      </c>
      <c r="G201" s="924">
        <v>2024</v>
      </c>
      <c r="H201" s="925">
        <v>150000</v>
      </c>
      <c r="I201" s="925">
        <v>62284</v>
      </c>
      <c r="J201" s="924" t="s">
        <v>592</v>
      </c>
      <c r="K201" s="924" t="s">
        <v>593</v>
      </c>
    </row>
    <row r="202" spans="1:11" x14ac:dyDescent="0.25">
      <c r="A202" s="923">
        <v>1001777922</v>
      </c>
      <c r="B202" s="924" t="s">
        <v>838</v>
      </c>
      <c r="C202" s="924" t="s">
        <v>659</v>
      </c>
      <c r="D202" s="924">
        <v>580371045</v>
      </c>
      <c r="E202" s="924">
        <v>40216083</v>
      </c>
      <c r="F202" s="924" t="s">
        <v>839</v>
      </c>
      <c r="G202" s="924">
        <v>2024</v>
      </c>
      <c r="H202" s="925">
        <v>150000</v>
      </c>
      <c r="I202" s="925">
        <v>0</v>
      </c>
      <c r="J202" s="924" t="s">
        <v>592</v>
      </c>
      <c r="K202" s="924" t="s">
        <v>593</v>
      </c>
    </row>
    <row r="203" spans="1:11" x14ac:dyDescent="0.25">
      <c r="A203" s="923">
        <v>1001777971</v>
      </c>
      <c r="B203" s="924" t="s">
        <v>840</v>
      </c>
      <c r="C203" s="924" t="s">
        <v>590</v>
      </c>
      <c r="D203" s="924">
        <v>580549962</v>
      </c>
      <c r="E203" s="924">
        <v>41102783</v>
      </c>
      <c r="F203" s="924" t="s">
        <v>841</v>
      </c>
      <c r="G203" s="924">
        <v>2024</v>
      </c>
      <c r="H203" s="925">
        <v>2100000</v>
      </c>
      <c r="I203" s="925">
        <v>702377</v>
      </c>
      <c r="J203" s="924" t="s">
        <v>592</v>
      </c>
      <c r="K203" s="924" t="s">
        <v>593</v>
      </c>
    </row>
    <row r="204" spans="1:11" x14ac:dyDescent="0.25">
      <c r="A204" s="923">
        <v>1001778077</v>
      </c>
      <c r="B204" s="924" t="s">
        <v>842</v>
      </c>
      <c r="C204" s="924" t="s">
        <v>590</v>
      </c>
      <c r="D204" s="924">
        <v>580717494</v>
      </c>
      <c r="E204" s="924">
        <v>42449646</v>
      </c>
      <c r="F204" s="924" t="s">
        <v>535</v>
      </c>
      <c r="G204" s="924">
        <v>2024</v>
      </c>
      <c r="H204" s="925">
        <v>75000</v>
      </c>
      <c r="I204" s="925">
        <v>34967</v>
      </c>
      <c r="J204" s="924" t="s">
        <v>592</v>
      </c>
      <c r="K204" s="924" t="s">
        <v>593</v>
      </c>
    </row>
    <row r="205" spans="1:11" x14ac:dyDescent="0.25">
      <c r="A205" s="923">
        <v>1001778127</v>
      </c>
      <c r="B205" s="924" t="s">
        <v>843</v>
      </c>
      <c r="C205" s="924" t="s">
        <v>590</v>
      </c>
      <c r="D205" s="924">
        <v>580280550</v>
      </c>
      <c r="E205" s="924">
        <v>40000211</v>
      </c>
      <c r="F205" s="924" t="s">
        <v>638</v>
      </c>
      <c r="G205" s="924">
        <v>2024</v>
      </c>
      <c r="H205" s="925">
        <v>600000</v>
      </c>
      <c r="I205" s="925">
        <v>394285</v>
      </c>
      <c r="J205" s="924" t="s">
        <v>592</v>
      </c>
      <c r="K205" s="924" t="s">
        <v>593</v>
      </c>
    </row>
    <row r="206" spans="1:11" x14ac:dyDescent="0.25">
      <c r="A206" s="923">
        <v>1001778130</v>
      </c>
      <c r="B206" s="924" t="s">
        <v>548</v>
      </c>
      <c r="C206" s="924" t="s">
        <v>590</v>
      </c>
      <c r="D206" s="924">
        <v>580198554</v>
      </c>
      <c r="E206" s="924">
        <v>40000174</v>
      </c>
      <c r="F206" s="924" t="s">
        <v>372</v>
      </c>
      <c r="G206" s="924">
        <v>2024</v>
      </c>
      <c r="H206" s="925">
        <v>250000</v>
      </c>
      <c r="I206" s="925">
        <v>119206</v>
      </c>
      <c r="J206" s="924" t="s">
        <v>592</v>
      </c>
      <c r="K206" s="924" t="s">
        <v>593</v>
      </c>
    </row>
    <row r="207" spans="1:11" x14ac:dyDescent="0.25">
      <c r="A207" s="923">
        <v>1001778566</v>
      </c>
      <c r="B207" s="924" t="s">
        <v>844</v>
      </c>
      <c r="C207" s="924" t="s">
        <v>590</v>
      </c>
      <c r="D207" s="924">
        <v>580012284</v>
      </c>
      <c r="E207" s="924">
        <v>40000061</v>
      </c>
      <c r="F207" s="924" t="s">
        <v>845</v>
      </c>
      <c r="G207" s="924">
        <v>2024</v>
      </c>
      <c r="H207" s="925">
        <v>150000</v>
      </c>
      <c r="I207" s="925">
        <v>72608</v>
      </c>
      <c r="J207" s="924" t="s">
        <v>592</v>
      </c>
      <c r="K207" s="924" t="s">
        <v>593</v>
      </c>
    </row>
    <row r="208" spans="1:11" x14ac:dyDescent="0.25">
      <c r="A208" s="923">
        <v>1001778654</v>
      </c>
      <c r="B208" s="924" t="s">
        <v>846</v>
      </c>
      <c r="C208" s="924" t="s">
        <v>659</v>
      </c>
      <c r="D208" s="924">
        <v>580019917</v>
      </c>
      <c r="E208" s="924">
        <v>40000070</v>
      </c>
      <c r="F208" s="924" t="s">
        <v>847</v>
      </c>
      <c r="G208" s="924">
        <v>2024</v>
      </c>
      <c r="H208" s="925">
        <v>200000</v>
      </c>
      <c r="I208" s="925">
        <v>0</v>
      </c>
      <c r="J208" s="924" t="s">
        <v>592</v>
      </c>
      <c r="K208" s="924" t="s">
        <v>593</v>
      </c>
    </row>
    <row r="209" spans="1:11" x14ac:dyDescent="0.25">
      <c r="A209" s="923">
        <v>1001778655</v>
      </c>
      <c r="B209" s="924" t="s">
        <v>848</v>
      </c>
      <c r="C209" s="924" t="s">
        <v>659</v>
      </c>
      <c r="D209" s="924">
        <v>580019917</v>
      </c>
      <c r="E209" s="924">
        <v>40000070</v>
      </c>
      <c r="F209" s="924" t="s">
        <v>847</v>
      </c>
      <c r="G209" s="924">
        <v>2024</v>
      </c>
      <c r="H209" s="925">
        <v>200000</v>
      </c>
      <c r="I209" s="925">
        <v>0</v>
      </c>
      <c r="J209" s="924" t="s">
        <v>592</v>
      </c>
      <c r="K209" s="924" t="s">
        <v>593</v>
      </c>
    </row>
    <row r="210" spans="1:11" x14ac:dyDescent="0.25">
      <c r="A210" s="923">
        <v>1001778657</v>
      </c>
      <c r="B210" s="924" t="s">
        <v>849</v>
      </c>
      <c r="C210" s="924" t="s">
        <v>590</v>
      </c>
      <c r="D210" s="924">
        <v>580019917</v>
      </c>
      <c r="E210" s="924">
        <v>40000070</v>
      </c>
      <c r="F210" s="924" t="s">
        <v>847</v>
      </c>
      <c r="G210" s="924">
        <v>2024</v>
      </c>
      <c r="H210" s="925">
        <v>400000</v>
      </c>
      <c r="I210" s="925">
        <v>163152</v>
      </c>
      <c r="J210" s="924" t="s">
        <v>592</v>
      </c>
      <c r="K210" s="924" t="s">
        <v>593</v>
      </c>
    </row>
    <row r="211" spans="1:11" x14ac:dyDescent="0.25">
      <c r="A211" s="923">
        <v>1001778658</v>
      </c>
      <c r="B211" s="924" t="s">
        <v>850</v>
      </c>
      <c r="C211" s="924" t="s">
        <v>590</v>
      </c>
      <c r="D211" s="924">
        <v>580019917</v>
      </c>
      <c r="E211" s="924">
        <v>40000070</v>
      </c>
      <c r="F211" s="924" t="s">
        <v>847</v>
      </c>
      <c r="G211" s="924">
        <v>2024</v>
      </c>
      <c r="H211" s="925">
        <v>200000</v>
      </c>
      <c r="I211" s="925">
        <v>68381</v>
      </c>
      <c r="J211" s="924" t="s">
        <v>592</v>
      </c>
      <c r="K211" s="924" t="s">
        <v>593</v>
      </c>
    </row>
    <row r="212" spans="1:11" x14ac:dyDescent="0.25">
      <c r="A212" s="923">
        <v>1001778677</v>
      </c>
      <c r="B212" s="924" t="s">
        <v>851</v>
      </c>
      <c r="C212" s="924" t="s">
        <v>590</v>
      </c>
      <c r="D212" s="924">
        <v>580610962</v>
      </c>
      <c r="E212" s="924">
        <v>41635660</v>
      </c>
      <c r="F212" s="924" t="s">
        <v>852</v>
      </c>
      <c r="G212" s="924">
        <v>2024</v>
      </c>
      <c r="H212" s="925">
        <v>2000000</v>
      </c>
      <c r="I212" s="925">
        <v>677747</v>
      </c>
      <c r="J212" s="924" t="s">
        <v>592</v>
      </c>
      <c r="K212" s="924" t="s">
        <v>593</v>
      </c>
    </row>
    <row r="213" spans="1:11" x14ac:dyDescent="0.25">
      <c r="A213" s="923">
        <v>1001778714</v>
      </c>
      <c r="B213" s="924" t="s">
        <v>853</v>
      </c>
      <c r="C213" s="924" t="s">
        <v>854</v>
      </c>
      <c r="D213" s="924">
        <v>580280550</v>
      </c>
      <c r="E213" s="924">
        <v>40000211</v>
      </c>
      <c r="F213" s="924" t="s">
        <v>638</v>
      </c>
      <c r="G213" s="924">
        <v>2024</v>
      </c>
      <c r="H213" s="925">
        <v>200000</v>
      </c>
      <c r="I213" s="925">
        <v>0</v>
      </c>
      <c r="J213" s="924" t="s">
        <v>592</v>
      </c>
      <c r="K213" s="924" t="s">
        <v>593</v>
      </c>
    </row>
    <row r="214" spans="1:11" x14ac:dyDescent="0.25">
      <c r="A214" s="923">
        <v>1001778775</v>
      </c>
      <c r="B214" s="924" t="s">
        <v>855</v>
      </c>
      <c r="C214" s="924" t="s">
        <v>659</v>
      </c>
      <c r="D214" s="924">
        <v>515538684</v>
      </c>
      <c r="E214" s="924">
        <v>41598536</v>
      </c>
      <c r="F214" s="924" t="s">
        <v>856</v>
      </c>
      <c r="G214" s="924">
        <v>2024</v>
      </c>
      <c r="H214" s="925">
        <v>150000</v>
      </c>
      <c r="I214" s="925">
        <v>0</v>
      </c>
      <c r="J214" s="924" t="s">
        <v>592</v>
      </c>
      <c r="K214" s="924" t="s">
        <v>593</v>
      </c>
    </row>
    <row r="215" spans="1:11" x14ac:dyDescent="0.25">
      <c r="A215" s="923">
        <v>1001778938</v>
      </c>
      <c r="B215" s="924" t="s">
        <v>857</v>
      </c>
      <c r="C215" s="924" t="s">
        <v>613</v>
      </c>
      <c r="D215" s="924">
        <v>500250006</v>
      </c>
      <c r="E215" s="924">
        <v>20000201</v>
      </c>
      <c r="F215" s="924" t="s">
        <v>830</v>
      </c>
      <c r="G215" s="924">
        <v>2024</v>
      </c>
      <c r="H215" s="925">
        <v>280000</v>
      </c>
      <c r="I215" s="925">
        <v>0</v>
      </c>
      <c r="J215" s="924" t="s">
        <v>592</v>
      </c>
      <c r="K215" s="924" t="s">
        <v>593</v>
      </c>
    </row>
    <row r="216" spans="1:11" x14ac:dyDescent="0.25">
      <c r="A216" s="923">
        <v>1001778939</v>
      </c>
      <c r="B216" s="924" t="s">
        <v>858</v>
      </c>
      <c r="C216" s="924" t="s">
        <v>613</v>
      </c>
      <c r="D216" s="924">
        <v>500250006</v>
      </c>
      <c r="E216" s="924">
        <v>20000201</v>
      </c>
      <c r="F216" s="924" t="s">
        <v>830</v>
      </c>
      <c r="G216" s="924">
        <v>2024</v>
      </c>
      <c r="H216" s="925">
        <v>78280</v>
      </c>
      <c r="I216" s="925">
        <v>0</v>
      </c>
      <c r="J216" s="924" t="s">
        <v>592</v>
      </c>
      <c r="K216" s="924" t="s">
        <v>593</v>
      </c>
    </row>
    <row r="217" spans="1:11" x14ac:dyDescent="0.25">
      <c r="A217" s="923">
        <v>1001779069</v>
      </c>
      <c r="B217" s="924" t="s">
        <v>562</v>
      </c>
      <c r="C217" s="924" t="s">
        <v>590</v>
      </c>
      <c r="D217" s="924">
        <v>580737195</v>
      </c>
      <c r="E217" s="924">
        <v>42746928</v>
      </c>
      <c r="F217" s="924" t="s">
        <v>551</v>
      </c>
      <c r="G217" s="924">
        <v>2024</v>
      </c>
      <c r="H217" s="925">
        <v>400000</v>
      </c>
      <c r="I217" s="925">
        <v>75978</v>
      </c>
      <c r="J217" s="924" t="s">
        <v>592</v>
      </c>
      <c r="K217" s="924" t="s">
        <v>593</v>
      </c>
    </row>
    <row r="218" spans="1:11" x14ac:dyDescent="0.25">
      <c r="A218" s="923">
        <v>1001779084</v>
      </c>
      <c r="B218" s="924" t="s">
        <v>859</v>
      </c>
      <c r="C218" s="924" t="s">
        <v>590</v>
      </c>
      <c r="D218" s="924">
        <v>580017077</v>
      </c>
      <c r="E218" s="924">
        <v>40002829</v>
      </c>
      <c r="F218" s="924" t="s">
        <v>860</v>
      </c>
      <c r="G218" s="924">
        <v>2024</v>
      </c>
      <c r="H218" s="925">
        <v>125000</v>
      </c>
      <c r="I218" s="925">
        <v>78736</v>
      </c>
      <c r="J218" s="924" t="s">
        <v>592</v>
      </c>
      <c r="K218" s="924" t="s">
        <v>593</v>
      </c>
    </row>
    <row r="219" spans="1:11" x14ac:dyDescent="0.25">
      <c r="A219" s="923">
        <v>1001779114</v>
      </c>
      <c r="B219" s="924" t="s">
        <v>861</v>
      </c>
      <c r="C219" s="924" t="s">
        <v>590</v>
      </c>
      <c r="D219" s="924">
        <v>500262381</v>
      </c>
      <c r="E219" s="924">
        <v>20000212</v>
      </c>
      <c r="F219" s="924" t="s">
        <v>862</v>
      </c>
      <c r="G219" s="924">
        <v>2024</v>
      </c>
      <c r="H219" s="925">
        <v>80000</v>
      </c>
      <c r="I219" s="925">
        <v>38328</v>
      </c>
      <c r="J219" s="924" t="s">
        <v>592</v>
      </c>
      <c r="K219" s="924" t="s">
        <v>593</v>
      </c>
    </row>
    <row r="220" spans="1:11" x14ac:dyDescent="0.25">
      <c r="A220" s="923">
        <v>1001779123</v>
      </c>
      <c r="B220" s="924" t="s">
        <v>863</v>
      </c>
      <c r="C220" s="924" t="s">
        <v>590</v>
      </c>
      <c r="D220" s="924">
        <v>580144624</v>
      </c>
      <c r="E220" s="924">
        <v>40000150</v>
      </c>
      <c r="F220" s="924" t="s">
        <v>864</v>
      </c>
      <c r="G220" s="924">
        <v>2024</v>
      </c>
      <c r="H220" s="925">
        <v>130000</v>
      </c>
      <c r="I220" s="925">
        <v>70546</v>
      </c>
      <c r="J220" s="924" t="s">
        <v>592</v>
      </c>
      <c r="K220" s="924" t="s">
        <v>593</v>
      </c>
    </row>
    <row r="221" spans="1:11" x14ac:dyDescent="0.25">
      <c r="A221" s="923">
        <v>1001779129</v>
      </c>
      <c r="B221" s="924" t="s">
        <v>865</v>
      </c>
      <c r="C221" s="924" t="s">
        <v>590</v>
      </c>
      <c r="D221" s="924">
        <v>500287008</v>
      </c>
      <c r="E221" s="924">
        <v>20000251</v>
      </c>
      <c r="F221" s="924" t="s">
        <v>866</v>
      </c>
      <c r="G221" s="924">
        <v>2024</v>
      </c>
      <c r="H221" s="925">
        <v>52707</v>
      </c>
      <c r="I221" s="925">
        <v>37584</v>
      </c>
      <c r="J221" s="924" t="s">
        <v>592</v>
      </c>
      <c r="K221" s="924" t="s">
        <v>593</v>
      </c>
    </row>
    <row r="222" spans="1:11" x14ac:dyDescent="0.25">
      <c r="A222" s="923">
        <v>1001779293</v>
      </c>
      <c r="B222" s="924" t="s">
        <v>867</v>
      </c>
      <c r="C222" s="924" t="s">
        <v>590</v>
      </c>
      <c r="D222" s="924">
        <v>500250006</v>
      </c>
      <c r="E222" s="924">
        <v>20000201</v>
      </c>
      <c r="F222" s="924" t="s">
        <v>830</v>
      </c>
      <c r="G222" s="924">
        <v>2024</v>
      </c>
      <c r="H222" s="925">
        <v>280000</v>
      </c>
      <c r="I222" s="925">
        <v>66578</v>
      </c>
      <c r="J222" s="924" t="s">
        <v>592</v>
      </c>
      <c r="K222" s="924" t="s">
        <v>593</v>
      </c>
    </row>
    <row r="223" spans="1:11" x14ac:dyDescent="0.25">
      <c r="A223" s="923">
        <v>1001779294</v>
      </c>
      <c r="B223" s="924" t="s">
        <v>868</v>
      </c>
      <c r="C223" s="924" t="s">
        <v>613</v>
      </c>
      <c r="D223" s="924">
        <v>500250006</v>
      </c>
      <c r="E223" s="924">
        <v>20000201</v>
      </c>
      <c r="F223" s="924" t="s">
        <v>830</v>
      </c>
      <c r="G223" s="924">
        <v>2024</v>
      </c>
      <c r="H223" s="925">
        <v>78280</v>
      </c>
      <c r="I223" s="925">
        <v>0</v>
      </c>
      <c r="J223" s="924" t="s">
        <v>592</v>
      </c>
      <c r="K223" s="924" t="s">
        <v>593</v>
      </c>
    </row>
    <row r="224" spans="1:11" x14ac:dyDescent="0.25">
      <c r="A224" s="923">
        <v>1001779310</v>
      </c>
      <c r="B224" s="924" t="s">
        <v>635</v>
      </c>
      <c r="C224" s="924" t="s">
        <v>590</v>
      </c>
      <c r="D224" s="924">
        <v>580658383</v>
      </c>
      <c r="E224" s="924">
        <v>42131129</v>
      </c>
      <c r="F224" s="924" t="s">
        <v>869</v>
      </c>
      <c r="G224" s="924">
        <v>2024</v>
      </c>
      <c r="H224" s="925">
        <v>150000</v>
      </c>
      <c r="I224" s="925">
        <v>77738</v>
      </c>
      <c r="J224" s="924" t="s">
        <v>592</v>
      </c>
      <c r="K224" s="924" t="s">
        <v>593</v>
      </c>
    </row>
    <row r="225" spans="1:11" x14ac:dyDescent="0.25">
      <c r="A225" s="923">
        <v>1001779414</v>
      </c>
      <c r="B225" s="924" t="s">
        <v>870</v>
      </c>
      <c r="C225" s="924" t="s">
        <v>590</v>
      </c>
      <c r="D225" s="924">
        <v>580036242</v>
      </c>
      <c r="E225" s="924">
        <v>40000091</v>
      </c>
      <c r="F225" s="924" t="s">
        <v>833</v>
      </c>
      <c r="G225" s="924">
        <v>2024</v>
      </c>
      <c r="H225" s="925">
        <v>35000</v>
      </c>
      <c r="I225" s="925">
        <v>35000</v>
      </c>
      <c r="J225" s="924" t="s">
        <v>592</v>
      </c>
      <c r="K225" s="924" t="s">
        <v>593</v>
      </c>
    </row>
    <row r="226" spans="1:11" x14ac:dyDescent="0.25">
      <c r="A226" s="923">
        <v>1001779415</v>
      </c>
      <c r="B226" s="924" t="s">
        <v>871</v>
      </c>
      <c r="C226" s="924" t="s">
        <v>590</v>
      </c>
      <c r="D226" s="924">
        <v>580036242</v>
      </c>
      <c r="E226" s="924">
        <v>40000091</v>
      </c>
      <c r="F226" s="924" t="s">
        <v>833</v>
      </c>
      <c r="G226" s="924">
        <v>2024</v>
      </c>
      <c r="H226" s="925">
        <v>35000</v>
      </c>
      <c r="I226" s="925">
        <v>35000</v>
      </c>
      <c r="J226" s="924" t="s">
        <v>592</v>
      </c>
      <c r="K226" s="924" t="s">
        <v>593</v>
      </c>
    </row>
    <row r="227" spans="1:11" x14ac:dyDescent="0.25">
      <c r="A227" s="923">
        <v>1001779549</v>
      </c>
      <c r="B227" s="924" t="s">
        <v>872</v>
      </c>
      <c r="C227" s="924" t="s">
        <v>613</v>
      </c>
      <c r="D227" s="924">
        <v>510542822</v>
      </c>
      <c r="E227" s="924">
        <v>40000015</v>
      </c>
      <c r="F227" s="924" t="s">
        <v>873</v>
      </c>
      <c r="G227" s="924">
        <v>2024</v>
      </c>
      <c r="H227" s="925">
        <v>500000</v>
      </c>
      <c r="I227" s="925">
        <v>0</v>
      </c>
      <c r="J227" s="924" t="s">
        <v>592</v>
      </c>
      <c r="K227" s="924" t="s">
        <v>593</v>
      </c>
    </row>
    <row r="228" spans="1:11" x14ac:dyDescent="0.25">
      <c r="A228" s="923">
        <v>1001779613</v>
      </c>
      <c r="B228" s="924" t="s">
        <v>874</v>
      </c>
      <c r="C228" s="924" t="s">
        <v>590</v>
      </c>
      <c r="D228" s="924">
        <v>580016715</v>
      </c>
      <c r="E228" s="924">
        <v>40000344</v>
      </c>
      <c r="F228" s="924" t="s">
        <v>875</v>
      </c>
      <c r="G228" s="924">
        <v>2024</v>
      </c>
      <c r="H228" s="925">
        <v>150000</v>
      </c>
      <c r="I228" s="925">
        <v>90000</v>
      </c>
      <c r="J228" s="924" t="s">
        <v>592</v>
      </c>
      <c r="K228" s="924" t="s">
        <v>593</v>
      </c>
    </row>
    <row r="229" spans="1:11" x14ac:dyDescent="0.25">
      <c r="A229" s="923">
        <v>1001779630</v>
      </c>
      <c r="B229" s="924" t="s">
        <v>876</v>
      </c>
      <c r="C229" s="924" t="s">
        <v>659</v>
      </c>
      <c r="D229" s="924">
        <v>580015535</v>
      </c>
      <c r="E229" s="924">
        <v>40000065</v>
      </c>
      <c r="F229" s="924" t="s">
        <v>877</v>
      </c>
      <c r="G229" s="924">
        <v>2024</v>
      </c>
      <c r="H229" s="925">
        <v>200000</v>
      </c>
      <c r="I229" s="925">
        <v>0</v>
      </c>
      <c r="J229" s="924" t="s">
        <v>592</v>
      </c>
      <c r="K229" s="924" t="s">
        <v>593</v>
      </c>
    </row>
    <row r="230" spans="1:11" x14ac:dyDescent="0.25">
      <c r="A230" s="923">
        <v>1001779632</v>
      </c>
      <c r="B230" s="924" t="s">
        <v>878</v>
      </c>
      <c r="C230" s="924" t="s">
        <v>590</v>
      </c>
      <c r="D230" s="924">
        <v>500210265</v>
      </c>
      <c r="E230" s="924">
        <v>20000095</v>
      </c>
      <c r="F230" s="924" t="s">
        <v>879</v>
      </c>
      <c r="G230" s="924">
        <v>2024</v>
      </c>
      <c r="H230" s="925">
        <v>100000</v>
      </c>
      <c r="I230" s="925">
        <v>42946</v>
      </c>
      <c r="J230" s="924" t="s">
        <v>592</v>
      </c>
      <c r="K230" s="924" t="s">
        <v>593</v>
      </c>
    </row>
    <row r="231" spans="1:11" x14ac:dyDescent="0.25">
      <c r="A231" s="923">
        <v>1001779633</v>
      </c>
      <c r="B231" s="924" t="s">
        <v>876</v>
      </c>
      <c r="C231" s="924" t="s">
        <v>659</v>
      </c>
      <c r="D231" s="924">
        <v>580015535</v>
      </c>
      <c r="E231" s="924">
        <v>40000065</v>
      </c>
      <c r="F231" s="924" t="s">
        <v>877</v>
      </c>
      <c r="G231" s="924">
        <v>2024</v>
      </c>
      <c r="H231" s="925">
        <v>200000</v>
      </c>
      <c r="I231" s="925">
        <v>0</v>
      </c>
      <c r="J231" s="924" t="s">
        <v>592</v>
      </c>
      <c r="K231" s="924" t="s">
        <v>593</v>
      </c>
    </row>
    <row r="232" spans="1:11" x14ac:dyDescent="0.25">
      <c r="A232" s="923">
        <v>1001779645</v>
      </c>
      <c r="B232" s="924" t="s">
        <v>769</v>
      </c>
      <c r="C232" s="924" t="s">
        <v>590</v>
      </c>
      <c r="D232" s="924">
        <v>580051068</v>
      </c>
      <c r="E232" s="924">
        <v>40000400</v>
      </c>
      <c r="F232" s="924" t="s">
        <v>768</v>
      </c>
      <c r="G232" s="924">
        <v>2024</v>
      </c>
      <c r="H232" s="925">
        <v>400000</v>
      </c>
      <c r="I232" s="925">
        <v>115853</v>
      </c>
      <c r="J232" s="924" t="s">
        <v>592</v>
      </c>
      <c r="K232" s="924" t="s">
        <v>593</v>
      </c>
    </row>
    <row r="233" spans="1:11" x14ac:dyDescent="0.25">
      <c r="A233" s="923">
        <v>1001779651</v>
      </c>
      <c r="B233" s="924" t="s">
        <v>880</v>
      </c>
      <c r="C233" s="924" t="s">
        <v>659</v>
      </c>
      <c r="D233" s="924">
        <v>520028275</v>
      </c>
      <c r="E233" s="924">
        <v>40000043</v>
      </c>
      <c r="F233" s="924" t="s">
        <v>881</v>
      </c>
      <c r="G233" s="924">
        <v>2024</v>
      </c>
      <c r="H233" s="925">
        <v>120000</v>
      </c>
      <c r="I233" s="925">
        <v>0</v>
      </c>
      <c r="J233" s="924" t="s">
        <v>592</v>
      </c>
      <c r="K233" s="924" t="s">
        <v>593</v>
      </c>
    </row>
    <row r="234" spans="1:11" x14ac:dyDescent="0.25">
      <c r="A234" s="923">
        <v>1001779900</v>
      </c>
      <c r="B234" s="924" t="s">
        <v>882</v>
      </c>
      <c r="C234" s="924" t="s">
        <v>590</v>
      </c>
      <c r="D234" s="924">
        <v>500278007</v>
      </c>
      <c r="E234" s="924">
        <v>20000242</v>
      </c>
      <c r="F234" s="924" t="s">
        <v>883</v>
      </c>
      <c r="G234" s="924">
        <v>2024</v>
      </c>
      <c r="H234" s="925">
        <v>120000</v>
      </c>
      <c r="I234" s="925">
        <v>68283</v>
      </c>
      <c r="J234" s="924" t="s">
        <v>592</v>
      </c>
      <c r="K234" s="924" t="s">
        <v>593</v>
      </c>
    </row>
    <row r="235" spans="1:11" x14ac:dyDescent="0.25">
      <c r="A235" s="923">
        <v>1001800594</v>
      </c>
      <c r="B235" s="924" t="s">
        <v>884</v>
      </c>
      <c r="C235" s="924" t="s">
        <v>590</v>
      </c>
      <c r="D235" s="926">
        <v>580263572</v>
      </c>
      <c r="E235" s="926">
        <v>40001691</v>
      </c>
      <c r="F235" s="926" t="s">
        <v>885</v>
      </c>
      <c r="G235" s="924">
        <v>2024</v>
      </c>
      <c r="H235" s="925">
        <v>250000</v>
      </c>
      <c r="I235" s="925">
        <v>90000</v>
      </c>
      <c r="J235" s="924" t="s">
        <v>592</v>
      </c>
      <c r="K235" s="924" t="s">
        <v>593</v>
      </c>
    </row>
    <row r="236" spans="1:11" x14ac:dyDescent="0.25">
      <c r="A236" s="923">
        <v>1001823112</v>
      </c>
      <c r="B236" s="924" t="s">
        <v>886</v>
      </c>
      <c r="C236" s="924" t="s">
        <v>854</v>
      </c>
      <c r="D236" s="926">
        <v>580111185</v>
      </c>
      <c r="E236" s="926">
        <v>40000140</v>
      </c>
      <c r="F236" s="926" t="s">
        <v>662</v>
      </c>
      <c r="G236" s="924">
        <v>2025</v>
      </c>
      <c r="H236" s="925">
        <v>9500000</v>
      </c>
      <c r="I236" s="925">
        <v>0</v>
      </c>
      <c r="J236" s="924" t="s">
        <v>592</v>
      </c>
      <c r="K236" s="924" t="s">
        <v>593</v>
      </c>
    </row>
    <row r="237" spans="1:11" x14ac:dyDescent="0.25">
      <c r="A237" s="923">
        <v>1001823658</v>
      </c>
      <c r="B237" s="924" t="s">
        <v>374</v>
      </c>
      <c r="C237" s="924" t="s">
        <v>854</v>
      </c>
      <c r="D237" s="926">
        <v>580651362</v>
      </c>
      <c r="E237" s="926">
        <v>41556008</v>
      </c>
      <c r="F237" s="926" t="s">
        <v>775</v>
      </c>
      <c r="G237" s="924">
        <v>2025</v>
      </c>
      <c r="H237" s="925">
        <v>280000</v>
      </c>
      <c r="I237" s="925">
        <v>0</v>
      </c>
      <c r="J237" s="924" t="s">
        <v>592</v>
      </c>
      <c r="K237" s="924" t="s">
        <v>593</v>
      </c>
    </row>
    <row r="238" spans="1:11" x14ac:dyDescent="0.25">
      <c r="A238" s="923">
        <v>1001824171</v>
      </c>
      <c r="B238" s="924" t="s">
        <v>647</v>
      </c>
      <c r="C238" s="924" t="s">
        <v>854</v>
      </c>
      <c r="D238" s="926">
        <v>580200830</v>
      </c>
      <c r="E238" s="926">
        <v>40000550</v>
      </c>
      <c r="F238" s="926" t="s">
        <v>648</v>
      </c>
      <c r="G238" s="924">
        <v>2025</v>
      </c>
      <c r="H238" s="925">
        <v>2500000</v>
      </c>
      <c r="I238" s="925">
        <v>0</v>
      </c>
      <c r="J238" s="924" t="s">
        <v>592</v>
      </c>
      <c r="K238" s="924" t="s">
        <v>593</v>
      </c>
    </row>
    <row r="239" spans="1:11" x14ac:dyDescent="0.25">
      <c r="A239" s="923">
        <v>1001824383</v>
      </c>
      <c r="B239" s="924" t="s">
        <v>888</v>
      </c>
      <c r="C239" s="924" t="s">
        <v>887</v>
      </c>
      <c r="D239" s="926">
        <v>500223136</v>
      </c>
      <c r="E239" s="926">
        <v>20000137</v>
      </c>
      <c r="F239" s="926" t="s">
        <v>631</v>
      </c>
      <c r="G239" s="924">
        <v>2025</v>
      </c>
      <c r="H239" s="925">
        <v>45000</v>
      </c>
      <c r="I239" s="925">
        <v>0</v>
      </c>
      <c r="J239" s="924" t="s">
        <v>592</v>
      </c>
      <c r="K239" s="924" t="s">
        <v>593</v>
      </c>
    </row>
    <row r="240" spans="1:11" x14ac:dyDescent="0.25">
      <c r="A240" s="923">
        <v>1001824528</v>
      </c>
      <c r="B240" s="924" t="s">
        <v>889</v>
      </c>
      <c r="C240" s="924" t="s">
        <v>854</v>
      </c>
      <c r="D240" s="926">
        <v>580262855</v>
      </c>
      <c r="E240" s="926">
        <v>40000631</v>
      </c>
      <c r="F240" s="926" t="s">
        <v>603</v>
      </c>
      <c r="G240" s="924">
        <v>2025</v>
      </c>
      <c r="H240" s="925">
        <v>150000</v>
      </c>
      <c r="I240" s="925">
        <v>0</v>
      </c>
      <c r="J240" s="924" t="s">
        <v>592</v>
      </c>
      <c r="K240" s="924" t="s">
        <v>593</v>
      </c>
    </row>
    <row r="241" spans="1:11" x14ac:dyDescent="0.25">
      <c r="A241" s="923">
        <v>1001824615</v>
      </c>
      <c r="B241" s="924" t="s">
        <v>890</v>
      </c>
      <c r="C241" s="924" t="s">
        <v>854</v>
      </c>
      <c r="D241" s="926">
        <v>580082824</v>
      </c>
      <c r="E241" s="926">
        <v>40000448</v>
      </c>
      <c r="F241" s="926" t="s">
        <v>611</v>
      </c>
      <c r="G241" s="924">
        <v>2025</v>
      </c>
      <c r="H241" s="925">
        <v>100000</v>
      </c>
      <c r="I241" s="925">
        <v>0</v>
      </c>
      <c r="J241" s="924" t="s">
        <v>592</v>
      </c>
      <c r="K241" s="924" t="s">
        <v>593</v>
      </c>
    </row>
    <row r="242" spans="1:11" x14ac:dyDescent="0.25">
      <c r="A242" s="923">
        <v>1001825236</v>
      </c>
      <c r="B242" s="924" t="s">
        <v>891</v>
      </c>
      <c r="C242" s="924" t="s">
        <v>854</v>
      </c>
      <c r="D242" s="926">
        <v>580420263</v>
      </c>
      <c r="E242" s="926">
        <v>40221577</v>
      </c>
      <c r="F242" s="926" t="s">
        <v>652</v>
      </c>
      <c r="G242" s="924">
        <v>2025</v>
      </c>
      <c r="H242" s="925">
        <v>1000000</v>
      </c>
      <c r="I242" s="925">
        <v>0</v>
      </c>
      <c r="J242" s="924" t="s">
        <v>592</v>
      </c>
      <c r="K242" s="924" t="s">
        <v>593</v>
      </c>
    </row>
    <row r="243" spans="1:11" x14ac:dyDescent="0.25">
      <c r="A243" s="923">
        <v>1001825298</v>
      </c>
      <c r="B243" s="924" t="s">
        <v>892</v>
      </c>
      <c r="C243" s="924" t="s">
        <v>854</v>
      </c>
      <c r="D243" s="926">
        <v>580198554</v>
      </c>
      <c r="E243" s="926">
        <v>40000174</v>
      </c>
      <c r="F243" s="926" t="s">
        <v>372</v>
      </c>
      <c r="G243" s="924">
        <v>2025</v>
      </c>
      <c r="H243" s="925">
        <v>250000</v>
      </c>
      <c r="I243" s="925">
        <v>0</v>
      </c>
      <c r="J243" s="924" t="s">
        <v>592</v>
      </c>
      <c r="K243" s="924" t="s">
        <v>593</v>
      </c>
    </row>
    <row r="244" spans="1:11" x14ac:dyDescent="0.25">
      <c r="A244" s="923">
        <v>1001825689</v>
      </c>
      <c r="B244" s="924" t="s">
        <v>893</v>
      </c>
      <c r="C244" s="924" t="s">
        <v>854</v>
      </c>
      <c r="D244" s="926">
        <v>580632446</v>
      </c>
      <c r="E244" s="926">
        <v>41489893</v>
      </c>
      <c r="F244" s="926" t="s">
        <v>816</v>
      </c>
      <c r="G244" s="924">
        <v>2025</v>
      </c>
      <c r="H244" s="925">
        <v>400000</v>
      </c>
      <c r="I244" s="925">
        <v>0</v>
      </c>
      <c r="J244" s="924" t="s">
        <v>592</v>
      </c>
      <c r="K244" s="924" t="s">
        <v>593</v>
      </c>
    </row>
    <row r="245" spans="1:11" x14ac:dyDescent="0.25">
      <c r="A245" s="923">
        <v>1001826578</v>
      </c>
      <c r="B245" s="924" t="s">
        <v>894</v>
      </c>
      <c r="C245" s="924" t="s">
        <v>887</v>
      </c>
      <c r="D245" s="926">
        <v>580280550</v>
      </c>
      <c r="E245" s="926">
        <v>40000211</v>
      </c>
      <c r="F245" s="926" t="s">
        <v>638</v>
      </c>
      <c r="G245" s="924">
        <v>2025</v>
      </c>
      <c r="H245" s="925">
        <v>60000</v>
      </c>
      <c r="I245" s="925">
        <v>0</v>
      </c>
      <c r="J245" s="924" t="s">
        <v>592</v>
      </c>
      <c r="K245" s="924" t="s">
        <v>593</v>
      </c>
    </row>
    <row r="246" spans="1:11" x14ac:dyDescent="0.25">
      <c r="A246" s="923">
        <v>1001826616</v>
      </c>
      <c r="B246" s="924" t="s">
        <v>641</v>
      </c>
      <c r="C246" s="924" t="s">
        <v>854</v>
      </c>
      <c r="D246" s="926">
        <v>580352490</v>
      </c>
      <c r="E246" s="926">
        <v>40000242</v>
      </c>
      <c r="F246" s="926" t="s">
        <v>642</v>
      </c>
      <c r="G246" s="924">
        <v>2025</v>
      </c>
      <c r="H246" s="925">
        <v>150000</v>
      </c>
      <c r="I246" s="925">
        <v>0</v>
      </c>
      <c r="J246" s="924" t="s">
        <v>592</v>
      </c>
      <c r="K246" s="924" t="s">
        <v>593</v>
      </c>
    </row>
    <row r="247" spans="1:11" x14ac:dyDescent="0.25">
      <c r="A247" s="923">
        <v>1001827029</v>
      </c>
      <c r="B247" s="924" t="s">
        <v>895</v>
      </c>
      <c r="C247" s="924" t="s">
        <v>854</v>
      </c>
      <c r="D247" s="926">
        <v>580042422</v>
      </c>
      <c r="E247" s="926">
        <v>40000394</v>
      </c>
      <c r="F247" s="926" t="s">
        <v>607</v>
      </c>
      <c r="G247" s="924">
        <v>2025</v>
      </c>
      <c r="H247" s="925">
        <v>2000000</v>
      </c>
      <c r="I247" s="925">
        <v>0</v>
      </c>
      <c r="J247" s="924" t="s">
        <v>592</v>
      </c>
      <c r="K247" s="924" t="s">
        <v>593</v>
      </c>
    </row>
    <row r="248" spans="1:11" x14ac:dyDescent="0.25">
      <c r="A248" s="923">
        <v>1001827293</v>
      </c>
      <c r="B248" s="924" t="s">
        <v>896</v>
      </c>
      <c r="C248" s="924" t="s">
        <v>854</v>
      </c>
      <c r="D248" s="926">
        <v>580215333</v>
      </c>
      <c r="E248" s="926">
        <v>40000564</v>
      </c>
      <c r="F248" s="926" t="s">
        <v>371</v>
      </c>
      <c r="G248" s="924">
        <v>2025</v>
      </c>
      <c r="H248" s="925">
        <v>295000</v>
      </c>
      <c r="I248" s="925">
        <v>0</v>
      </c>
      <c r="J248" s="924" t="s">
        <v>592</v>
      </c>
      <c r="K248" s="924" t="s">
        <v>593</v>
      </c>
    </row>
    <row r="249" spans="1:11" x14ac:dyDescent="0.25">
      <c r="A249" s="923">
        <v>1001827296</v>
      </c>
      <c r="B249" s="924" t="s">
        <v>549</v>
      </c>
      <c r="C249" s="924" t="s">
        <v>854</v>
      </c>
      <c r="D249" s="926">
        <v>580215333</v>
      </c>
      <c r="E249" s="926">
        <v>40000564</v>
      </c>
      <c r="F249" s="926" t="s">
        <v>371</v>
      </c>
      <c r="G249" s="924">
        <v>2025</v>
      </c>
      <c r="H249" s="925">
        <v>295000</v>
      </c>
      <c r="I249" s="925">
        <v>0</v>
      </c>
      <c r="J249" s="924" t="s">
        <v>592</v>
      </c>
      <c r="K249" s="924" t="s">
        <v>593</v>
      </c>
    </row>
    <row r="250" spans="1:11" x14ac:dyDescent="0.25">
      <c r="A250" s="923">
        <v>1001827297</v>
      </c>
      <c r="B250" s="924" t="s">
        <v>486</v>
      </c>
      <c r="C250" s="924" t="s">
        <v>854</v>
      </c>
      <c r="D250" s="926">
        <v>580215333</v>
      </c>
      <c r="E250" s="926">
        <v>40000564</v>
      </c>
      <c r="F250" s="926" t="s">
        <v>371</v>
      </c>
      <c r="G250" s="924">
        <v>2025</v>
      </c>
      <c r="H250" s="925">
        <v>295000</v>
      </c>
      <c r="I250" s="925">
        <v>0</v>
      </c>
      <c r="J250" s="924" t="s">
        <v>592</v>
      </c>
      <c r="K250" s="924" t="s">
        <v>593</v>
      </c>
    </row>
    <row r="251" spans="1:11" x14ac:dyDescent="0.25">
      <c r="A251" s="923">
        <v>1001827298</v>
      </c>
      <c r="B251" s="924" t="s">
        <v>665</v>
      </c>
      <c r="C251" s="924" t="s">
        <v>854</v>
      </c>
      <c r="D251" s="926">
        <v>580215333</v>
      </c>
      <c r="E251" s="926">
        <v>40000564</v>
      </c>
      <c r="F251" s="926" t="s">
        <v>371</v>
      </c>
      <c r="G251" s="924">
        <v>2025</v>
      </c>
      <c r="H251" s="925">
        <v>295000</v>
      </c>
      <c r="I251" s="925">
        <v>0</v>
      </c>
      <c r="J251" s="924" t="s">
        <v>592</v>
      </c>
      <c r="K251" s="924" t="s">
        <v>593</v>
      </c>
    </row>
    <row r="252" spans="1:11" x14ac:dyDescent="0.25">
      <c r="A252" s="923">
        <v>1001827320</v>
      </c>
      <c r="B252" s="924" t="s">
        <v>897</v>
      </c>
      <c r="C252" s="924" t="s">
        <v>887</v>
      </c>
      <c r="D252" s="926">
        <v>580215333</v>
      </c>
      <c r="E252" s="926">
        <v>40000564</v>
      </c>
      <c r="F252" s="926" t="s">
        <v>371</v>
      </c>
      <c r="G252" s="924">
        <v>2025</v>
      </c>
      <c r="H252" s="925">
        <v>295000</v>
      </c>
      <c r="I252" s="925">
        <v>0</v>
      </c>
      <c r="J252" s="924" t="s">
        <v>592</v>
      </c>
      <c r="K252" s="924" t="s">
        <v>593</v>
      </c>
    </row>
    <row r="253" spans="1:11" x14ac:dyDescent="0.25">
      <c r="A253" s="923">
        <v>1001827322</v>
      </c>
      <c r="B253" s="924" t="s">
        <v>487</v>
      </c>
      <c r="C253" s="924" t="s">
        <v>854</v>
      </c>
      <c r="D253" s="926">
        <v>580215333</v>
      </c>
      <c r="E253" s="926">
        <v>40000564</v>
      </c>
      <c r="F253" s="926" t="s">
        <v>371</v>
      </c>
      <c r="G253" s="924">
        <v>2025</v>
      </c>
      <c r="H253" s="925">
        <v>295000</v>
      </c>
      <c r="I253" s="925">
        <v>0</v>
      </c>
      <c r="J253" s="924" t="s">
        <v>592</v>
      </c>
      <c r="K253" s="924" t="s">
        <v>593</v>
      </c>
    </row>
    <row r="254" spans="1:11" x14ac:dyDescent="0.25">
      <c r="A254" s="923">
        <v>1001827323</v>
      </c>
      <c r="B254" s="924" t="s">
        <v>898</v>
      </c>
      <c r="C254" s="924" t="s">
        <v>854</v>
      </c>
      <c r="D254" s="926">
        <v>580215333</v>
      </c>
      <c r="E254" s="926">
        <v>40000564</v>
      </c>
      <c r="F254" s="926" t="s">
        <v>371</v>
      </c>
      <c r="G254" s="924">
        <v>2025</v>
      </c>
      <c r="H254" s="925">
        <v>295000</v>
      </c>
      <c r="I254" s="925">
        <v>0</v>
      </c>
      <c r="J254" s="924" t="s">
        <v>592</v>
      </c>
      <c r="K254" s="924" t="s">
        <v>593</v>
      </c>
    </row>
    <row r="255" spans="1:11" x14ac:dyDescent="0.25">
      <c r="A255" s="923">
        <v>1001827324</v>
      </c>
      <c r="B255" s="924" t="s">
        <v>899</v>
      </c>
      <c r="C255" s="924" t="s">
        <v>887</v>
      </c>
      <c r="D255" s="926">
        <v>580215333</v>
      </c>
      <c r="E255" s="926">
        <v>40000564</v>
      </c>
      <c r="F255" s="926" t="s">
        <v>371</v>
      </c>
      <c r="G255" s="924">
        <v>2025</v>
      </c>
      <c r="H255" s="925">
        <v>295000</v>
      </c>
      <c r="I255" s="925">
        <v>0</v>
      </c>
      <c r="J255" s="924" t="s">
        <v>592</v>
      </c>
      <c r="K255" s="924" t="s">
        <v>593</v>
      </c>
    </row>
    <row r="256" spans="1:11" x14ac:dyDescent="0.25">
      <c r="A256" s="923">
        <v>1001827325</v>
      </c>
      <c r="B256" s="924" t="s">
        <v>900</v>
      </c>
      <c r="C256" s="924" t="s">
        <v>854</v>
      </c>
      <c r="D256" s="926">
        <v>580215333</v>
      </c>
      <c r="E256" s="926">
        <v>40000564</v>
      </c>
      <c r="F256" s="926" t="s">
        <v>371</v>
      </c>
      <c r="G256" s="924">
        <v>2025</v>
      </c>
      <c r="H256" s="925">
        <v>295000</v>
      </c>
      <c r="I256" s="925">
        <v>0</v>
      </c>
      <c r="J256" s="924" t="s">
        <v>592</v>
      </c>
      <c r="K256" s="924" t="s">
        <v>593</v>
      </c>
    </row>
    <row r="257" spans="1:11" x14ac:dyDescent="0.25">
      <c r="A257" s="923">
        <v>1001827326</v>
      </c>
      <c r="B257" s="924" t="s">
        <v>488</v>
      </c>
      <c r="C257" s="924" t="s">
        <v>854</v>
      </c>
      <c r="D257" s="926">
        <v>580215333</v>
      </c>
      <c r="E257" s="926">
        <v>40000564</v>
      </c>
      <c r="F257" s="926" t="s">
        <v>371</v>
      </c>
      <c r="G257" s="924">
        <v>2025</v>
      </c>
      <c r="H257" s="925">
        <v>295000</v>
      </c>
      <c r="I257" s="925">
        <v>0</v>
      </c>
      <c r="J257" s="924" t="s">
        <v>592</v>
      </c>
      <c r="K257" s="924" t="s">
        <v>593</v>
      </c>
    </row>
    <row r="258" spans="1:11" x14ac:dyDescent="0.25">
      <c r="A258" s="923">
        <v>1001827327</v>
      </c>
      <c r="B258" s="924" t="s">
        <v>901</v>
      </c>
      <c r="C258" s="924" t="s">
        <v>887</v>
      </c>
      <c r="D258" s="926">
        <v>580215333</v>
      </c>
      <c r="E258" s="926">
        <v>40000564</v>
      </c>
      <c r="F258" s="926" t="s">
        <v>371</v>
      </c>
      <c r="G258" s="924">
        <v>2025</v>
      </c>
      <c r="H258" s="925">
        <v>295000</v>
      </c>
      <c r="I258" s="925">
        <v>0</v>
      </c>
      <c r="J258" s="924" t="s">
        <v>592</v>
      </c>
      <c r="K258" s="924" t="s">
        <v>593</v>
      </c>
    </row>
    <row r="259" spans="1:11" x14ac:dyDescent="0.25">
      <c r="A259" s="923">
        <v>1001827328</v>
      </c>
      <c r="B259" s="924" t="s">
        <v>902</v>
      </c>
      <c r="C259" s="924" t="s">
        <v>854</v>
      </c>
      <c r="D259" s="926">
        <v>580215333</v>
      </c>
      <c r="E259" s="926">
        <v>40000564</v>
      </c>
      <c r="F259" s="926" t="s">
        <v>371</v>
      </c>
      <c r="G259" s="924">
        <v>2025</v>
      </c>
      <c r="H259" s="925">
        <v>295000</v>
      </c>
      <c r="I259" s="925">
        <v>0</v>
      </c>
      <c r="J259" s="924" t="s">
        <v>592</v>
      </c>
      <c r="K259" s="924" t="s">
        <v>593</v>
      </c>
    </row>
    <row r="260" spans="1:11" x14ac:dyDescent="0.25">
      <c r="A260" s="923">
        <v>1001827329</v>
      </c>
      <c r="B260" s="924" t="s">
        <v>489</v>
      </c>
      <c r="C260" s="924" t="s">
        <v>854</v>
      </c>
      <c r="D260" s="926">
        <v>580215333</v>
      </c>
      <c r="E260" s="926">
        <v>40000564</v>
      </c>
      <c r="F260" s="926" t="s">
        <v>371</v>
      </c>
      <c r="G260" s="924">
        <v>2025</v>
      </c>
      <c r="H260" s="925">
        <v>295000</v>
      </c>
      <c r="I260" s="925">
        <v>0</v>
      </c>
      <c r="J260" s="924" t="s">
        <v>592</v>
      </c>
      <c r="K260" s="924" t="s">
        <v>593</v>
      </c>
    </row>
    <row r="261" spans="1:11" x14ac:dyDescent="0.25">
      <c r="A261" s="923">
        <v>1001827330</v>
      </c>
      <c r="B261" s="924" t="s">
        <v>903</v>
      </c>
      <c r="C261" s="924" t="s">
        <v>887</v>
      </c>
      <c r="D261" s="926">
        <v>580215333</v>
      </c>
      <c r="E261" s="926">
        <v>40000564</v>
      </c>
      <c r="F261" s="926" t="s">
        <v>371</v>
      </c>
      <c r="G261" s="924">
        <v>2025</v>
      </c>
      <c r="H261" s="925">
        <v>295000</v>
      </c>
      <c r="I261" s="925">
        <v>0</v>
      </c>
      <c r="J261" s="924" t="s">
        <v>592</v>
      </c>
      <c r="K261" s="924" t="s">
        <v>593</v>
      </c>
    </row>
    <row r="262" spans="1:11" x14ac:dyDescent="0.25">
      <c r="A262" s="923">
        <v>1001827331</v>
      </c>
      <c r="B262" s="924" t="s">
        <v>497</v>
      </c>
      <c r="C262" s="924" t="s">
        <v>854</v>
      </c>
      <c r="D262" s="926">
        <v>580215333</v>
      </c>
      <c r="E262" s="926">
        <v>40000564</v>
      </c>
      <c r="F262" s="926" t="s">
        <v>371</v>
      </c>
      <c r="G262" s="924">
        <v>2025</v>
      </c>
      <c r="H262" s="925">
        <v>295000</v>
      </c>
      <c r="I262" s="925">
        <v>0</v>
      </c>
      <c r="J262" s="924" t="s">
        <v>592</v>
      </c>
      <c r="K262" s="924" t="s">
        <v>593</v>
      </c>
    </row>
    <row r="263" spans="1:11" x14ac:dyDescent="0.25">
      <c r="A263" s="923">
        <v>1001827332</v>
      </c>
      <c r="B263" s="924" t="s">
        <v>490</v>
      </c>
      <c r="C263" s="924" t="s">
        <v>854</v>
      </c>
      <c r="D263" s="926">
        <v>580215333</v>
      </c>
      <c r="E263" s="926">
        <v>40000564</v>
      </c>
      <c r="F263" s="926" t="s">
        <v>371</v>
      </c>
      <c r="G263" s="924">
        <v>2025</v>
      </c>
      <c r="H263" s="925">
        <v>295000</v>
      </c>
      <c r="I263" s="925">
        <v>0</v>
      </c>
      <c r="J263" s="924" t="s">
        <v>592</v>
      </c>
      <c r="K263" s="924" t="s">
        <v>593</v>
      </c>
    </row>
    <row r="264" spans="1:11" x14ac:dyDescent="0.25">
      <c r="A264" s="923">
        <v>1001827333</v>
      </c>
      <c r="B264" s="924" t="s">
        <v>904</v>
      </c>
      <c r="C264" s="924" t="s">
        <v>854</v>
      </c>
      <c r="D264" s="926">
        <v>580215333</v>
      </c>
      <c r="E264" s="926">
        <v>40000564</v>
      </c>
      <c r="F264" s="926" t="s">
        <v>371</v>
      </c>
      <c r="G264" s="924">
        <v>2025</v>
      </c>
      <c r="H264" s="925">
        <v>295000</v>
      </c>
      <c r="I264" s="925">
        <v>0</v>
      </c>
      <c r="J264" s="924" t="s">
        <v>592</v>
      </c>
      <c r="K264" s="924" t="s">
        <v>593</v>
      </c>
    </row>
    <row r="265" spans="1:11" x14ac:dyDescent="0.25">
      <c r="A265" s="923">
        <v>1001827334</v>
      </c>
      <c r="B265" s="924" t="s">
        <v>683</v>
      </c>
      <c r="C265" s="924" t="s">
        <v>854</v>
      </c>
      <c r="D265" s="926">
        <v>580215333</v>
      </c>
      <c r="E265" s="926">
        <v>40000564</v>
      </c>
      <c r="F265" s="926" t="s">
        <v>371</v>
      </c>
      <c r="G265" s="924">
        <v>2025</v>
      </c>
      <c r="H265" s="925">
        <v>295000</v>
      </c>
      <c r="I265" s="925">
        <v>0</v>
      </c>
      <c r="J265" s="924" t="s">
        <v>592</v>
      </c>
      <c r="K265" s="924" t="s">
        <v>593</v>
      </c>
    </row>
    <row r="266" spans="1:11" x14ac:dyDescent="0.25">
      <c r="A266" s="923">
        <v>1001827335</v>
      </c>
      <c r="B266" s="924" t="s">
        <v>684</v>
      </c>
      <c r="C266" s="924" t="s">
        <v>854</v>
      </c>
      <c r="D266" s="926">
        <v>580215333</v>
      </c>
      <c r="E266" s="926">
        <v>40000564</v>
      </c>
      <c r="F266" s="926" t="s">
        <v>371</v>
      </c>
      <c r="G266" s="924">
        <v>2025</v>
      </c>
      <c r="H266" s="925">
        <v>295000</v>
      </c>
      <c r="I266" s="925">
        <v>0</v>
      </c>
      <c r="J266" s="924" t="s">
        <v>592</v>
      </c>
      <c r="K266" s="924" t="s">
        <v>593</v>
      </c>
    </row>
    <row r="267" spans="1:11" x14ac:dyDescent="0.25">
      <c r="A267" s="923">
        <v>1001827336</v>
      </c>
      <c r="B267" s="924" t="s">
        <v>514</v>
      </c>
      <c r="C267" s="924" t="s">
        <v>854</v>
      </c>
      <c r="D267" s="926">
        <v>580215333</v>
      </c>
      <c r="E267" s="926">
        <v>40000564</v>
      </c>
      <c r="F267" s="926" t="s">
        <v>371</v>
      </c>
      <c r="G267" s="924">
        <v>2025</v>
      </c>
      <c r="H267" s="925">
        <v>295000</v>
      </c>
      <c r="I267" s="925">
        <v>0</v>
      </c>
      <c r="J267" s="924" t="s">
        <v>592</v>
      </c>
      <c r="K267" s="924" t="s">
        <v>593</v>
      </c>
    </row>
    <row r="268" spans="1:11" x14ac:dyDescent="0.25">
      <c r="A268" s="923">
        <v>1001827337</v>
      </c>
      <c r="B268" s="924" t="s">
        <v>492</v>
      </c>
      <c r="C268" s="924" t="s">
        <v>854</v>
      </c>
      <c r="D268" s="926">
        <v>580215333</v>
      </c>
      <c r="E268" s="926">
        <v>40000564</v>
      </c>
      <c r="F268" s="926" t="s">
        <v>371</v>
      </c>
      <c r="G268" s="924">
        <v>2025</v>
      </c>
      <c r="H268" s="925">
        <v>295000</v>
      </c>
      <c r="I268" s="925">
        <v>0</v>
      </c>
      <c r="J268" s="924" t="s">
        <v>592</v>
      </c>
      <c r="K268" s="924" t="s">
        <v>593</v>
      </c>
    </row>
    <row r="269" spans="1:11" x14ac:dyDescent="0.25">
      <c r="A269" s="923">
        <v>1001827338</v>
      </c>
      <c r="B269" s="924" t="s">
        <v>515</v>
      </c>
      <c r="C269" s="924" t="s">
        <v>854</v>
      </c>
      <c r="D269" s="926">
        <v>580215333</v>
      </c>
      <c r="E269" s="926">
        <v>40000564</v>
      </c>
      <c r="F269" s="926" t="s">
        <v>371</v>
      </c>
      <c r="G269" s="924">
        <v>2025</v>
      </c>
      <c r="H269" s="925">
        <v>295000</v>
      </c>
      <c r="I269" s="925">
        <v>0</v>
      </c>
      <c r="J269" s="924" t="s">
        <v>592</v>
      </c>
      <c r="K269" s="924" t="s">
        <v>593</v>
      </c>
    </row>
    <row r="270" spans="1:11" x14ac:dyDescent="0.25">
      <c r="A270" s="923">
        <v>1001827339</v>
      </c>
      <c r="B270" s="924" t="s">
        <v>493</v>
      </c>
      <c r="C270" s="924" t="s">
        <v>854</v>
      </c>
      <c r="D270" s="926">
        <v>580215333</v>
      </c>
      <c r="E270" s="926">
        <v>40000564</v>
      </c>
      <c r="F270" s="926" t="s">
        <v>371</v>
      </c>
      <c r="G270" s="924">
        <v>2025</v>
      </c>
      <c r="H270" s="925">
        <v>295000</v>
      </c>
      <c r="I270" s="925">
        <v>0</v>
      </c>
      <c r="J270" s="924" t="s">
        <v>592</v>
      </c>
      <c r="K270" s="924" t="s">
        <v>593</v>
      </c>
    </row>
    <row r="271" spans="1:11" x14ac:dyDescent="0.25">
      <c r="A271" s="923">
        <v>1001827340</v>
      </c>
      <c r="B271" s="924" t="s">
        <v>531</v>
      </c>
      <c r="C271" s="924" t="s">
        <v>854</v>
      </c>
      <c r="D271" s="926">
        <v>580215333</v>
      </c>
      <c r="E271" s="926">
        <v>40000564</v>
      </c>
      <c r="F271" s="926" t="s">
        <v>371</v>
      </c>
      <c r="G271" s="924">
        <v>2025</v>
      </c>
      <c r="H271" s="925">
        <v>295000</v>
      </c>
      <c r="I271" s="925">
        <v>0</v>
      </c>
      <c r="J271" s="924" t="s">
        <v>592</v>
      </c>
      <c r="K271" s="924" t="s">
        <v>593</v>
      </c>
    </row>
    <row r="272" spans="1:11" x14ac:dyDescent="0.25">
      <c r="A272" s="923">
        <v>1001827341</v>
      </c>
      <c r="B272" s="924" t="s">
        <v>494</v>
      </c>
      <c r="C272" s="924" t="s">
        <v>854</v>
      </c>
      <c r="D272" s="926">
        <v>580215333</v>
      </c>
      <c r="E272" s="926">
        <v>40000564</v>
      </c>
      <c r="F272" s="926" t="s">
        <v>371</v>
      </c>
      <c r="G272" s="924">
        <v>2025</v>
      </c>
      <c r="H272" s="925">
        <v>295000</v>
      </c>
      <c r="I272" s="925">
        <v>0</v>
      </c>
      <c r="J272" s="924" t="s">
        <v>592</v>
      </c>
      <c r="K272" s="924" t="s">
        <v>593</v>
      </c>
    </row>
    <row r="273" spans="1:11" x14ac:dyDescent="0.25">
      <c r="A273" s="923">
        <v>1001827342</v>
      </c>
      <c r="B273" s="924" t="s">
        <v>495</v>
      </c>
      <c r="C273" s="924" t="s">
        <v>854</v>
      </c>
      <c r="D273" s="926">
        <v>580215333</v>
      </c>
      <c r="E273" s="926">
        <v>40000564</v>
      </c>
      <c r="F273" s="926" t="s">
        <v>371</v>
      </c>
      <c r="G273" s="924">
        <v>2025</v>
      </c>
      <c r="H273" s="925">
        <v>295000</v>
      </c>
      <c r="I273" s="925">
        <v>0</v>
      </c>
      <c r="J273" s="924" t="s">
        <v>592</v>
      </c>
      <c r="K273" s="924" t="s">
        <v>593</v>
      </c>
    </row>
    <row r="274" spans="1:11" x14ac:dyDescent="0.25">
      <c r="A274" s="923">
        <v>1001827343</v>
      </c>
      <c r="B274" s="924" t="s">
        <v>496</v>
      </c>
      <c r="C274" s="924" t="s">
        <v>854</v>
      </c>
      <c r="D274" s="926">
        <v>580215333</v>
      </c>
      <c r="E274" s="926">
        <v>40000564</v>
      </c>
      <c r="F274" s="926" t="s">
        <v>371</v>
      </c>
      <c r="G274" s="924">
        <v>2025</v>
      </c>
      <c r="H274" s="925">
        <v>295000</v>
      </c>
      <c r="I274" s="925">
        <v>0</v>
      </c>
      <c r="J274" s="924" t="s">
        <v>592</v>
      </c>
      <c r="K274" s="924" t="s">
        <v>593</v>
      </c>
    </row>
    <row r="275" spans="1:11" x14ac:dyDescent="0.25">
      <c r="A275" s="923">
        <v>1001827344</v>
      </c>
      <c r="B275" s="924" t="s">
        <v>905</v>
      </c>
      <c r="C275" s="924" t="s">
        <v>854</v>
      </c>
      <c r="D275" s="926">
        <v>580215333</v>
      </c>
      <c r="E275" s="926">
        <v>40000564</v>
      </c>
      <c r="F275" s="926" t="s">
        <v>371</v>
      </c>
      <c r="G275" s="924">
        <v>2025</v>
      </c>
      <c r="H275" s="925">
        <v>295000</v>
      </c>
      <c r="I275" s="925">
        <v>0</v>
      </c>
      <c r="J275" s="924" t="s">
        <v>592</v>
      </c>
      <c r="K275" s="924" t="s">
        <v>593</v>
      </c>
    </row>
    <row r="276" spans="1:11" x14ac:dyDescent="0.25">
      <c r="A276" s="923">
        <v>1001827345</v>
      </c>
      <c r="B276" s="924" t="s">
        <v>906</v>
      </c>
      <c r="C276" s="924" t="s">
        <v>887</v>
      </c>
      <c r="D276" s="926">
        <v>580215333</v>
      </c>
      <c r="E276" s="926">
        <v>40000564</v>
      </c>
      <c r="F276" s="926" t="s">
        <v>371</v>
      </c>
      <c r="G276" s="924">
        <v>2025</v>
      </c>
      <c r="H276" s="925">
        <v>295000</v>
      </c>
      <c r="I276" s="925">
        <v>0</v>
      </c>
      <c r="J276" s="924" t="s">
        <v>592</v>
      </c>
      <c r="K276" s="924" t="s">
        <v>593</v>
      </c>
    </row>
    <row r="277" spans="1:11" x14ac:dyDescent="0.25">
      <c r="A277" s="923">
        <v>1001827346</v>
      </c>
      <c r="B277" s="924" t="s">
        <v>907</v>
      </c>
      <c r="C277" s="924" t="s">
        <v>887</v>
      </c>
      <c r="D277" s="926">
        <v>580215333</v>
      </c>
      <c r="E277" s="926">
        <v>40000564</v>
      </c>
      <c r="F277" s="926" t="s">
        <v>371</v>
      </c>
      <c r="G277" s="924">
        <v>2025</v>
      </c>
      <c r="H277" s="925">
        <v>295000</v>
      </c>
      <c r="I277" s="925">
        <v>0</v>
      </c>
      <c r="J277" s="924" t="s">
        <v>592</v>
      </c>
      <c r="K277" s="924" t="s">
        <v>593</v>
      </c>
    </row>
    <row r="278" spans="1:11" x14ac:dyDescent="0.25">
      <c r="A278" s="923">
        <v>1001827347</v>
      </c>
      <c r="B278" s="924" t="s">
        <v>516</v>
      </c>
      <c r="C278" s="924" t="s">
        <v>854</v>
      </c>
      <c r="D278" s="926">
        <v>580215333</v>
      </c>
      <c r="E278" s="926">
        <v>40000564</v>
      </c>
      <c r="F278" s="926" t="s">
        <v>371</v>
      </c>
      <c r="G278" s="924">
        <v>2025</v>
      </c>
      <c r="H278" s="925">
        <v>295000</v>
      </c>
      <c r="I278" s="925">
        <v>0</v>
      </c>
      <c r="J278" s="924" t="s">
        <v>592</v>
      </c>
      <c r="K278" s="924" t="s">
        <v>593</v>
      </c>
    </row>
    <row r="279" spans="1:11" x14ac:dyDescent="0.25">
      <c r="A279" s="923">
        <v>1001827348</v>
      </c>
      <c r="B279" s="924" t="s">
        <v>908</v>
      </c>
      <c r="C279" s="924" t="s">
        <v>887</v>
      </c>
      <c r="D279" s="926">
        <v>580215333</v>
      </c>
      <c r="E279" s="926">
        <v>40000564</v>
      </c>
      <c r="F279" s="926" t="s">
        <v>371</v>
      </c>
      <c r="G279" s="924">
        <v>2025</v>
      </c>
      <c r="H279" s="925">
        <v>295000</v>
      </c>
      <c r="I279" s="925">
        <v>0</v>
      </c>
      <c r="J279" s="924" t="s">
        <v>592</v>
      </c>
      <c r="K279" s="924" t="s">
        <v>593</v>
      </c>
    </row>
    <row r="280" spans="1:11" x14ac:dyDescent="0.25">
      <c r="A280" s="923">
        <v>1001827350</v>
      </c>
      <c r="B280" s="924" t="s">
        <v>909</v>
      </c>
      <c r="C280" s="924" t="s">
        <v>887</v>
      </c>
      <c r="D280" s="926">
        <v>580215333</v>
      </c>
      <c r="E280" s="926">
        <v>40000564</v>
      </c>
      <c r="F280" s="926" t="s">
        <v>371</v>
      </c>
      <c r="G280" s="924">
        <v>2025</v>
      </c>
      <c r="H280" s="925">
        <v>295000</v>
      </c>
      <c r="I280" s="925">
        <v>0</v>
      </c>
      <c r="J280" s="924" t="s">
        <v>592</v>
      </c>
      <c r="K280" s="924" t="s">
        <v>593</v>
      </c>
    </row>
    <row r="281" spans="1:11" x14ac:dyDescent="0.25">
      <c r="A281" s="923">
        <v>1001827351</v>
      </c>
      <c r="B281" s="924" t="s">
        <v>498</v>
      </c>
      <c r="C281" s="924" t="s">
        <v>854</v>
      </c>
      <c r="D281" s="926">
        <v>580215333</v>
      </c>
      <c r="E281" s="926">
        <v>40000564</v>
      </c>
      <c r="F281" s="926" t="s">
        <v>371</v>
      </c>
      <c r="G281" s="924">
        <v>2025</v>
      </c>
      <c r="H281" s="925">
        <v>295000</v>
      </c>
      <c r="I281" s="925">
        <v>0</v>
      </c>
      <c r="J281" s="924" t="s">
        <v>592</v>
      </c>
      <c r="K281" s="924" t="s">
        <v>593</v>
      </c>
    </row>
    <row r="282" spans="1:11" x14ac:dyDescent="0.25">
      <c r="A282" s="923">
        <v>1001827353</v>
      </c>
      <c r="B282" s="924" t="s">
        <v>499</v>
      </c>
      <c r="C282" s="924" t="s">
        <v>854</v>
      </c>
      <c r="D282" s="926">
        <v>580215333</v>
      </c>
      <c r="E282" s="926">
        <v>40000564</v>
      </c>
      <c r="F282" s="926" t="s">
        <v>371</v>
      </c>
      <c r="G282" s="924">
        <v>2025</v>
      </c>
      <c r="H282" s="925">
        <v>295000</v>
      </c>
      <c r="I282" s="925">
        <v>0</v>
      </c>
      <c r="J282" s="924" t="s">
        <v>592</v>
      </c>
      <c r="K282" s="924" t="s">
        <v>593</v>
      </c>
    </row>
    <row r="283" spans="1:11" x14ac:dyDescent="0.25">
      <c r="A283" s="923">
        <v>1001827355</v>
      </c>
      <c r="B283" s="924" t="s">
        <v>910</v>
      </c>
      <c r="C283" s="924" t="s">
        <v>887</v>
      </c>
      <c r="D283" s="926">
        <v>580215333</v>
      </c>
      <c r="E283" s="926">
        <v>40000564</v>
      </c>
      <c r="F283" s="926" t="s">
        <v>371</v>
      </c>
      <c r="G283" s="924">
        <v>2025</v>
      </c>
      <c r="H283" s="925">
        <v>295000</v>
      </c>
      <c r="I283" s="925">
        <v>0</v>
      </c>
      <c r="J283" s="924" t="s">
        <v>592</v>
      </c>
      <c r="K283" s="924" t="s">
        <v>593</v>
      </c>
    </row>
    <row r="284" spans="1:11" x14ac:dyDescent="0.25">
      <c r="A284" s="923">
        <v>1001827356</v>
      </c>
      <c r="B284" s="924" t="s">
        <v>911</v>
      </c>
      <c r="C284" s="924" t="s">
        <v>854</v>
      </c>
      <c r="D284" s="926">
        <v>580215333</v>
      </c>
      <c r="E284" s="926">
        <v>40000564</v>
      </c>
      <c r="F284" s="926" t="s">
        <v>371</v>
      </c>
      <c r="G284" s="924">
        <v>2025</v>
      </c>
      <c r="H284" s="925">
        <v>295000</v>
      </c>
      <c r="I284" s="925">
        <v>0</v>
      </c>
      <c r="J284" s="924" t="s">
        <v>592</v>
      </c>
      <c r="K284" s="924" t="s">
        <v>593</v>
      </c>
    </row>
    <row r="285" spans="1:11" x14ac:dyDescent="0.25">
      <c r="A285" s="923">
        <v>1001827357</v>
      </c>
      <c r="B285" s="924" t="s">
        <v>500</v>
      </c>
      <c r="C285" s="924" t="s">
        <v>854</v>
      </c>
      <c r="D285" s="926">
        <v>580215333</v>
      </c>
      <c r="E285" s="926">
        <v>40000564</v>
      </c>
      <c r="F285" s="926" t="s">
        <v>371</v>
      </c>
      <c r="G285" s="924">
        <v>2025</v>
      </c>
      <c r="H285" s="925">
        <v>295000</v>
      </c>
      <c r="I285" s="925">
        <v>0</v>
      </c>
      <c r="J285" s="924" t="s">
        <v>592</v>
      </c>
      <c r="K285" s="924" t="s">
        <v>593</v>
      </c>
    </row>
    <row r="286" spans="1:11" x14ac:dyDescent="0.25">
      <c r="A286" s="923">
        <v>1001827358</v>
      </c>
      <c r="B286" s="924" t="s">
        <v>912</v>
      </c>
      <c r="C286" s="924" t="s">
        <v>887</v>
      </c>
      <c r="D286" s="926">
        <v>580215333</v>
      </c>
      <c r="E286" s="926">
        <v>40000564</v>
      </c>
      <c r="F286" s="926" t="s">
        <v>371</v>
      </c>
      <c r="G286" s="924">
        <v>2025</v>
      </c>
      <c r="H286" s="925">
        <v>295000</v>
      </c>
      <c r="I286" s="925">
        <v>0</v>
      </c>
      <c r="J286" s="924" t="s">
        <v>592</v>
      </c>
      <c r="K286" s="924" t="s">
        <v>593</v>
      </c>
    </row>
    <row r="287" spans="1:11" x14ac:dyDescent="0.25">
      <c r="A287" s="923">
        <v>1001827359</v>
      </c>
      <c r="B287" s="924" t="s">
        <v>501</v>
      </c>
      <c r="C287" s="924" t="s">
        <v>854</v>
      </c>
      <c r="D287" s="926">
        <v>580215333</v>
      </c>
      <c r="E287" s="926">
        <v>40000564</v>
      </c>
      <c r="F287" s="926" t="s">
        <v>371</v>
      </c>
      <c r="G287" s="924">
        <v>2025</v>
      </c>
      <c r="H287" s="925">
        <v>295000</v>
      </c>
      <c r="I287" s="925">
        <v>0</v>
      </c>
      <c r="J287" s="924" t="s">
        <v>592</v>
      </c>
      <c r="K287" s="924" t="s">
        <v>593</v>
      </c>
    </row>
    <row r="288" spans="1:11" x14ac:dyDescent="0.25">
      <c r="A288" s="923">
        <v>1001827360</v>
      </c>
      <c r="B288" s="924" t="s">
        <v>513</v>
      </c>
      <c r="C288" s="924" t="s">
        <v>854</v>
      </c>
      <c r="D288" s="926">
        <v>580215333</v>
      </c>
      <c r="E288" s="926">
        <v>40000564</v>
      </c>
      <c r="F288" s="926" t="s">
        <v>371</v>
      </c>
      <c r="G288" s="924">
        <v>2025</v>
      </c>
      <c r="H288" s="925">
        <v>295000</v>
      </c>
      <c r="I288" s="925">
        <v>0</v>
      </c>
      <c r="J288" s="924" t="s">
        <v>592</v>
      </c>
      <c r="K288" s="924" t="s">
        <v>593</v>
      </c>
    </row>
    <row r="289" spans="1:11" x14ac:dyDescent="0.25">
      <c r="A289" s="923">
        <v>1001827361</v>
      </c>
      <c r="B289" s="924" t="s">
        <v>913</v>
      </c>
      <c r="C289" s="924" t="s">
        <v>854</v>
      </c>
      <c r="D289" s="926">
        <v>580215333</v>
      </c>
      <c r="E289" s="926">
        <v>40000564</v>
      </c>
      <c r="F289" s="926" t="s">
        <v>371</v>
      </c>
      <c r="G289" s="924">
        <v>2025</v>
      </c>
      <c r="H289" s="925">
        <v>295000</v>
      </c>
      <c r="I289" s="925">
        <v>0</v>
      </c>
      <c r="J289" s="924" t="s">
        <v>592</v>
      </c>
      <c r="K289" s="924" t="s">
        <v>593</v>
      </c>
    </row>
    <row r="290" spans="1:11" x14ac:dyDescent="0.25">
      <c r="A290" s="923">
        <v>1001827362</v>
      </c>
      <c r="B290" s="924" t="s">
        <v>502</v>
      </c>
      <c r="C290" s="924" t="s">
        <v>854</v>
      </c>
      <c r="D290" s="926">
        <v>580215333</v>
      </c>
      <c r="E290" s="926">
        <v>40000564</v>
      </c>
      <c r="F290" s="926" t="s">
        <v>371</v>
      </c>
      <c r="G290" s="924">
        <v>2025</v>
      </c>
      <c r="H290" s="925">
        <v>295000</v>
      </c>
      <c r="I290" s="925">
        <v>0</v>
      </c>
      <c r="J290" s="924" t="s">
        <v>592</v>
      </c>
      <c r="K290" s="924" t="s">
        <v>593</v>
      </c>
    </row>
    <row r="291" spans="1:11" x14ac:dyDescent="0.25">
      <c r="A291" s="923">
        <v>1001827363</v>
      </c>
      <c r="B291" s="924" t="s">
        <v>914</v>
      </c>
      <c r="C291" s="924" t="s">
        <v>854</v>
      </c>
      <c r="D291" s="926">
        <v>580215333</v>
      </c>
      <c r="E291" s="926">
        <v>40000564</v>
      </c>
      <c r="F291" s="926" t="s">
        <v>371</v>
      </c>
      <c r="G291" s="924">
        <v>2025</v>
      </c>
      <c r="H291" s="925">
        <v>295000</v>
      </c>
      <c r="I291" s="925">
        <v>0</v>
      </c>
      <c r="J291" s="924" t="s">
        <v>592</v>
      </c>
      <c r="K291" s="924" t="s">
        <v>593</v>
      </c>
    </row>
    <row r="292" spans="1:11" x14ac:dyDescent="0.25">
      <c r="A292" s="923">
        <v>1001827366</v>
      </c>
      <c r="B292" s="924" t="s">
        <v>915</v>
      </c>
      <c r="C292" s="924" t="s">
        <v>613</v>
      </c>
      <c r="D292" s="926">
        <v>580215333</v>
      </c>
      <c r="E292" s="926">
        <v>40000564</v>
      </c>
      <c r="F292" s="926" t="s">
        <v>371</v>
      </c>
      <c r="G292" s="924">
        <v>2025</v>
      </c>
      <c r="H292" s="925">
        <v>295000</v>
      </c>
      <c r="I292" s="925">
        <v>0</v>
      </c>
      <c r="J292" s="924" t="s">
        <v>592</v>
      </c>
      <c r="K292" s="924" t="s">
        <v>593</v>
      </c>
    </row>
    <row r="293" spans="1:11" x14ac:dyDescent="0.25">
      <c r="A293" s="923">
        <v>1001827369</v>
      </c>
      <c r="B293" s="924" t="s">
        <v>916</v>
      </c>
      <c r="C293" s="924" t="s">
        <v>854</v>
      </c>
      <c r="D293" s="926">
        <v>580215333</v>
      </c>
      <c r="E293" s="926">
        <v>40000564</v>
      </c>
      <c r="F293" s="926" t="s">
        <v>371</v>
      </c>
      <c r="G293" s="924">
        <v>2025</v>
      </c>
      <c r="H293" s="925">
        <v>295000</v>
      </c>
      <c r="I293" s="925">
        <v>0</v>
      </c>
      <c r="J293" s="924" t="s">
        <v>592</v>
      </c>
      <c r="K293" s="924" t="s">
        <v>593</v>
      </c>
    </row>
    <row r="294" spans="1:11" x14ac:dyDescent="0.25">
      <c r="A294" s="923">
        <v>1001827443</v>
      </c>
      <c r="B294" s="924" t="s">
        <v>626</v>
      </c>
      <c r="C294" s="924" t="s">
        <v>887</v>
      </c>
      <c r="D294" s="926">
        <v>580499143</v>
      </c>
      <c r="E294" s="926">
        <v>41102088</v>
      </c>
      <c r="F294" s="926" t="s">
        <v>627</v>
      </c>
      <c r="G294" s="924">
        <v>2025</v>
      </c>
      <c r="H294" s="925">
        <v>60000</v>
      </c>
      <c r="I294" s="925">
        <v>0</v>
      </c>
      <c r="J294" s="924" t="s">
        <v>592</v>
      </c>
      <c r="K294" s="924" t="s">
        <v>593</v>
      </c>
    </row>
    <row r="295" spans="1:11" x14ac:dyDescent="0.25">
      <c r="A295" s="923">
        <v>1001827666</v>
      </c>
      <c r="B295" s="924" t="s">
        <v>917</v>
      </c>
      <c r="C295" s="924" t="s">
        <v>887</v>
      </c>
      <c r="D295" s="926">
        <v>580215333</v>
      </c>
      <c r="E295" s="926">
        <v>40000564</v>
      </c>
      <c r="F295" s="926" t="s">
        <v>371</v>
      </c>
      <c r="G295" s="924">
        <v>2025</v>
      </c>
      <c r="H295" s="925">
        <v>295000</v>
      </c>
      <c r="I295" s="925">
        <v>0</v>
      </c>
      <c r="J295" s="924" t="s">
        <v>592</v>
      </c>
      <c r="K295" s="924" t="s">
        <v>593</v>
      </c>
    </row>
    <row r="296" spans="1:11" x14ac:dyDescent="0.25">
      <c r="A296" s="923">
        <v>1001827668</v>
      </c>
      <c r="B296" s="924" t="s">
        <v>546</v>
      </c>
      <c r="C296" s="924" t="s">
        <v>854</v>
      </c>
      <c r="D296" s="926">
        <v>580215333</v>
      </c>
      <c r="E296" s="926">
        <v>40000564</v>
      </c>
      <c r="F296" s="926" t="s">
        <v>371</v>
      </c>
      <c r="G296" s="924">
        <v>2025</v>
      </c>
      <c r="H296" s="925">
        <v>295000</v>
      </c>
      <c r="I296" s="925">
        <v>0</v>
      </c>
      <c r="J296" s="924" t="s">
        <v>592</v>
      </c>
      <c r="K296" s="924" t="s">
        <v>593</v>
      </c>
    </row>
    <row r="297" spans="1:11" x14ac:dyDescent="0.25">
      <c r="A297" s="923">
        <v>1001827669</v>
      </c>
      <c r="B297" s="924" t="s">
        <v>918</v>
      </c>
      <c r="C297" s="924" t="s">
        <v>887</v>
      </c>
      <c r="D297" s="926">
        <v>580215333</v>
      </c>
      <c r="E297" s="926">
        <v>40000564</v>
      </c>
      <c r="F297" s="926" t="s">
        <v>371</v>
      </c>
      <c r="G297" s="924">
        <v>2025</v>
      </c>
      <c r="H297" s="925">
        <v>295000</v>
      </c>
      <c r="I297" s="925">
        <v>0</v>
      </c>
      <c r="J297" s="924" t="s">
        <v>592</v>
      </c>
      <c r="K297" s="924" t="s">
        <v>593</v>
      </c>
    </row>
    <row r="298" spans="1:11" x14ac:dyDescent="0.25">
      <c r="A298" s="923">
        <v>1001827680</v>
      </c>
      <c r="B298" s="924" t="s">
        <v>713</v>
      </c>
      <c r="C298" s="924" t="s">
        <v>854</v>
      </c>
      <c r="D298" s="926">
        <v>580215333</v>
      </c>
      <c r="E298" s="926">
        <v>40000564</v>
      </c>
      <c r="F298" s="926" t="s">
        <v>371</v>
      </c>
      <c r="G298" s="924">
        <v>2025</v>
      </c>
      <c r="H298" s="925">
        <v>295000</v>
      </c>
      <c r="I298" s="925">
        <v>0</v>
      </c>
      <c r="J298" s="924" t="s">
        <v>592</v>
      </c>
      <c r="K298" s="924" t="s">
        <v>593</v>
      </c>
    </row>
    <row r="299" spans="1:11" x14ac:dyDescent="0.25">
      <c r="A299" s="923">
        <v>1001827684</v>
      </c>
      <c r="B299" s="924" t="s">
        <v>919</v>
      </c>
      <c r="C299" s="924" t="s">
        <v>854</v>
      </c>
      <c r="D299" s="926">
        <v>580215333</v>
      </c>
      <c r="E299" s="926">
        <v>40000564</v>
      </c>
      <c r="F299" s="926" t="s">
        <v>371</v>
      </c>
      <c r="G299" s="924">
        <v>2025</v>
      </c>
      <c r="H299" s="925">
        <v>295000</v>
      </c>
      <c r="I299" s="925">
        <v>0</v>
      </c>
      <c r="J299" s="924" t="s">
        <v>592</v>
      </c>
      <c r="K299" s="924" t="s">
        <v>593</v>
      </c>
    </row>
    <row r="300" spans="1:11" x14ac:dyDescent="0.25">
      <c r="A300" s="923">
        <v>1001827685</v>
      </c>
      <c r="B300" s="924" t="s">
        <v>920</v>
      </c>
      <c r="C300" s="924" t="s">
        <v>854</v>
      </c>
      <c r="D300" s="926">
        <v>580215333</v>
      </c>
      <c r="E300" s="926">
        <v>40000564</v>
      </c>
      <c r="F300" s="926" t="s">
        <v>371</v>
      </c>
      <c r="G300" s="924">
        <v>2025</v>
      </c>
      <c r="H300" s="925">
        <v>295000</v>
      </c>
      <c r="I300" s="925">
        <v>0</v>
      </c>
      <c r="J300" s="924" t="s">
        <v>592</v>
      </c>
      <c r="K300" s="924" t="s">
        <v>593</v>
      </c>
    </row>
    <row r="301" spans="1:11" x14ac:dyDescent="0.25">
      <c r="A301" s="923">
        <v>1001827686</v>
      </c>
      <c r="B301" s="924" t="s">
        <v>716</v>
      </c>
      <c r="C301" s="924" t="s">
        <v>854</v>
      </c>
      <c r="D301" s="926">
        <v>580215333</v>
      </c>
      <c r="E301" s="926">
        <v>40000564</v>
      </c>
      <c r="F301" s="926" t="s">
        <v>371</v>
      </c>
      <c r="G301" s="924">
        <v>2025</v>
      </c>
      <c r="H301" s="925">
        <v>295000</v>
      </c>
      <c r="I301" s="925">
        <v>0</v>
      </c>
      <c r="J301" s="924" t="s">
        <v>592</v>
      </c>
      <c r="K301" s="924" t="s">
        <v>593</v>
      </c>
    </row>
    <row r="302" spans="1:11" x14ac:dyDescent="0.25">
      <c r="A302" s="923">
        <v>1001827688</v>
      </c>
      <c r="B302" s="924" t="s">
        <v>717</v>
      </c>
      <c r="C302" s="924" t="s">
        <v>854</v>
      </c>
      <c r="D302" s="926">
        <v>580215333</v>
      </c>
      <c r="E302" s="926">
        <v>40000564</v>
      </c>
      <c r="F302" s="926" t="s">
        <v>371</v>
      </c>
      <c r="G302" s="924">
        <v>2025</v>
      </c>
      <c r="H302" s="925">
        <v>295000</v>
      </c>
      <c r="I302" s="925">
        <v>0</v>
      </c>
      <c r="J302" s="924" t="s">
        <v>592</v>
      </c>
      <c r="K302" s="924" t="s">
        <v>593</v>
      </c>
    </row>
    <row r="303" spans="1:11" x14ac:dyDescent="0.25">
      <c r="A303" s="923">
        <v>1001827700</v>
      </c>
      <c r="B303" s="924" t="s">
        <v>718</v>
      </c>
      <c r="C303" s="924" t="s">
        <v>854</v>
      </c>
      <c r="D303" s="926">
        <v>580215333</v>
      </c>
      <c r="E303" s="926">
        <v>40000564</v>
      </c>
      <c r="F303" s="926" t="s">
        <v>371</v>
      </c>
      <c r="G303" s="924">
        <v>2025</v>
      </c>
      <c r="H303" s="925">
        <v>295000</v>
      </c>
      <c r="I303" s="925">
        <v>0</v>
      </c>
      <c r="J303" s="924" t="s">
        <v>592</v>
      </c>
      <c r="K303" s="924" t="s">
        <v>593</v>
      </c>
    </row>
    <row r="304" spans="1:11" x14ac:dyDescent="0.25">
      <c r="A304" s="923">
        <v>1001827701</v>
      </c>
      <c r="B304" s="924" t="s">
        <v>542</v>
      </c>
      <c r="C304" s="924" t="s">
        <v>854</v>
      </c>
      <c r="D304" s="926">
        <v>580215333</v>
      </c>
      <c r="E304" s="926">
        <v>40000564</v>
      </c>
      <c r="F304" s="926" t="s">
        <v>371</v>
      </c>
      <c r="G304" s="924">
        <v>2025</v>
      </c>
      <c r="H304" s="925">
        <v>295000</v>
      </c>
      <c r="I304" s="925">
        <v>0</v>
      </c>
      <c r="J304" s="924" t="s">
        <v>592</v>
      </c>
      <c r="K304" s="924" t="s">
        <v>593</v>
      </c>
    </row>
    <row r="305" spans="1:11" x14ac:dyDescent="0.25">
      <c r="A305" s="923">
        <v>1001827702</v>
      </c>
      <c r="B305" s="924" t="s">
        <v>720</v>
      </c>
      <c r="C305" s="924" t="s">
        <v>854</v>
      </c>
      <c r="D305" s="926">
        <v>580215333</v>
      </c>
      <c r="E305" s="926">
        <v>40000564</v>
      </c>
      <c r="F305" s="926" t="s">
        <v>371</v>
      </c>
      <c r="G305" s="924">
        <v>2025</v>
      </c>
      <c r="H305" s="925">
        <v>295000</v>
      </c>
      <c r="I305" s="925">
        <v>0</v>
      </c>
      <c r="J305" s="924" t="s">
        <v>592</v>
      </c>
      <c r="K305" s="924" t="s">
        <v>593</v>
      </c>
    </row>
    <row r="306" spans="1:11" x14ac:dyDescent="0.25">
      <c r="A306" s="923">
        <v>1001827703</v>
      </c>
      <c r="B306" s="924" t="s">
        <v>723</v>
      </c>
      <c r="C306" s="924" t="s">
        <v>854</v>
      </c>
      <c r="D306" s="926">
        <v>580215333</v>
      </c>
      <c r="E306" s="926">
        <v>40000564</v>
      </c>
      <c r="F306" s="926" t="s">
        <v>371</v>
      </c>
      <c r="G306" s="924">
        <v>2025</v>
      </c>
      <c r="H306" s="925">
        <v>295000</v>
      </c>
      <c r="I306" s="925">
        <v>0</v>
      </c>
      <c r="J306" s="924" t="s">
        <v>592</v>
      </c>
      <c r="K306" s="924" t="s">
        <v>593</v>
      </c>
    </row>
    <row r="307" spans="1:11" x14ac:dyDescent="0.25">
      <c r="A307" s="923">
        <v>1001827704</v>
      </c>
      <c r="B307" s="924" t="s">
        <v>484</v>
      </c>
      <c r="C307" s="924" t="s">
        <v>854</v>
      </c>
      <c r="D307" s="926">
        <v>580215333</v>
      </c>
      <c r="E307" s="926">
        <v>40000564</v>
      </c>
      <c r="F307" s="926" t="s">
        <v>371</v>
      </c>
      <c r="G307" s="924">
        <v>2025</v>
      </c>
      <c r="H307" s="925">
        <v>295000</v>
      </c>
      <c r="I307" s="925">
        <v>0</v>
      </c>
      <c r="J307" s="924" t="s">
        <v>592</v>
      </c>
      <c r="K307" s="924" t="s">
        <v>593</v>
      </c>
    </row>
    <row r="308" spans="1:11" x14ac:dyDescent="0.25">
      <c r="A308" s="923">
        <v>1001827705</v>
      </c>
      <c r="B308" s="924" t="s">
        <v>503</v>
      </c>
      <c r="C308" s="924" t="s">
        <v>854</v>
      </c>
      <c r="D308" s="926">
        <v>580215333</v>
      </c>
      <c r="E308" s="926">
        <v>40000564</v>
      </c>
      <c r="F308" s="926" t="s">
        <v>371</v>
      </c>
      <c r="G308" s="924">
        <v>2025</v>
      </c>
      <c r="H308" s="925">
        <v>295000</v>
      </c>
      <c r="I308" s="925">
        <v>0</v>
      </c>
      <c r="J308" s="924" t="s">
        <v>592</v>
      </c>
      <c r="K308" s="924" t="s">
        <v>593</v>
      </c>
    </row>
    <row r="309" spans="1:11" x14ac:dyDescent="0.25">
      <c r="A309" s="923">
        <v>1001827706</v>
      </c>
      <c r="B309" s="924" t="s">
        <v>726</v>
      </c>
      <c r="C309" s="924" t="s">
        <v>854</v>
      </c>
      <c r="D309" s="926">
        <v>580215333</v>
      </c>
      <c r="E309" s="926">
        <v>40000564</v>
      </c>
      <c r="F309" s="926" t="s">
        <v>371</v>
      </c>
      <c r="G309" s="924">
        <v>2025</v>
      </c>
      <c r="H309" s="925">
        <v>295000</v>
      </c>
      <c r="I309" s="925">
        <v>0</v>
      </c>
      <c r="J309" s="924" t="s">
        <v>592</v>
      </c>
      <c r="K309" s="924" t="s">
        <v>593</v>
      </c>
    </row>
    <row r="310" spans="1:11" x14ac:dyDescent="0.25">
      <c r="A310" s="923">
        <v>1001827708</v>
      </c>
      <c r="B310" s="924" t="s">
        <v>921</v>
      </c>
      <c r="C310" s="924" t="s">
        <v>887</v>
      </c>
      <c r="D310" s="926">
        <v>580215333</v>
      </c>
      <c r="E310" s="926">
        <v>40000564</v>
      </c>
      <c r="F310" s="926" t="s">
        <v>371</v>
      </c>
      <c r="G310" s="924">
        <v>2025</v>
      </c>
      <c r="H310" s="925">
        <v>295000</v>
      </c>
      <c r="I310" s="925">
        <v>0</v>
      </c>
      <c r="J310" s="924" t="s">
        <v>592</v>
      </c>
      <c r="K310" s="924" t="s">
        <v>593</v>
      </c>
    </row>
    <row r="311" spans="1:11" x14ac:dyDescent="0.25">
      <c r="A311" s="923">
        <v>1001827709</v>
      </c>
      <c r="B311" s="924" t="s">
        <v>727</v>
      </c>
      <c r="C311" s="924" t="s">
        <v>1017</v>
      </c>
      <c r="D311" s="926">
        <v>580215333</v>
      </c>
      <c r="E311" s="926">
        <v>40000564</v>
      </c>
      <c r="F311" s="926" t="s">
        <v>371</v>
      </c>
      <c r="G311" s="924">
        <v>2025</v>
      </c>
      <c r="H311" s="925">
        <v>295000</v>
      </c>
      <c r="I311" s="925">
        <v>0</v>
      </c>
      <c r="J311" s="924" t="s">
        <v>592</v>
      </c>
      <c r="K311" s="924" t="s">
        <v>593</v>
      </c>
    </row>
    <row r="312" spans="1:11" x14ac:dyDescent="0.25">
      <c r="A312" s="923">
        <v>1001827710</v>
      </c>
      <c r="B312" s="924" t="s">
        <v>728</v>
      </c>
      <c r="C312" s="924" t="s">
        <v>854</v>
      </c>
      <c r="D312" s="926">
        <v>580215333</v>
      </c>
      <c r="E312" s="926">
        <v>40000564</v>
      </c>
      <c r="F312" s="926" t="s">
        <v>371</v>
      </c>
      <c r="G312" s="924">
        <v>2025</v>
      </c>
      <c r="H312" s="925">
        <v>295000</v>
      </c>
      <c r="I312" s="925">
        <v>0</v>
      </c>
      <c r="J312" s="924" t="s">
        <v>592</v>
      </c>
      <c r="K312" s="924" t="s">
        <v>593</v>
      </c>
    </row>
    <row r="313" spans="1:11" x14ac:dyDescent="0.25">
      <c r="A313" s="923">
        <v>1001827711</v>
      </c>
      <c r="B313" s="924" t="s">
        <v>729</v>
      </c>
      <c r="C313" s="924" t="s">
        <v>854</v>
      </c>
      <c r="D313" s="926">
        <v>580215333</v>
      </c>
      <c r="E313" s="926">
        <v>40000564</v>
      </c>
      <c r="F313" s="926" t="s">
        <v>371</v>
      </c>
      <c r="G313" s="924">
        <v>2025</v>
      </c>
      <c r="H313" s="925">
        <v>295000</v>
      </c>
      <c r="I313" s="925">
        <v>0</v>
      </c>
      <c r="J313" s="924" t="s">
        <v>592</v>
      </c>
      <c r="K313" s="924" t="s">
        <v>593</v>
      </c>
    </row>
    <row r="314" spans="1:11" x14ac:dyDescent="0.25">
      <c r="A314" s="923">
        <v>1001827712</v>
      </c>
      <c r="B314" s="924" t="s">
        <v>517</v>
      </c>
      <c r="C314" s="924" t="s">
        <v>854</v>
      </c>
      <c r="D314" s="926">
        <v>580215333</v>
      </c>
      <c r="E314" s="926">
        <v>40000564</v>
      </c>
      <c r="F314" s="926" t="s">
        <v>371</v>
      </c>
      <c r="G314" s="924">
        <v>2025</v>
      </c>
      <c r="H314" s="925">
        <v>295000</v>
      </c>
      <c r="I314" s="925">
        <v>0</v>
      </c>
      <c r="J314" s="924" t="s">
        <v>592</v>
      </c>
      <c r="K314" s="924" t="s">
        <v>593</v>
      </c>
    </row>
    <row r="315" spans="1:11" x14ac:dyDescent="0.25">
      <c r="A315" s="923">
        <v>1001827713</v>
      </c>
      <c r="B315" s="924" t="s">
        <v>504</v>
      </c>
      <c r="C315" s="924" t="s">
        <v>854</v>
      </c>
      <c r="D315" s="926">
        <v>580215333</v>
      </c>
      <c r="E315" s="926">
        <v>40000564</v>
      </c>
      <c r="F315" s="926" t="s">
        <v>371</v>
      </c>
      <c r="G315" s="924">
        <v>2025</v>
      </c>
      <c r="H315" s="925">
        <v>295000</v>
      </c>
      <c r="I315" s="925">
        <v>0</v>
      </c>
      <c r="J315" s="924" t="s">
        <v>592</v>
      </c>
      <c r="K315" s="924" t="s">
        <v>593</v>
      </c>
    </row>
    <row r="316" spans="1:11" x14ac:dyDescent="0.25">
      <c r="A316" s="923">
        <v>1001827714</v>
      </c>
      <c r="B316" s="924" t="s">
        <v>505</v>
      </c>
      <c r="C316" s="924" t="s">
        <v>854</v>
      </c>
      <c r="D316" s="926">
        <v>580215333</v>
      </c>
      <c r="E316" s="926">
        <v>40000564</v>
      </c>
      <c r="F316" s="926" t="s">
        <v>371</v>
      </c>
      <c r="G316" s="924">
        <v>2025</v>
      </c>
      <c r="H316" s="925">
        <v>295000</v>
      </c>
      <c r="I316" s="925">
        <v>0</v>
      </c>
      <c r="J316" s="924" t="s">
        <v>592</v>
      </c>
      <c r="K316" s="924" t="s">
        <v>593</v>
      </c>
    </row>
    <row r="317" spans="1:11" x14ac:dyDescent="0.25">
      <c r="A317" s="923">
        <v>1001827715</v>
      </c>
      <c r="B317" s="924" t="s">
        <v>922</v>
      </c>
      <c r="C317" s="924" t="s">
        <v>854</v>
      </c>
      <c r="D317" s="926">
        <v>580215333</v>
      </c>
      <c r="E317" s="926">
        <v>40000564</v>
      </c>
      <c r="F317" s="926" t="s">
        <v>371</v>
      </c>
      <c r="G317" s="924">
        <v>2025</v>
      </c>
      <c r="H317" s="925">
        <v>295000</v>
      </c>
      <c r="I317" s="925">
        <v>0</v>
      </c>
      <c r="J317" s="924" t="s">
        <v>592</v>
      </c>
      <c r="K317" s="924" t="s">
        <v>593</v>
      </c>
    </row>
    <row r="318" spans="1:11" x14ac:dyDescent="0.25">
      <c r="A318" s="923">
        <v>1001827716</v>
      </c>
      <c r="B318" s="924" t="s">
        <v>543</v>
      </c>
      <c r="C318" s="924" t="s">
        <v>854</v>
      </c>
      <c r="D318" s="926">
        <v>580215333</v>
      </c>
      <c r="E318" s="926">
        <v>40000564</v>
      </c>
      <c r="F318" s="926" t="s">
        <v>371</v>
      </c>
      <c r="G318" s="924">
        <v>2025</v>
      </c>
      <c r="H318" s="925">
        <v>295000</v>
      </c>
      <c r="I318" s="925">
        <v>0</v>
      </c>
      <c r="J318" s="924" t="s">
        <v>592</v>
      </c>
      <c r="K318" s="924" t="s">
        <v>593</v>
      </c>
    </row>
    <row r="319" spans="1:11" x14ac:dyDescent="0.25">
      <c r="A319" s="923">
        <v>1001827717</v>
      </c>
      <c r="B319" s="924" t="s">
        <v>923</v>
      </c>
      <c r="C319" s="924" t="s">
        <v>887</v>
      </c>
      <c r="D319" s="926">
        <v>580215333</v>
      </c>
      <c r="E319" s="926">
        <v>40000564</v>
      </c>
      <c r="F319" s="926" t="s">
        <v>371</v>
      </c>
      <c r="G319" s="924">
        <v>2025</v>
      </c>
      <c r="H319" s="925">
        <v>295000</v>
      </c>
      <c r="I319" s="925">
        <v>0</v>
      </c>
      <c r="J319" s="924" t="s">
        <v>592</v>
      </c>
      <c r="K319" s="924" t="s">
        <v>593</v>
      </c>
    </row>
    <row r="320" spans="1:11" x14ac:dyDescent="0.25">
      <c r="A320" s="923">
        <v>1001827719</v>
      </c>
      <c r="B320" s="924" t="s">
        <v>924</v>
      </c>
      <c r="C320" s="924" t="s">
        <v>854</v>
      </c>
      <c r="D320" s="926">
        <v>580215333</v>
      </c>
      <c r="E320" s="926">
        <v>40000564</v>
      </c>
      <c r="F320" s="926" t="s">
        <v>371</v>
      </c>
      <c r="G320" s="924">
        <v>2025</v>
      </c>
      <c r="H320" s="925">
        <v>295000</v>
      </c>
      <c r="I320" s="925">
        <v>0</v>
      </c>
      <c r="J320" s="924" t="s">
        <v>592</v>
      </c>
      <c r="K320" s="924" t="s">
        <v>593</v>
      </c>
    </row>
    <row r="321" spans="1:11" x14ac:dyDescent="0.25">
      <c r="A321" s="923">
        <v>1001827740</v>
      </c>
      <c r="B321" s="924" t="s">
        <v>925</v>
      </c>
      <c r="C321" s="924" t="s">
        <v>854</v>
      </c>
      <c r="D321" s="926">
        <v>580215333</v>
      </c>
      <c r="E321" s="926">
        <v>40000564</v>
      </c>
      <c r="F321" s="926" t="s">
        <v>371</v>
      </c>
      <c r="G321" s="924">
        <v>2025</v>
      </c>
      <c r="H321" s="925">
        <v>295000</v>
      </c>
      <c r="I321" s="925">
        <v>0</v>
      </c>
      <c r="J321" s="924" t="s">
        <v>592</v>
      </c>
      <c r="K321" s="924" t="s">
        <v>593</v>
      </c>
    </row>
    <row r="322" spans="1:11" x14ac:dyDescent="0.25">
      <c r="A322" s="923">
        <v>1001827741</v>
      </c>
      <c r="B322" s="924" t="s">
        <v>926</v>
      </c>
      <c r="C322" s="924" t="s">
        <v>887</v>
      </c>
      <c r="D322" s="926">
        <v>580215333</v>
      </c>
      <c r="E322" s="926">
        <v>40000564</v>
      </c>
      <c r="F322" s="926" t="s">
        <v>371</v>
      </c>
      <c r="G322" s="924">
        <v>2025</v>
      </c>
      <c r="H322" s="925">
        <v>295000</v>
      </c>
      <c r="I322" s="925">
        <v>0</v>
      </c>
      <c r="J322" s="924" t="s">
        <v>592</v>
      </c>
      <c r="K322" s="924" t="s">
        <v>593</v>
      </c>
    </row>
    <row r="323" spans="1:11" x14ac:dyDescent="0.25">
      <c r="A323" s="923">
        <v>1001827743</v>
      </c>
      <c r="B323" s="924" t="s">
        <v>927</v>
      </c>
      <c r="C323" s="924" t="s">
        <v>854</v>
      </c>
      <c r="D323" s="926">
        <v>580215333</v>
      </c>
      <c r="E323" s="926">
        <v>40000564</v>
      </c>
      <c r="F323" s="926" t="s">
        <v>371</v>
      </c>
      <c r="G323" s="924">
        <v>2025</v>
      </c>
      <c r="H323" s="925">
        <v>295000</v>
      </c>
      <c r="I323" s="925">
        <v>0</v>
      </c>
      <c r="J323" s="924" t="s">
        <v>592</v>
      </c>
      <c r="K323" s="924" t="s">
        <v>593</v>
      </c>
    </row>
    <row r="324" spans="1:11" x14ac:dyDescent="0.25">
      <c r="A324" s="923">
        <v>1001827744</v>
      </c>
      <c r="B324" s="924" t="s">
        <v>928</v>
      </c>
      <c r="C324" s="924" t="s">
        <v>854</v>
      </c>
      <c r="D324" s="926">
        <v>580215333</v>
      </c>
      <c r="E324" s="926">
        <v>40000564</v>
      </c>
      <c r="F324" s="926" t="s">
        <v>371</v>
      </c>
      <c r="G324" s="924">
        <v>2025</v>
      </c>
      <c r="H324" s="925">
        <v>295000</v>
      </c>
      <c r="I324" s="925">
        <v>0</v>
      </c>
      <c r="J324" s="924" t="s">
        <v>592</v>
      </c>
      <c r="K324" s="924" t="s">
        <v>593</v>
      </c>
    </row>
    <row r="325" spans="1:11" x14ac:dyDescent="0.25">
      <c r="A325" s="923">
        <v>1001827746</v>
      </c>
      <c r="B325" s="924" t="s">
        <v>929</v>
      </c>
      <c r="C325" s="924" t="s">
        <v>854</v>
      </c>
      <c r="D325" s="926">
        <v>580215333</v>
      </c>
      <c r="E325" s="926">
        <v>40000564</v>
      </c>
      <c r="F325" s="926" t="s">
        <v>371</v>
      </c>
      <c r="G325" s="924">
        <v>2025</v>
      </c>
      <c r="H325" s="925">
        <v>295000</v>
      </c>
      <c r="I325" s="925">
        <v>0</v>
      </c>
      <c r="J325" s="924" t="s">
        <v>592</v>
      </c>
      <c r="K325" s="924" t="s">
        <v>593</v>
      </c>
    </row>
    <row r="326" spans="1:11" x14ac:dyDescent="0.25">
      <c r="A326" s="923">
        <v>1001827747</v>
      </c>
      <c r="B326" s="924" t="s">
        <v>930</v>
      </c>
      <c r="C326" s="924" t="s">
        <v>854</v>
      </c>
      <c r="D326" s="926">
        <v>580215333</v>
      </c>
      <c r="E326" s="926">
        <v>40000564</v>
      </c>
      <c r="F326" s="926" t="s">
        <v>371</v>
      </c>
      <c r="G326" s="924">
        <v>2025</v>
      </c>
      <c r="H326" s="925">
        <v>295000</v>
      </c>
      <c r="I326" s="925">
        <v>0</v>
      </c>
      <c r="J326" s="924" t="s">
        <v>592</v>
      </c>
      <c r="K326" s="924" t="s">
        <v>593</v>
      </c>
    </row>
    <row r="327" spans="1:11" x14ac:dyDescent="0.25">
      <c r="A327" s="923">
        <v>1001827749</v>
      </c>
      <c r="B327" s="924" t="s">
        <v>931</v>
      </c>
      <c r="C327" s="924" t="s">
        <v>854</v>
      </c>
      <c r="D327" s="926">
        <v>580215333</v>
      </c>
      <c r="E327" s="926">
        <v>40000564</v>
      </c>
      <c r="F327" s="926" t="s">
        <v>371</v>
      </c>
      <c r="G327" s="924">
        <v>2025</v>
      </c>
      <c r="H327" s="925">
        <v>295000</v>
      </c>
      <c r="I327" s="925">
        <v>0</v>
      </c>
      <c r="J327" s="924" t="s">
        <v>592</v>
      </c>
      <c r="K327" s="924" t="s">
        <v>593</v>
      </c>
    </row>
    <row r="328" spans="1:11" x14ac:dyDescent="0.25">
      <c r="A328" s="923">
        <v>1001827750</v>
      </c>
      <c r="B328" s="924" t="s">
        <v>932</v>
      </c>
      <c r="C328" s="924" t="s">
        <v>854</v>
      </c>
      <c r="D328" s="926">
        <v>580215333</v>
      </c>
      <c r="E328" s="926">
        <v>40000564</v>
      </c>
      <c r="F328" s="926" t="s">
        <v>371</v>
      </c>
      <c r="G328" s="924">
        <v>2025</v>
      </c>
      <c r="H328" s="925">
        <v>295000</v>
      </c>
      <c r="I328" s="925">
        <v>0</v>
      </c>
      <c r="J328" s="924" t="s">
        <v>592</v>
      </c>
      <c r="K328" s="924" t="s">
        <v>593</v>
      </c>
    </row>
    <row r="329" spans="1:11" x14ac:dyDescent="0.25">
      <c r="A329" s="923">
        <v>1001827751</v>
      </c>
      <c r="B329" s="924" t="s">
        <v>933</v>
      </c>
      <c r="C329" s="924" t="s">
        <v>887</v>
      </c>
      <c r="D329" s="926">
        <v>580215333</v>
      </c>
      <c r="E329" s="926">
        <v>40000564</v>
      </c>
      <c r="F329" s="926" t="s">
        <v>371</v>
      </c>
      <c r="G329" s="924">
        <v>2025</v>
      </c>
      <c r="H329" s="925">
        <v>295000</v>
      </c>
      <c r="I329" s="925">
        <v>0</v>
      </c>
      <c r="J329" s="924" t="s">
        <v>592</v>
      </c>
      <c r="K329" s="924" t="s">
        <v>593</v>
      </c>
    </row>
    <row r="330" spans="1:11" x14ac:dyDescent="0.25">
      <c r="A330" s="923">
        <v>1001827752</v>
      </c>
      <c r="B330" s="924" t="s">
        <v>934</v>
      </c>
      <c r="C330" s="924" t="s">
        <v>887</v>
      </c>
      <c r="D330" s="926">
        <v>580215333</v>
      </c>
      <c r="E330" s="926">
        <v>40000564</v>
      </c>
      <c r="F330" s="926" t="s">
        <v>371</v>
      </c>
      <c r="G330" s="924">
        <v>2025</v>
      </c>
      <c r="H330" s="925">
        <v>295000</v>
      </c>
      <c r="I330" s="925">
        <v>0</v>
      </c>
      <c r="J330" s="924" t="s">
        <v>592</v>
      </c>
      <c r="K330" s="924" t="s">
        <v>593</v>
      </c>
    </row>
    <row r="331" spans="1:11" x14ac:dyDescent="0.25">
      <c r="A331" s="923">
        <v>1001827753</v>
      </c>
      <c r="B331" s="924" t="s">
        <v>935</v>
      </c>
      <c r="C331" s="924" t="s">
        <v>854</v>
      </c>
      <c r="D331" s="926">
        <v>580215333</v>
      </c>
      <c r="E331" s="926">
        <v>40000564</v>
      </c>
      <c r="F331" s="926" t="s">
        <v>371</v>
      </c>
      <c r="G331" s="924">
        <v>2025</v>
      </c>
      <c r="H331" s="925">
        <v>295000</v>
      </c>
      <c r="I331" s="925">
        <v>0</v>
      </c>
      <c r="J331" s="924" t="s">
        <v>592</v>
      </c>
      <c r="K331" s="924" t="s">
        <v>593</v>
      </c>
    </row>
    <row r="332" spans="1:11" x14ac:dyDescent="0.25">
      <c r="A332" s="923">
        <v>1001827754</v>
      </c>
      <c r="B332" s="924" t="s">
        <v>936</v>
      </c>
      <c r="C332" s="924" t="s">
        <v>854</v>
      </c>
      <c r="D332" s="926">
        <v>580215333</v>
      </c>
      <c r="E332" s="926">
        <v>40000564</v>
      </c>
      <c r="F332" s="926" t="s">
        <v>371</v>
      </c>
      <c r="G332" s="924">
        <v>2025</v>
      </c>
      <c r="H332" s="925">
        <v>295000</v>
      </c>
      <c r="I332" s="925">
        <v>0</v>
      </c>
      <c r="J332" s="924" t="s">
        <v>592</v>
      </c>
      <c r="K332" s="924" t="s">
        <v>593</v>
      </c>
    </row>
    <row r="333" spans="1:11" x14ac:dyDescent="0.25">
      <c r="A333" s="923">
        <v>1001827755</v>
      </c>
      <c r="B333" s="924" t="s">
        <v>937</v>
      </c>
      <c r="C333" s="924" t="s">
        <v>854</v>
      </c>
      <c r="D333" s="926">
        <v>580215333</v>
      </c>
      <c r="E333" s="926">
        <v>40000564</v>
      </c>
      <c r="F333" s="926" t="s">
        <v>371</v>
      </c>
      <c r="G333" s="924">
        <v>2025</v>
      </c>
      <c r="H333" s="925">
        <v>295000</v>
      </c>
      <c r="I333" s="925">
        <v>0</v>
      </c>
      <c r="J333" s="924" t="s">
        <v>592</v>
      </c>
      <c r="K333" s="924" t="s">
        <v>593</v>
      </c>
    </row>
    <row r="334" spans="1:11" x14ac:dyDescent="0.25">
      <c r="A334" s="923">
        <v>1001827756</v>
      </c>
      <c r="B334" s="924" t="s">
        <v>938</v>
      </c>
      <c r="C334" s="924" t="s">
        <v>854</v>
      </c>
      <c r="D334" s="926">
        <v>580215333</v>
      </c>
      <c r="E334" s="926">
        <v>40000564</v>
      </c>
      <c r="F334" s="926" t="s">
        <v>371</v>
      </c>
      <c r="G334" s="924">
        <v>2025</v>
      </c>
      <c r="H334" s="925">
        <v>295000</v>
      </c>
      <c r="I334" s="925">
        <v>0</v>
      </c>
      <c r="J334" s="924" t="s">
        <v>592</v>
      </c>
      <c r="K334" s="924" t="s">
        <v>593</v>
      </c>
    </row>
    <row r="335" spans="1:11" x14ac:dyDescent="0.25">
      <c r="A335" s="923">
        <v>1001827757</v>
      </c>
      <c r="B335" s="924" t="s">
        <v>521</v>
      </c>
      <c r="C335" s="924" t="s">
        <v>854</v>
      </c>
      <c r="D335" s="926">
        <v>580215333</v>
      </c>
      <c r="E335" s="926">
        <v>40000564</v>
      </c>
      <c r="F335" s="926" t="s">
        <v>371</v>
      </c>
      <c r="G335" s="924">
        <v>2025</v>
      </c>
      <c r="H335" s="925">
        <v>295000</v>
      </c>
      <c r="I335" s="925">
        <v>0</v>
      </c>
      <c r="J335" s="924" t="s">
        <v>592</v>
      </c>
      <c r="K335" s="924" t="s">
        <v>593</v>
      </c>
    </row>
    <row r="336" spans="1:11" x14ac:dyDescent="0.25">
      <c r="A336" s="923">
        <v>1001827758</v>
      </c>
      <c r="B336" s="924" t="s">
        <v>939</v>
      </c>
      <c r="C336" s="924" t="s">
        <v>887</v>
      </c>
      <c r="D336" s="926">
        <v>580215333</v>
      </c>
      <c r="E336" s="926">
        <v>40000564</v>
      </c>
      <c r="F336" s="926" t="s">
        <v>371</v>
      </c>
      <c r="G336" s="924">
        <v>2025</v>
      </c>
      <c r="H336" s="925">
        <v>295000</v>
      </c>
      <c r="I336" s="925">
        <v>0</v>
      </c>
      <c r="J336" s="924" t="s">
        <v>592</v>
      </c>
      <c r="K336" s="924" t="s">
        <v>593</v>
      </c>
    </row>
    <row r="337" spans="1:11" x14ac:dyDescent="0.25">
      <c r="A337" s="923">
        <v>1001827759</v>
      </c>
      <c r="B337" s="924" t="s">
        <v>520</v>
      </c>
      <c r="C337" s="924" t="s">
        <v>854</v>
      </c>
      <c r="D337" s="926">
        <v>580215333</v>
      </c>
      <c r="E337" s="926">
        <v>40000564</v>
      </c>
      <c r="F337" s="926" t="s">
        <v>371</v>
      </c>
      <c r="G337" s="924">
        <v>2025</v>
      </c>
      <c r="H337" s="925">
        <v>295000</v>
      </c>
      <c r="I337" s="925">
        <v>0</v>
      </c>
      <c r="J337" s="924" t="s">
        <v>592</v>
      </c>
      <c r="K337" s="924" t="s">
        <v>593</v>
      </c>
    </row>
    <row r="338" spans="1:11" x14ac:dyDescent="0.25">
      <c r="A338" s="923">
        <v>1001827770</v>
      </c>
      <c r="B338" s="924" t="s">
        <v>518</v>
      </c>
      <c r="C338" s="924" t="s">
        <v>854</v>
      </c>
      <c r="D338" s="926">
        <v>580215333</v>
      </c>
      <c r="E338" s="926">
        <v>40000564</v>
      </c>
      <c r="F338" s="926" t="s">
        <v>371</v>
      </c>
      <c r="G338" s="924">
        <v>2025</v>
      </c>
      <c r="H338" s="925">
        <v>295000</v>
      </c>
      <c r="I338" s="925">
        <v>0</v>
      </c>
      <c r="J338" s="924" t="s">
        <v>592</v>
      </c>
      <c r="K338" s="924" t="s">
        <v>593</v>
      </c>
    </row>
    <row r="339" spans="1:11" x14ac:dyDescent="0.25">
      <c r="A339" s="923">
        <v>1001827771</v>
      </c>
      <c r="B339" s="924" t="s">
        <v>506</v>
      </c>
      <c r="C339" s="924" t="s">
        <v>854</v>
      </c>
      <c r="D339" s="926">
        <v>580215333</v>
      </c>
      <c r="E339" s="926">
        <v>40000564</v>
      </c>
      <c r="F339" s="926" t="s">
        <v>371</v>
      </c>
      <c r="G339" s="924">
        <v>2025</v>
      </c>
      <c r="H339" s="925">
        <v>295000</v>
      </c>
      <c r="I339" s="925">
        <v>0</v>
      </c>
      <c r="J339" s="924" t="s">
        <v>592</v>
      </c>
      <c r="K339" s="924" t="s">
        <v>593</v>
      </c>
    </row>
    <row r="340" spans="1:11" x14ac:dyDescent="0.25">
      <c r="A340" s="923">
        <v>1001827772</v>
      </c>
      <c r="B340" s="924" t="s">
        <v>512</v>
      </c>
      <c r="C340" s="924" t="s">
        <v>854</v>
      </c>
      <c r="D340" s="926">
        <v>580215333</v>
      </c>
      <c r="E340" s="926">
        <v>40000564</v>
      </c>
      <c r="F340" s="926" t="s">
        <v>371</v>
      </c>
      <c r="G340" s="924">
        <v>2025</v>
      </c>
      <c r="H340" s="925">
        <v>295000</v>
      </c>
      <c r="I340" s="925">
        <v>0</v>
      </c>
      <c r="J340" s="924" t="s">
        <v>592</v>
      </c>
      <c r="K340" s="924" t="s">
        <v>593</v>
      </c>
    </row>
    <row r="341" spans="1:11" x14ac:dyDescent="0.25">
      <c r="A341" s="923">
        <v>1001827773</v>
      </c>
      <c r="B341" s="924" t="s">
        <v>940</v>
      </c>
      <c r="C341" s="924" t="s">
        <v>887</v>
      </c>
      <c r="D341" s="926">
        <v>580215333</v>
      </c>
      <c r="E341" s="926">
        <v>40000564</v>
      </c>
      <c r="F341" s="926" t="s">
        <v>371</v>
      </c>
      <c r="G341" s="924">
        <v>2025</v>
      </c>
      <c r="H341" s="925">
        <v>295000</v>
      </c>
      <c r="I341" s="925">
        <v>0</v>
      </c>
      <c r="J341" s="924" t="s">
        <v>592</v>
      </c>
      <c r="K341" s="924" t="s">
        <v>593</v>
      </c>
    </row>
    <row r="342" spans="1:11" x14ac:dyDescent="0.25">
      <c r="A342" s="923">
        <v>1001827774</v>
      </c>
      <c r="B342" s="924" t="s">
        <v>941</v>
      </c>
      <c r="C342" s="924" t="s">
        <v>854</v>
      </c>
      <c r="D342" s="926">
        <v>580215333</v>
      </c>
      <c r="E342" s="926">
        <v>40000564</v>
      </c>
      <c r="F342" s="926" t="s">
        <v>371</v>
      </c>
      <c r="G342" s="924">
        <v>2025</v>
      </c>
      <c r="H342" s="925">
        <v>295000</v>
      </c>
      <c r="I342" s="925">
        <v>0</v>
      </c>
      <c r="J342" s="924" t="s">
        <v>592</v>
      </c>
      <c r="K342" s="924" t="s">
        <v>593</v>
      </c>
    </row>
    <row r="343" spans="1:11" x14ac:dyDescent="0.25">
      <c r="A343" s="923">
        <v>1001827775</v>
      </c>
      <c r="B343" s="924" t="s">
        <v>519</v>
      </c>
      <c r="C343" s="924" t="s">
        <v>854</v>
      </c>
      <c r="D343" s="926">
        <v>580215333</v>
      </c>
      <c r="E343" s="926">
        <v>40000564</v>
      </c>
      <c r="F343" s="926" t="s">
        <v>371</v>
      </c>
      <c r="G343" s="924">
        <v>2025</v>
      </c>
      <c r="H343" s="925">
        <v>295000</v>
      </c>
      <c r="I343" s="925">
        <v>0</v>
      </c>
      <c r="J343" s="924" t="s">
        <v>592</v>
      </c>
      <c r="K343" s="924" t="s">
        <v>593</v>
      </c>
    </row>
    <row r="344" spans="1:11" x14ac:dyDescent="0.25">
      <c r="A344" s="923">
        <v>1001827776</v>
      </c>
      <c r="B344" s="924" t="s">
        <v>507</v>
      </c>
      <c r="C344" s="924" t="s">
        <v>854</v>
      </c>
      <c r="D344" s="926">
        <v>580215333</v>
      </c>
      <c r="E344" s="926">
        <v>40000564</v>
      </c>
      <c r="F344" s="926" t="s">
        <v>371</v>
      </c>
      <c r="G344" s="924">
        <v>2025</v>
      </c>
      <c r="H344" s="925">
        <v>295000</v>
      </c>
      <c r="I344" s="925">
        <v>0</v>
      </c>
      <c r="J344" s="924" t="s">
        <v>592</v>
      </c>
      <c r="K344" s="924" t="s">
        <v>593</v>
      </c>
    </row>
    <row r="345" spans="1:11" x14ac:dyDescent="0.25">
      <c r="A345" s="923">
        <v>1001827777</v>
      </c>
      <c r="B345" s="924" t="s">
        <v>508</v>
      </c>
      <c r="C345" s="924" t="s">
        <v>854</v>
      </c>
      <c r="D345" s="926">
        <v>580215333</v>
      </c>
      <c r="E345" s="926">
        <v>40000564</v>
      </c>
      <c r="F345" s="926" t="s">
        <v>371</v>
      </c>
      <c r="G345" s="924">
        <v>2025</v>
      </c>
      <c r="H345" s="925">
        <v>295000</v>
      </c>
      <c r="I345" s="925">
        <v>0</v>
      </c>
      <c r="J345" s="924" t="s">
        <v>592</v>
      </c>
      <c r="K345" s="924" t="s">
        <v>593</v>
      </c>
    </row>
    <row r="346" spans="1:11" x14ac:dyDescent="0.25">
      <c r="A346" s="923">
        <v>1001827778</v>
      </c>
      <c r="B346" s="924" t="s">
        <v>532</v>
      </c>
      <c r="C346" s="924" t="s">
        <v>854</v>
      </c>
      <c r="D346" s="926">
        <v>580215333</v>
      </c>
      <c r="E346" s="926">
        <v>40000564</v>
      </c>
      <c r="F346" s="926" t="s">
        <v>371</v>
      </c>
      <c r="G346" s="924">
        <v>2025</v>
      </c>
      <c r="H346" s="925">
        <v>295000</v>
      </c>
      <c r="I346" s="925">
        <v>0</v>
      </c>
      <c r="J346" s="924" t="s">
        <v>592</v>
      </c>
      <c r="K346" s="924" t="s">
        <v>593</v>
      </c>
    </row>
    <row r="347" spans="1:11" x14ac:dyDescent="0.25">
      <c r="A347" s="923">
        <v>1001827779</v>
      </c>
      <c r="B347" s="924" t="s">
        <v>942</v>
      </c>
      <c r="C347" s="924" t="s">
        <v>854</v>
      </c>
      <c r="D347" s="926">
        <v>580215333</v>
      </c>
      <c r="E347" s="926">
        <v>40000564</v>
      </c>
      <c r="F347" s="926" t="s">
        <v>371</v>
      </c>
      <c r="G347" s="924">
        <v>2025</v>
      </c>
      <c r="H347" s="925">
        <v>295000</v>
      </c>
      <c r="I347" s="925">
        <v>0</v>
      </c>
      <c r="J347" s="924" t="s">
        <v>592</v>
      </c>
      <c r="K347" s="924" t="s">
        <v>593</v>
      </c>
    </row>
    <row r="348" spans="1:11" x14ac:dyDescent="0.25">
      <c r="A348" s="923">
        <v>1001827780</v>
      </c>
      <c r="B348" s="924" t="s">
        <v>943</v>
      </c>
      <c r="C348" s="924" t="s">
        <v>854</v>
      </c>
      <c r="D348" s="926">
        <v>580215333</v>
      </c>
      <c r="E348" s="926">
        <v>40000564</v>
      </c>
      <c r="F348" s="926" t="s">
        <v>371</v>
      </c>
      <c r="G348" s="924">
        <v>2025</v>
      </c>
      <c r="H348" s="925">
        <v>295000</v>
      </c>
      <c r="I348" s="925">
        <v>0</v>
      </c>
      <c r="J348" s="924" t="s">
        <v>592</v>
      </c>
      <c r="K348" s="924" t="s">
        <v>593</v>
      </c>
    </row>
    <row r="349" spans="1:11" x14ac:dyDescent="0.25">
      <c r="A349" s="923">
        <v>1001827781</v>
      </c>
      <c r="B349" s="924" t="s">
        <v>944</v>
      </c>
      <c r="C349" s="924" t="s">
        <v>854</v>
      </c>
      <c r="D349" s="926">
        <v>580215333</v>
      </c>
      <c r="E349" s="926">
        <v>40000564</v>
      </c>
      <c r="F349" s="926" t="s">
        <v>371</v>
      </c>
      <c r="G349" s="924">
        <v>2025</v>
      </c>
      <c r="H349" s="925">
        <v>295000</v>
      </c>
      <c r="I349" s="925">
        <v>0</v>
      </c>
      <c r="J349" s="924" t="s">
        <v>592</v>
      </c>
      <c r="K349" s="924" t="s">
        <v>593</v>
      </c>
    </row>
    <row r="350" spans="1:11" x14ac:dyDescent="0.25">
      <c r="A350" s="923">
        <v>1001827782</v>
      </c>
      <c r="B350" s="924" t="s">
        <v>945</v>
      </c>
      <c r="C350" s="924" t="s">
        <v>854</v>
      </c>
      <c r="D350" s="926">
        <v>580215333</v>
      </c>
      <c r="E350" s="926">
        <v>40000564</v>
      </c>
      <c r="F350" s="926" t="s">
        <v>371</v>
      </c>
      <c r="G350" s="924">
        <v>2025</v>
      </c>
      <c r="H350" s="925">
        <v>295000</v>
      </c>
      <c r="I350" s="925">
        <v>0</v>
      </c>
      <c r="J350" s="924" t="s">
        <v>592</v>
      </c>
      <c r="K350" s="924" t="s">
        <v>593</v>
      </c>
    </row>
    <row r="351" spans="1:11" x14ac:dyDescent="0.25">
      <c r="A351" s="923">
        <v>1001827783</v>
      </c>
      <c r="B351" s="924" t="s">
        <v>509</v>
      </c>
      <c r="C351" s="924" t="s">
        <v>854</v>
      </c>
      <c r="D351" s="926">
        <v>580215333</v>
      </c>
      <c r="E351" s="926">
        <v>40000564</v>
      </c>
      <c r="F351" s="926" t="s">
        <v>371</v>
      </c>
      <c r="G351" s="924">
        <v>2025</v>
      </c>
      <c r="H351" s="925">
        <v>295000</v>
      </c>
      <c r="I351" s="925">
        <v>0</v>
      </c>
      <c r="J351" s="924" t="s">
        <v>592</v>
      </c>
      <c r="K351" s="924" t="s">
        <v>593</v>
      </c>
    </row>
    <row r="352" spans="1:11" x14ac:dyDescent="0.25">
      <c r="A352" s="923">
        <v>1001827784</v>
      </c>
      <c r="B352" s="924" t="s">
        <v>946</v>
      </c>
      <c r="C352" s="924" t="s">
        <v>854</v>
      </c>
      <c r="D352" s="926">
        <v>580215333</v>
      </c>
      <c r="E352" s="926">
        <v>40000564</v>
      </c>
      <c r="F352" s="926" t="s">
        <v>371</v>
      </c>
      <c r="G352" s="924">
        <v>2025</v>
      </c>
      <c r="H352" s="925">
        <v>295000</v>
      </c>
      <c r="I352" s="925">
        <v>0</v>
      </c>
      <c r="J352" s="924" t="s">
        <v>592</v>
      </c>
      <c r="K352" s="924" t="s">
        <v>593</v>
      </c>
    </row>
    <row r="353" spans="1:11" x14ac:dyDescent="0.25">
      <c r="A353" s="923">
        <v>1001827785</v>
      </c>
      <c r="B353" s="924" t="s">
        <v>510</v>
      </c>
      <c r="C353" s="924" t="s">
        <v>854</v>
      </c>
      <c r="D353" s="926">
        <v>580215333</v>
      </c>
      <c r="E353" s="926">
        <v>40000564</v>
      </c>
      <c r="F353" s="926" t="s">
        <v>371</v>
      </c>
      <c r="G353" s="924">
        <v>2025</v>
      </c>
      <c r="H353" s="925">
        <v>295000</v>
      </c>
      <c r="I353" s="925">
        <v>0</v>
      </c>
      <c r="J353" s="924" t="s">
        <v>592</v>
      </c>
      <c r="K353" s="924" t="s">
        <v>593</v>
      </c>
    </row>
    <row r="354" spans="1:11" x14ac:dyDescent="0.25">
      <c r="A354" s="923">
        <v>1001827786</v>
      </c>
      <c r="B354" s="924" t="s">
        <v>511</v>
      </c>
      <c r="C354" s="924" t="s">
        <v>854</v>
      </c>
      <c r="D354" s="926">
        <v>580215333</v>
      </c>
      <c r="E354" s="926">
        <v>40000564</v>
      </c>
      <c r="F354" s="926" t="s">
        <v>371</v>
      </c>
      <c r="G354" s="924">
        <v>2025</v>
      </c>
      <c r="H354" s="925">
        <v>295000</v>
      </c>
      <c r="I354" s="925">
        <v>0</v>
      </c>
      <c r="J354" s="924" t="s">
        <v>592</v>
      </c>
      <c r="K354" s="924" t="s">
        <v>593</v>
      </c>
    </row>
    <row r="355" spans="1:11" x14ac:dyDescent="0.25">
      <c r="A355" s="923">
        <v>1001827787</v>
      </c>
      <c r="B355" s="924" t="s">
        <v>540</v>
      </c>
      <c r="C355" s="924" t="s">
        <v>854</v>
      </c>
      <c r="D355" s="926">
        <v>580215333</v>
      </c>
      <c r="E355" s="926">
        <v>40000564</v>
      </c>
      <c r="F355" s="926" t="s">
        <v>371</v>
      </c>
      <c r="G355" s="924">
        <v>2025</v>
      </c>
      <c r="H355" s="925">
        <v>295000</v>
      </c>
      <c r="I355" s="925">
        <v>0</v>
      </c>
      <c r="J355" s="924" t="s">
        <v>592</v>
      </c>
      <c r="K355" s="924" t="s">
        <v>593</v>
      </c>
    </row>
    <row r="356" spans="1:11" x14ac:dyDescent="0.25">
      <c r="A356" s="923">
        <v>1001827800</v>
      </c>
      <c r="B356" s="924" t="s">
        <v>947</v>
      </c>
      <c r="C356" s="924" t="s">
        <v>854</v>
      </c>
      <c r="D356" s="926">
        <v>580215333</v>
      </c>
      <c r="E356" s="926">
        <v>40000564</v>
      </c>
      <c r="F356" s="926" t="s">
        <v>371</v>
      </c>
      <c r="G356" s="924">
        <v>2025</v>
      </c>
      <c r="H356" s="925">
        <v>5000000</v>
      </c>
      <c r="I356" s="925">
        <v>0</v>
      </c>
      <c r="J356" s="924" t="s">
        <v>592</v>
      </c>
      <c r="K356" s="924" t="s">
        <v>593</v>
      </c>
    </row>
    <row r="357" spans="1:11" x14ac:dyDescent="0.25">
      <c r="A357" s="923">
        <v>1001827930</v>
      </c>
      <c r="B357" s="924" t="s">
        <v>948</v>
      </c>
      <c r="C357" s="924" t="s">
        <v>887</v>
      </c>
      <c r="D357" s="926">
        <v>500225602</v>
      </c>
      <c r="E357" s="926">
        <v>20000144</v>
      </c>
      <c r="F357" s="926" t="s">
        <v>949</v>
      </c>
      <c r="G357" s="924">
        <v>2025</v>
      </c>
      <c r="H357" s="925">
        <v>60000</v>
      </c>
      <c r="I357" s="925">
        <v>0</v>
      </c>
      <c r="J357" s="924" t="s">
        <v>592</v>
      </c>
      <c r="K357" s="924" t="s">
        <v>593</v>
      </c>
    </row>
    <row r="358" spans="1:11" x14ac:dyDescent="0.25">
      <c r="A358" s="923">
        <v>1001827935</v>
      </c>
      <c r="B358" s="924" t="s">
        <v>950</v>
      </c>
      <c r="C358" s="924" t="s">
        <v>887</v>
      </c>
      <c r="D358" s="926">
        <v>580215333</v>
      </c>
      <c r="E358" s="926">
        <v>40000564</v>
      </c>
      <c r="F358" s="926" t="s">
        <v>371</v>
      </c>
      <c r="G358" s="924">
        <v>2025</v>
      </c>
      <c r="H358" s="925">
        <v>295000</v>
      </c>
      <c r="I358" s="925">
        <v>0</v>
      </c>
      <c r="J358" s="924" t="s">
        <v>592</v>
      </c>
      <c r="K358" s="924" t="s">
        <v>593</v>
      </c>
    </row>
    <row r="359" spans="1:11" x14ac:dyDescent="0.25">
      <c r="A359" s="923">
        <v>1001828153</v>
      </c>
      <c r="B359" s="924" t="s">
        <v>951</v>
      </c>
      <c r="C359" s="924" t="s">
        <v>887</v>
      </c>
      <c r="D359" s="926">
        <v>500290002</v>
      </c>
      <c r="E359" s="926">
        <v>20000254</v>
      </c>
      <c r="F359" s="926" t="s">
        <v>646</v>
      </c>
      <c r="G359" s="924">
        <v>2025</v>
      </c>
      <c r="H359" s="925">
        <v>150000</v>
      </c>
      <c r="I359" s="925">
        <v>0</v>
      </c>
      <c r="J359" s="924" t="s">
        <v>592</v>
      </c>
      <c r="K359" s="924" t="s">
        <v>593</v>
      </c>
    </row>
    <row r="360" spans="1:11" x14ac:dyDescent="0.25">
      <c r="A360" s="923">
        <v>1001828246</v>
      </c>
      <c r="B360" s="924" t="s">
        <v>952</v>
      </c>
      <c r="C360" s="924" t="s">
        <v>854</v>
      </c>
      <c r="D360" s="926">
        <v>580510105</v>
      </c>
      <c r="E360" s="926">
        <v>41604114</v>
      </c>
      <c r="F360" s="926" t="s">
        <v>773</v>
      </c>
      <c r="G360" s="924">
        <v>2025</v>
      </c>
      <c r="H360" s="925">
        <v>180000</v>
      </c>
      <c r="I360" s="925">
        <v>0</v>
      </c>
      <c r="J360" s="924" t="s">
        <v>592</v>
      </c>
      <c r="K360" s="924" t="s">
        <v>593</v>
      </c>
    </row>
    <row r="361" spans="1:11" x14ac:dyDescent="0.25">
      <c r="A361" s="923">
        <v>1001829372</v>
      </c>
      <c r="B361" s="924" t="s">
        <v>798</v>
      </c>
      <c r="C361" s="924" t="s">
        <v>854</v>
      </c>
      <c r="D361" s="926">
        <v>580321016</v>
      </c>
      <c r="E361" s="926">
        <v>40000234</v>
      </c>
      <c r="F361" s="926" t="s">
        <v>799</v>
      </c>
      <c r="G361" s="924">
        <v>2025</v>
      </c>
      <c r="H361" s="925">
        <v>7000000</v>
      </c>
      <c r="I361" s="925">
        <v>0</v>
      </c>
      <c r="J361" s="924" t="s">
        <v>592</v>
      </c>
      <c r="K361" s="924" t="s">
        <v>593</v>
      </c>
    </row>
    <row r="362" spans="1:11" x14ac:dyDescent="0.25">
      <c r="A362" s="923">
        <v>1001829379</v>
      </c>
      <c r="B362" s="924" t="s">
        <v>802</v>
      </c>
      <c r="C362" s="924" t="s">
        <v>854</v>
      </c>
      <c r="D362" s="926">
        <v>580321016</v>
      </c>
      <c r="E362" s="926">
        <v>40000234</v>
      </c>
      <c r="F362" s="926" t="s">
        <v>799</v>
      </c>
      <c r="G362" s="924">
        <v>2025</v>
      </c>
      <c r="H362" s="925">
        <v>900000</v>
      </c>
      <c r="I362" s="925">
        <v>0</v>
      </c>
      <c r="J362" s="924" t="s">
        <v>592</v>
      </c>
      <c r="K362" s="924" t="s">
        <v>593</v>
      </c>
    </row>
    <row r="363" spans="1:11" x14ac:dyDescent="0.25">
      <c r="A363" s="923">
        <v>1001829510</v>
      </c>
      <c r="B363" s="924" t="s">
        <v>953</v>
      </c>
      <c r="C363" s="924" t="s">
        <v>854</v>
      </c>
      <c r="D363" s="926">
        <v>580737195</v>
      </c>
      <c r="E363" s="926">
        <v>42746928</v>
      </c>
      <c r="F363" s="926" t="s">
        <v>551</v>
      </c>
      <c r="G363" s="924">
        <v>2025</v>
      </c>
      <c r="H363" s="925">
        <v>400000</v>
      </c>
      <c r="I363" s="925">
        <v>0</v>
      </c>
      <c r="J363" s="924" t="s">
        <v>592</v>
      </c>
      <c r="K363" s="924" t="s">
        <v>593</v>
      </c>
    </row>
    <row r="364" spans="1:11" x14ac:dyDescent="0.25">
      <c r="A364" s="923">
        <v>1001829548</v>
      </c>
      <c r="B364" s="924" t="s">
        <v>954</v>
      </c>
      <c r="C364" s="924" t="s">
        <v>854</v>
      </c>
      <c r="D364" s="926">
        <v>580632479</v>
      </c>
      <c r="E364" s="926">
        <v>41489885</v>
      </c>
      <c r="F364" s="926" t="s">
        <v>570</v>
      </c>
      <c r="G364" s="924">
        <v>2025</v>
      </c>
      <c r="H364" s="925">
        <v>360000</v>
      </c>
      <c r="I364" s="925">
        <v>0</v>
      </c>
      <c r="J364" s="924" t="s">
        <v>592</v>
      </c>
      <c r="K364" s="924" t="s">
        <v>593</v>
      </c>
    </row>
    <row r="365" spans="1:11" x14ac:dyDescent="0.25">
      <c r="A365" s="923">
        <v>1001829895</v>
      </c>
      <c r="B365" s="924" t="s">
        <v>955</v>
      </c>
      <c r="C365" s="924" t="s">
        <v>854</v>
      </c>
      <c r="D365" s="926">
        <v>580423283</v>
      </c>
      <c r="E365" s="926">
        <v>40221581</v>
      </c>
      <c r="F365" s="926" t="s">
        <v>601</v>
      </c>
      <c r="G365" s="924">
        <v>2025</v>
      </c>
      <c r="H365" s="925">
        <v>220000</v>
      </c>
      <c r="I365" s="925">
        <v>0</v>
      </c>
      <c r="J365" s="924" t="s">
        <v>592</v>
      </c>
      <c r="K365" s="924" t="s">
        <v>593</v>
      </c>
    </row>
    <row r="366" spans="1:11" x14ac:dyDescent="0.25">
      <c r="A366" s="923">
        <v>1001831562</v>
      </c>
      <c r="B366" s="924" t="s">
        <v>783</v>
      </c>
      <c r="C366" s="924" t="s">
        <v>887</v>
      </c>
      <c r="D366" s="926">
        <v>580189033</v>
      </c>
      <c r="E366" s="926">
        <v>40163978</v>
      </c>
      <c r="F366" s="926" t="s">
        <v>784</v>
      </c>
      <c r="G366" s="924">
        <v>2025</v>
      </c>
      <c r="H366" s="925">
        <v>60000</v>
      </c>
      <c r="I366" s="925">
        <v>0</v>
      </c>
      <c r="J366" s="924" t="s">
        <v>592</v>
      </c>
      <c r="K366" s="924" t="s">
        <v>593</v>
      </c>
    </row>
    <row r="367" spans="1:11" x14ac:dyDescent="0.25">
      <c r="A367" s="923">
        <v>1001831827</v>
      </c>
      <c r="B367" s="924" t="s">
        <v>956</v>
      </c>
      <c r="C367" s="924" t="s">
        <v>887</v>
      </c>
      <c r="D367" s="926">
        <v>580736908</v>
      </c>
      <c r="E367" s="926">
        <v>42736788</v>
      </c>
      <c r="F367" s="926" t="s">
        <v>552</v>
      </c>
      <c r="G367" s="924">
        <v>2025</v>
      </c>
      <c r="H367" s="925">
        <v>600000</v>
      </c>
      <c r="I367" s="925">
        <v>0</v>
      </c>
      <c r="J367" s="924" t="s">
        <v>592</v>
      </c>
      <c r="K367" s="924" t="s">
        <v>593</v>
      </c>
    </row>
    <row r="368" spans="1:11" x14ac:dyDescent="0.25">
      <c r="A368" s="923">
        <v>1001832401</v>
      </c>
      <c r="B368" s="924" t="s">
        <v>957</v>
      </c>
      <c r="C368" s="924" t="s">
        <v>854</v>
      </c>
      <c r="D368" s="926">
        <v>580049591</v>
      </c>
      <c r="E368" s="926">
        <v>40000109</v>
      </c>
      <c r="F368" s="926" t="s">
        <v>624</v>
      </c>
      <c r="G368" s="924">
        <v>2025</v>
      </c>
      <c r="H368" s="925">
        <v>950000</v>
      </c>
      <c r="I368" s="925">
        <v>0</v>
      </c>
      <c r="J368" s="924" t="s">
        <v>592</v>
      </c>
      <c r="K368" s="924" t="s">
        <v>593</v>
      </c>
    </row>
    <row r="369" spans="1:11" x14ac:dyDescent="0.25">
      <c r="A369" s="923">
        <v>1001832580</v>
      </c>
      <c r="B369" s="924" t="s">
        <v>958</v>
      </c>
      <c r="C369" s="924" t="s">
        <v>854</v>
      </c>
      <c r="D369" s="926">
        <v>580189033</v>
      </c>
      <c r="E369" s="926">
        <v>40163978</v>
      </c>
      <c r="F369" s="926" t="s">
        <v>784</v>
      </c>
      <c r="G369" s="924">
        <v>2025</v>
      </c>
      <c r="H369" s="925">
        <v>650000</v>
      </c>
      <c r="I369" s="925">
        <v>0</v>
      </c>
      <c r="J369" s="924" t="s">
        <v>592</v>
      </c>
      <c r="K369" s="924" t="s">
        <v>593</v>
      </c>
    </row>
    <row r="370" spans="1:11" x14ac:dyDescent="0.25">
      <c r="A370" s="923">
        <v>1001833189</v>
      </c>
      <c r="B370" s="924" t="s">
        <v>959</v>
      </c>
      <c r="C370" s="924" t="s">
        <v>854</v>
      </c>
      <c r="D370" s="926">
        <v>580094977</v>
      </c>
      <c r="E370" s="926">
        <v>40000458</v>
      </c>
      <c r="F370" s="926" t="s">
        <v>805</v>
      </c>
      <c r="G370" s="924">
        <v>2025</v>
      </c>
      <c r="H370" s="925">
        <v>2000000</v>
      </c>
      <c r="I370" s="925">
        <v>0</v>
      </c>
      <c r="J370" s="924" t="s">
        <v>592</v>
      </c>
      <c r="K370" s="924" t="s">
        <v>593</v>
      </c>
    </row>
    <row r="371" spans="1:11" x14ac:dyDescent="0.25">
      <c r="A371" s="923">
        <v>1001833630</v>
      </c>
      <c r="B371" s="924" t="s">
        <v>960</v>
      </c>
      <c r="C371" s="924" t="s">
        <v>887</v>
      </c>
      <c r="D371" s="926">
        <v>580144624</v>
      </c>
      <c r="E371" s="926">
        <v>40000150</v>
      </c>
      <c r="F371" s="926" t="s">
        <v>864</v>
      </c>
      <c r="G371" s="924">
        <v>2025</v>
      </c>
      <c r="H371" s="925">
        <v>150000</v>
      </c>
      <c r="I371" s="925">
        <v>0</v>
      </c>
      <c r="J371" s="924" t="s">
        <v>592</v>
      </c>
      <c r="K371" s="924" t="s">
        <v>593</v>
      </c>
    </row>
    <row r="372" spans="1:11" x14ac:dyDescent="0.25">
      <c r="A372" s="923">
        <v>1001833693</v>
      </c>
      <c r="B372" s="924" t="s">
        <v>961</v>
      </c>
      <c r="C372" s="924" t="s">
        <v>887</v>
      </c>
      <c r="D372" s="926">
        <v>513423137</v>
      </c>
      <c r="E372" s="926">
        <v>40221446</v>
      </c>
      <c r="F372" s="926" t="s">
        <v>644</v>
      </c>
      <c r="G372" s="924">
        <v>2025</v>
      </c>
      <c r="H372" s="925">
        <v>2390000</v>
      </c>
      <c r="I372" s="925">
        <v>0</v>
      </c>
      <c r="J372" s="924" t="s">
        <v>592</v>
      </c>
      <c r="K372" s="924" t="s">
        <v>593</v>
      </c>
    </row>
    <row r="373" spans="1:11" x14ac:dyDescent="0.25">
      <c r="A373" s="923">
        <v>1001834141</v>
      </c>
      <c r="B373" s="924" t="s">
        <v>962</v>
      </c>
      <c r="C373" s="924" t="s">
        <v>854</v>
      </c>
      <c r="D373" s="926">
        <v>580525236</v>
      </c>
      <c r="E373" s="926">
        <v>40521896</v>
      </c>
      <c r="F373" s="926" t="s">
        <v>818</v>
      </c>
      <c r="G373" s="924">
        <v>2025</v>
      </c>
      <c r="H373" s="925">
        <v>100000</v>
      </c>
      <c r="I373" s="925">
        <v>0</v>
      </c>
      <c r="J373" s="924" t="s">
        <v>592</v>
      </c>
      <c r="K373" s="924" t="s">
        <v>593</v>
      </c>
    </row>
    <row r="374" spans="1:11" x14ac:dyDescent="0.25">
      <c r="A374" s="923">
        <v>1001835470</v>
      </c>
      <c r="B374" s="924" t="s">
        <v>963</v>
      </c>
      <c r="C374" s="924" t="s">
        <v>854</v>
      </c>
      <c r="D374" s="926">
        <v>514453554</v>
      </c>
      <c r="E374" s="926">
        <v>40578853</v>
      </c>
      <c r="F374" s="926" t="s">
        <v>629</v>
      </c>
      <c r="G374" s="924">
        <v>2025</v>
      </c>
      <c r="H374" s="925">
        <v>400000</v>
      </c>
      <c r="I374" s="925">
        <v>0</v>
      </c>
      <c r="J374" s="924" t="s">
        <v>592</v>
      </c>
      <c r="K374" s="924" t="s">
        <v>593</v>
      </c>
    </row>
    <row r="375" spans="1:11" x14ac:dyDescent="0.25">
      <c r="A375" s="923">
        <v>1001835730</v>
      </c>
      <c r="B375" s="924" t="s">
        <v>964</v>
      </c>
      <c r="C375" s="924" t="s">
        <v>887</v>
      </c>
      <c r="D375" s="926">
        <v>580464436</v>
      </c>
      <c r="E375" s="926">
        <v>40404326</v>
      </c>
      <c r="F375" s="926" t="s">
        <v>965</v>
      </c>
      <c r="G375" s="924">
        <v>2025</v>
      </c>
      <c r="H375" s="925">
        <v>255000</v>
      </c>
      <c r="I375" s="925">
        <v>0</v>
      </c>
      <c r="J375" s="924" t="s">
        <v>592</v>
      </c>
      <c r="K375" s="924" t="s">
        <v>593</v>
      </c>
    </row>
    <row r="376" spans="1:11" x14ac:dyDescent="0.25">
      <c r="A376" s="923">
        <v>1001835898</v>
      </c>
      <c r="B376" s="924" t="s">
        <v>966</v>
      </c>
      <c r="C376" s="924" t="s">
        <v>854</v>
      </c>
      <c r="D376" s="926">
        <v>580107977</v>
      </c>
      <c r="E376" s="926">
        <v>41484317</v>
      </c>
      <c r="F376" s="926" t="s">
        <v>814</v>
      </c>
      <c r="G376" s="924">
        <v>2025</v>
      </c>
      <c r="H376" s="925">
        <v>1000000</v>
      </c>
      <c r="I376" s="925">
        <v>0</v>
      </c>
      <c r="J376" s="924" t="s">
        <v>592</v>
      </c>
      <c r="K376" s="924" t="s">
        <v>593</v>
      </c>
    </row>
    <row r="377" spans="1:11" x14ac:dyDescent="0.25">
      <c r="A377" s="923">
        <v>1001835909</v>
      </c>
      <c r="B377" s="924" t="s">
        <v>596</v>
      </c>
      <c r="C377" s="924" t="s">
        <v>854</v>
      </c>
      <c r="D377" s="926">
        <v>580103026</v>
      </c>
      <c r="E377" s="926">
        <v>40000134</v>
      </c>
      <c r="F377" s="926" t="s">
        <v>597</v>
      </c>
      <c r="G377" s="924">
        <v>2025</v>
      </c>
      <c r="H377" s="925">
        <v>300000</v>
      </c>
      <c r="I377" s="925">
        <v>0</v>
      </c>
      <c r="J377" s="924" t="s">
        <v>592</v>
      </c>
      <c r="K377" s="924" t="s">
        <v>593</v>
      </c>
    </row>
    <row r="378" spans="1:11" x14ac:dyDescent="0.25">
      <c r="A378" s="923">
        <v>1001836666</v>
      </c>
      <c r="B378" s="924" t="s">
        <v>1018</v>
      </c>
      <c r="C378" s="924" t="s">
        <v>613</v>
      </c>
      <c r="D378" s="926">
        <v>580189595</v>
      </c>
      <c r="E378" s="926">
        <v>40299627</v>
      </c>
      <c r="F378" s="926" t="s">
        <v>777</v>
      </c>
      <c r="G378" s="924">
        <v>2025</v>
      </c>
      <c r="H378" s="925">
        <v>250000</v>
      </c>
      <c r="I378" s="925">
        <v>0</v>
      </c>
      <c r="J378" s="924" t="s">
        <v>592</v>
      </c>
      <c r="K378" s="924" t="s">
        <v>593</v>
      </c>
    </row>
    <row r="379" spans="1:11" x14ac:dyDescent="0.25">
      <c r="A379" s="923">
        <v>1001836765</v>
      </c>
      <c r="B379" s="924" t="s">
        <v>967</v>
      </c>
      <c r="C379" s="924" t="s">
        <v>887</v>
      </c>
      <c r="D379" s="926">
        <v>511757114</v>
      </c>
      <c r="E379" s="926">
        <v>40000291</v>
      </c>
      <c r="F379" s="926" t="s">
        <v>373</v>
      </c>
      <c r="G379" s="924">
        <v>2025</v>
      </c>
      <c r="H379" s="925">
        <v>800000</v>
      </c>
      <c r="I379" s="925">
        <v>0</v>
      </c>
      <c r="J379" s="924" t="s">
        <v>592</v>
      </c>
      <c r="K379" s="924" t="s">
        <v>593</v>
      </c>
    </row>
    <row r="380" spans="1:11" x14ac:dyDescent="0.25">
      <c r="A380" s="923">
        <v>1001836766</v>
      </c>
      <c r="B380" s="924" t="s">
        <v>968</v>
      </c>
      <c r="C380" s="924" t="s">
        <v>887</v>
      </c>
      <c r="D380" s="926">
        <v>511757114</v>
      </c>
      <c r="E380" s="926">
        <v>40000291</v>
      </c>
      <c r="F380" s="926" t="s">
        <v>373</v>
      </c>
      <c r="G380" s="924">
        <v>2025</v>
      </c>
      <c r="H380" s="925">
        <v>800000</v>
      </c>
      <c r="I380" s="925">
        <v>0</v>
      </c>
      <c r="J380" s="924" t="s">
        <v>592</v>
      </c>
      <c r="K380" s="924" t="s">
        <v>593</v>
      </c>
    </row>
    <row r="381" spans="1:11" x14ac:dyDescent="0.25">
      <c r="A381" s="923">
        <v>1001836814</v>
      </c>
      <c r="B381" s="924" t="s">
        <v>969</v>
      </c>
      <c r="C381" s="924" t="s">
        <v>887</v>
      </c>
      <c r="D381" s="926">
        <v>580019917</v>
      </c>
      <c r="E381" s="926">
        <v>40000070</v>
      </c>
      <c r="F381" s="926" t="s">
        <v>847</v>
      </c>
      <c r="G381" s="924">
        <v>2025</v>
      </c>
      <c r="H381" s="925">
        <v>500000</v>
      </c>
      <c r="I381" s="925">
        <v>0</v>
      </c>
      <c r="J381" s="924" t="s">
        <v>592</v>
      </c>
      <c r="K381" s="924" t="s">
        <v>593</v>
      </c>
    </row>
    <row r="382" spans="1:11" x14ac:dyDescent="0.25">
      <c r="A382" s="923">
        <v>1001837043</v>
      </c>
      <c r="B382" s="924" t="s">
        <v>970</v>
      </c>
      <c r="C382" s="924" t="s">
        <v>887</v>
      </c>
      <c r="D382" s="926">
        <v>500250006</v>
      </c>
      <c r="E382" s="926">
        <v>20000201</v>
      </c>
      <c r="F382" s="926" t="s">
        <v>830</v>
      </c>
      <c r="G382" s="924">
        <v>2025</v>
      </c>
      <c r="H382" s="925">
        <v>100000</v>
      </c>
      <c r="I382" s="925">
        <v>0</v>
      </c>
      <c r="J382" s="924" t="s">
        <v>592</v>
      </c>
      <c r="K382" s="924" t="s">
        <v>593</v>
      </c>
    </row>
    <row r="383" spans="1:11" x14ac:dyDescent="0.25">
      <c r="A383" s="923">
        <v>1001837455</v>
      </c>
      <c r="B383" s="924" t="s">
        <v>971</v>
      </c>
      <c r="C383" s="924" t="s">
        <v>887</v>
      </c>
      <c r="D383" s="926">
        <v>580019917</v>
      </c>
      <c r="E383" s="926">
        <v>40000070</v>
      </c>
      <c r="F383" s="926" t="s">
        <v>847</v>
      </c>
      <c r="G383" s="924">
        <v>2025</v>
      </c>
      <c r="H383" s="925">
        <v>200000</v>
      </c>
      <c r="I383" s="925">
        <v>0</v>
      </c>
      <c r="J383" s="924" t="s">
        <v>592</v>
      </c>
      <c r="K383" s="924" t="s">
        <v>593</v>
      </c>
    </row>
    <row r="384" spans="1:11" x14ac:dyDescent="0.25">
      <c r="A384" s="923">
        <v>1001837456</v>
      </c>
      <c r="B384" s="924" t="s">
        <v>972</v>
      </c>
      <c r="C384" s="924" t="s">
        <v>887</v>
      </c>
      <c r="D384" s="926">
        <v>580019917</v>
      </c>
      <c r="E384" s="926">
        <v>40000070</v>
      </c>
      <c r="F384" s="926" t="s">
        <v>847</v>
      </c>
      <c r="G384" s="924">
        <v>2025</v>
      </c>
      <c r="H384" s="925">
        <v>200000</v>
      </c>
      <c r="I384" s="925">
        <v>0</v>
      </c>
      <c r="J384" s="924" t="s">
        <v>592</v>
      </c>
      <c r="K384" s="924" t="s">
        <v>593</v>
      </c>
    </row>
    <row r="385" spans="1:11" x14ac:dyDescent="0.25">
      <c r="A385" s="923">
        <v>1001837690</v>
      </c>
      <c r="B385" s="924" t="s">
        <v>973</v>
      </c>
      <c r="C385" s="924" t="s">
        <v>887</v>
      </c>
      <c r="D385" s="926">
        <v>580610962</v>
      </c>
      <c r="E385" s="926">
        <v>41635660</v>
      </c>
      <c r="F385" s="926" t="s">
        <v>852</v>
      </c>
      <c r="G385" s="924">
        <v>2025</v>
      </c>
      <c r="H385" s="925">
        <v>2000000</v>
      </c>
      <c r="I385" s="925">
        <v>0</v>
      </c>
      <c r="J385" s="924" t="s">
        <v>592</v>
      </c>
      <c r="K385" s="924" t="s">
        <v>593</v>
      </c>
    </row>
    <row r="386" spans="1:11" x14ac:dyDescent="0.25">
      <c r="A386" s="923">
        <v>1001838447</v>
      </c>
      <c r="B386" s="924" t="s">
        <v>649</v>
      </c>
      <c r="C386" s="924" t="s">
        <v>887</v>
      </c>
      <c r="D386" s="926">
        <v>580650265</v>
      </c>
      <c r="E386" s="926">
        <v>41626750</v>
      </c>
      <c r="F386" s="926" t="s">
        <v>650</v>
      </c>
      <c r="G386" s="924">
        <v>2025</v>
      </c>
      <c r="H386" s="925">
        <v>500000</v>
      </c>
      <c r="I386" s="925">
        <v>0</v>
      </c>
      <c r="J386" s="924" t="s">
        <v>592</v>
      </c>
      <c r="K386" s="924" t="s">
        <v>593</v>
      </c>
    </row>
    <row r="387" spans="1:11" x14ac:dyDescent="0.25">
      <c r="A387" s="923">
        <v>1001838634</v>
      </c>
      <c r="B387" s="924" t="s">
        <v>974</v>
      </c>
      <c r="C387" s="924" t="s">
        <v>854</v>
      </c>
      <c r="D387" s="926">
        <v>580466787</v>
      </c>
      <c r="E387" s="926">
        <v>40323479</v>
      </c>
      <c r="F387" s="926" t="s">
        <v>605</v>
      </c>
      <c r="G387" s="924">
        <v>2025</v>
      </c>
      <c r="H387" s="925">
        <v>750000</v>
      </c>
      <c r="I387" s="925">
        <v>0</v>
      </c>
      <c r="J387" s="924" t="s">
        <v>592</v>
      </c>
      <c r="K387" s="924" t="s">
        <v>593</v>
      </c>
    </row>
    <row r="388" spans="1:11" x14ac:dyDescent="0.25">
      <c r="A388" s="923">
        <v>1001838797</v>
      </c>
      <c r="B388" s="924" t="s">
        <v>1019</v>
      </c>
      <c r="C388" s="924" t="s">
        <v>613</v>
      </c>
      <c r="D388" s="926">
        <v>580649739</v>
      </c>
      <c r="E388" s="926">
        <v>42415013</v>
      </c>
      <c r="F388" s="926" t="s">
        <v>976</v>
      </c>
      <c r="G388" s="924">
        <v>2025</v>
      </c>
      <c r="H388" s="925">
        <v>500</v>
      </c>
      <c r="I388" s="925">
        <v>0</v>
      </c>
      <c r="J388" s="924" t="s">
        <v>592</v>
      </c>
      <c r="K388" s="924" t="s">
        <v>593</v>
      </c>
    </row>
    <row r="389" spans="1:11" x14ac:dyDescent="0.25">
      <c r="A389" s="923">
        <v>1001838798</v>
      </c>
      <c r="B389" s="924" t="s">
        <v>975</v>
      </c>
      <c r="C389" s="924" t="s">
        <v>887</v>
      </c>
      <c r="D389" s="926">
        <v>580649739</v>
      </c>
      <c r="E389" s="926">
        <v>42415013</v>
      </c>
      <c r="F389" s="926" t="s">
        <v>976</v>
      </c>
      <c r="G389" s="924">
        <v>2025</v>
      </c>
      <c r="H389" s="925">
        <v>649397</v>
      </c>
      <c r="I389" s="925">
        <v>0</v>
      </c>
      <c r="J389" s="924" t="s">
        <v>592</v>
      </c>
      <c r="K389" s="924" t="s">
        <v>593</v>
      </c>
    </row>
    <row r="390" spans="1:11" x14ac:dyDescent="0.25">
      <c r="A390" s="923">
        <v>1001838930</v>
      </c>
      <c r="B390" s="924" t="s">
        <v>1020</v>
      </c>
      <c r="C390" s="924" t="s">
        <v>887</v>
      </c>
      <c r="D390" s="926">
        <v>580263572</v>
      </c>
      <c r="E390" s="926">
        <v>40001691</v>
      </c>
      <c r="F390" s="926" t="s">
        <v>885</v>
      </c>
      <c r="G390" s="924">
        <v>2025</v>
      </c>
      <c r="H390" s="925">
        <v>245000</v>
      </c>
      <c r="I390" s="925">
        <v>0</v>
      </c>
      <c r="J390" s="924" t="s">
        <v>592</v>
      </c>
      <c r="K390" s="924" t="s">
        <v>593</v>
      </c>
    </row>
    <row r="391" spans="1:11" x14ac:dyDescent="0.25">
      <c r="A391" s="923">
        <v>1001838931</v>
      </c>
      <c r="B391" s="924" t="s">
        <v>977</v>
      </c>
      <c r="C391" s="924" t="s">
        <v>887</v>
      </c>
      <c r="D391" s="926">
        <v>520028275</v>
      </c>
      <c r="E391" s="926">
        <v>40000043</v>
      </c>
      <c r="F391" s="926" t="s">
        <v>881</v>
      </c>
      <c r="G391" s="924">
        <v>2025</v>
      </c>
      <c r="H391" s="925">
        <v>120000</v>
      </c>
      <c r="I391" s="925">
        <v>0</v>
      </c>
      <c r="J391" s="924" t="s">
        <v>592</v>
      </c>
      <c r="K391" s="924" t="s">
        <v>593</v>
      </c>
    </row>
    <row r="392" spans="1:11" x14ac:dyDescent="0.25">
      <c r="A392" s="923">
        <v>1001841735</v>
      </c>
      <c r="B392" s="924" t="s">
        <v>978</v>
      </c>
      <c r="C392" s="924" t="s">
        <v>887</v>
      </c>
      <c r="D392" s="926">
        <v>580051068</v>
      </c>
      <c r="E392" s="926">
        <v>40000400</v>
      </c>
      <c r="F392" s="926" t="s">
        <v>768</v>
      </c>
      <c r="G392" s="924">
        <v>2025</v>
      </c>
      <c r="H392" s="925">
        <v>400000</v>
      </c>
      <c r="I392" s="925">
        <v>0</v>
      </c>
      <c r="J392" s="924" t="s">
        <v>592</v>
      </c>
      <c r="K392" s="924" t="s">
        <v>593</v>
      </c>
    </row>
    <row r="393" spans="1:11" x14ac:dyDescent="0.25">
      <c r="A393" s="923">
        <v>1001841815</v>
      </c>
      <c r="B393" s="924" t="s">
        <v>979</v>
      </c>
      <c r="C393" s="924" t="s">
        <v>854</v>
      </c>
      <c r="D393" s="926">
        <v>580049955</v>
      </c>
      <c r="E393" s="926">
        <v>40000111</v>
      </c>
      <c r="F393" s="926" t="s">
        <v>615</v>
      </c>
      <c r="G393" s="924">
        <v>2025</v>
      </c>
      <c r="H393" s="925">
        <v>8000000</v>
      </c>
      <c r="I393" s="925">
        <v>0</v>
      </c>
      <c r="J393" s="924" t="s">
        <v>592</v>
      </c>
      <c r="K393" s="924" t="s">
        <v>593</v>
      </c>
    </row>
    <row r="394" spans="1:11" x14ac:dyDescent="0.25">
      <c r="A394" s="923">
        <v>1001842152</v>
      </c>
      <c r="B394" s="924" t="s">
        <v>673</v>
      </c>
      <c r="C394" s="924" t="s">
        <v>854</v>
      </c>
      <c r="D394" s="926">
        <v>580327740</v>
      </c>
      <c r="E394" s="926">
        <v>40221541</v>
      </c>
      <c r="F394" s="926" t="s">
        <v>674</v>
      </c>
      <c r="G394" s="924">
        <v>2025</v>
      </c>
      <c r="H394" s="925">
        <v>1100000</v>
      </c>
      <c r="I394" s="925">
        <v>0</v>
      </c>
      <c r="J394" s="924" t="s">
        <v>592</v>
      </c>
      <c r="K394" s="924" t="s">
        <v>593</v>
      </c>
    </row>
    <row r="395" spans="1:11" x14ac:dyDescent="0.25">
      <c r="A395" s="923">
        <v>1001842399</v>
      </c>
      <c r="B395" s="924" t="s">
        <v>980</v>
      </c>
      <c r="C395" s="924" t="s">
        <v>887</v>
      </c>
      <c r="D395" s="926">
        <v>500284005</v>
      </c>
      <c r="E395" s="926">
        <v>20000248</v>
      </c>
      <c r="F395" s="926" t="s">
        <v>782</v>
      </c>
      <c r="G395" s="924">
        <v>2025</v>
      </c>
      <c r="H395" s="925">
        <v>115000</v>
      </c>
      <c r="I395" s="925">
        <v>0</v>
      </c>
      <c r="J395" s="924" t="s">
        <v>592</v>
      </c>
      <c r="K395" s="924" t="s">
        <v>593</v>
      </c>
    </row>
    <row r="396" spans="1:11" x14ac:dyDescent="0.25">
      <c r="A396" s="923">
        <v>1001842757</v>
      </c>
      <c r="B396" s="924" t="s">
        <v>981</v>
      </c>
      <c r="C396" s="924" t="s">
        <v>854</v>
      </c>
      <c r="D396" s="926">
        <v>580401404</v>
      </c>
      <c r="E396" s="926">
        <v>40216106</v>
      </c>
      <c r="F396" s="926" t="s">
        <v>595</v>
      </c>
      <c r="G396" s="924">
        <v>2025</v>
      </c>
      <c r="H396" s="925">
        <v>1400000</v>
      </c>
      <c r="I396" s="925">
        <v>0</v>
      </c>
      <c r="J396" s="924" t="s">
        <v>592</v>
      </c>
      <c r="K396" s="924" t="s">
        <v>593</v>
      </c>
    </row>
    <row r="397" spans="1:11" x14ac:dyDescent="0.25">
      <c r="A397" s="923">
        <v>1001842759</v>
      </c>
      <c r="B397" s="924" t="s">
        <v>982</v>
      </c>
      <c r="C397" s="924" t="s">
        <v>854</v>
      </c>
      <c r="D397" s="926">
        <v>580617660</v>
      </c>
      <c r="E397" s="926">
        <v>41376759</v>
      </c>
      <c r="F397" s="926" t="s">
        <v>824</v>
      </c>
      <c r="G397" s="924">
        <v>2025</v>
      </c>
      <c r="H397" s="925">
        <v>900000</v>
      </c>
      <c r="I397" s="925">
        <v>0</v>
      </c>
      <c r="J397" s="924" t="s">
        <v>592</v>
      </c>
      <c r="K397" s="924" t="s">
        <v>593</v>
      </c>
    </row>
    <row r="398" spans="1:11" x14ac:dyDescent="0.25">
      <c r="A398" s="923">
        <v>1001842774</v>
      </c>
      <c r="B398" s="924" t="s">
        <v>983</v>
      </c>
      <c r="C398" s="924" t="s">
        <v>854</v>
      </c>
      <c r="D398" s="926">
        <v>580503613</v>
      </c>
      <c r="E398" s="926">
        <v>40395783</v>
      </c>
      <c r="F398" s="926" t="s">
        <v>634</v>
      </c>
      <c r="G398" s="924">
        <v>2025</v>
      </c>
      <c r="H398" s="925">
        <v>8500000</v>
      </c>
      <c r="I398" s="925">
        <v>0</v>
      </c>
      <c r="J398" s="924" t="s">
        <v>592</v>
      </c>
      <c r="K398" s="924" t="s">
        <v>593</v>
      </c>
    </row>
    <row r="399" spans="1:11" x14ac:dyDescent="0.25">
      <c r="A399" s="923">
        <v>1001842871</v>
      </c>
      <c r="B399" s="924" t="s">
        <v>984</v>
      </c>
      <c r="C399" s="924" t="s">
        <v>854</v>
      </c>
      <c r="D399" s="926">
        <v>580617660</v>
      </c>
      <c r="E399" s="926">
        <v>41376759</v>
      </c>
      <c r="F399" s="926" t="s">
        <v>824</v>
      </c>
      <c r="G399" s="924">
        <v>2025</v>
      </c>
      <c r="H399" s="925">
        <v>250000</v>
      </c>
      <c r="I399" s="925">
        <v>0</v>
      </c>
      <c r="J399" s="924" t="s">
        <v>592</v>
      </c>
      <c r="K399" s="924" t="s">
        <v>593</v>
      </c>
    </row>
    <row r="400" spans="1:11" x14ac:dyDescent="0.25">
      <c r="A400" s="923">
        <v>1001842879</v>
      </c>
      <c r="B400" s="924" t="s">
        <v>876</v>
      </c>
      <c r="C400" s="924" t="s">
        <v>887</v>
      </c>
      <c r="D400" s="926">
        <v>580015535</v>
      </c>
      <c r="E400" s="926">
        <v>40000065</v>
      </c>
      <c r="F400" s="926" t="s">
        <v>877</v>
      </c>
      <c r="G400" s="924">
        <v>2025</v>
      </c>
      <c r="H400" s="925">
        <v>250000</v>
      </c>
      <c r="I400" s="925">
        <v>0</v>
      </c>
      <c r="J400" s="924" t="s">
        <v>592</v>
      </c>
      <c r="K400" s="924" t="s">
        <v>593</v>
      </c>
    </row>
    <row r="401" spans="1:11" x14ac:dyDescent="0.25">
      <c r="A401" s="923">
        <v>1001843028</v>
      </c>
      <c r="B401" s="924" t="s">
        <v>985</v>
      </c>
      <c r="C401" s="924" t="s">
        <v>854</v>
      </c>
      <c r="D401" s="926">
        <v>580635423</v>
      </c>
      <c r="E401" s="926">
        <v>41489877</v>
      </c>
      <c r="F401" s="926" t="s">
        <v>811</v>
      </c>
      <c r="G401" s="924">
        <v>2025</v>
      </c>
      <c r="H401" s="925">
        <v>230000</v>
      </c>
      <c r="I401" s="925">
        <v>0</v>
      </c>
      <c r="J401" s="924" t="s">
        <v>592</v>
      </c>
      <c r="K401" s="924" t="s">
        <v>593</v>
      </c>
    </row>
    <row r="402" spans="1:11" x14ac:dyDescent="0.25">
      <c r="A402" s="923">
        <v>1001843160</v>
      </c>
      <c r="B402" s="924" t="s">
        <v>876</v>
      </c>
      <c r="C402" s="924" t="s">
        <v>887</v>
      </c>
      <c r="D402" s="926">
        <v>580015535</v>
      </c>
      <c r="E402" s="926">
        <v>40000065</v>
      </c>
      <c r="F402" s="926" t="s">
        <v>877</v>
      </c>
      <c r="G402" s="924">
        <v>2025</v>
      </c>
      <c r="H402" s="925">
        <v>250000</v>
      </c>
      <c r="I402" s="925">
        <v>0</v>
      </c>
      <c r="J402" s="924" t="s">
        <v>592</v>
      </c>
      <c r="K402" s="924" t="s">
        <v>593</v>
      </c>
    </row>
    <row r="403" spans="1:11" x14ac:dyDescent="0.25">
      <c r="A403" s="923">
        <v>1001843161</v>
      </c>
      <c r="B403" s="924" t="s">
        <v>876</v>
      </c>
      <c r="C403" s="924" t="s">
        <v>887</v>
      </c>
      <c r="D403" s="926">
        <v>580015535</v>
      </c>
      <c r="E403" s="926">
        <v>40000065</v>
      </c>
      <c r="F403" s="926" t="s">
        <v>877</v>
      </c>
      <c r="G403" s="924">
        <v>2025</v>
      </c>
      <c r="H403" s="925">
        <v>250000</v>
      </c>
      <c r="I403" s="925">
        <v>0</v>
      </c>
      <c r="J403" s="924" t="s">
        <v>592</v>
      </c>
      <c r="K403" s="924" t="s">
        <v>593</v>
      </c>
    </row>
    <row r="404" spans="1:11" x14ac:dyDescent="0.25">
      <c r="A404" s="923">
        <v>1001843458</v>
      </c>
      <c r="B404" s="924" t="s">
        <v>962</v>
      </c>
      <c r="C404" s="924" t="s">
        <v>854</v>
      </c>
      <c r="D404" s="926">
        <v>580641256</v>
      </c>
      <c r="E404" s="926">
        <v>41627319</v>
      </c>
      <c r="F404" s="926" t="s">
        <v>640</v>
      </c>
      <c r="G404" s="924">
        <v>2025</v>
      </c>
      <c r="H404" s="925">
        <v>300000</v>
      </c>
      <c r="I404" s="925">
        <v>0</v>
      </c>
      <c r="J404" s="924" t="s">
        <v>592</v>
      </c>
      <c r="K404" s="924" t="s">
        <v>593</v>
      </c>
    </row>
    <row r="405" spans="1:11" x14ac:dyDescent="0.25">
      <c r="A405" s="923">
        <v>1001843459</v>
      </c>
      <c r="B405" s="924" t="s">
        <v>986</v>
      </c>
      <c r="C405" s="924" t="s">
        <v>854</v>
      </c>
      <c r="D405" s="926">
        <v>580641256</v>
      </c>
      <c r="E405" s="926">
        <v>41627319</v>
      </c>
      <c r="F405" s="926" t="s">
        <v>640</v>
      </c>
      <c r="G405" s="924">
        <v>2025</v>
      </c>
      <c r="H405" s="925">
        <v>200000</v>
      </c>
      <c r="I405" s="925">
        <v>0</v>
      </c>
      <c r="J405" s="924" t="s">
        <v>592</v>
      </c>
      <c r="K405" s="924" t="s">
        <v>593</v>
      </c>
    </row>
    <row r="406" spans="1:11" x14ac:dyDescent="0.25">
      <c r="A406" s="923">
        <v>1001843545</v>
      </c>
      <c r="B406" s="924" t="s">
        <v>987</v>
      </c>
      <c r="C406" s="924" t="s">
        <v>887</v>
      </c>
      <c r="D406" s="926">
        <v>580736908</v>
      </c>
      <c r="E406" s="926">
        <v>42736788</v>
      </c>
      <c r="F406" s="926" t="s">
        <v>552</v>
      </c>
      <c r="G406" s="924">
        <v>2025</v>
      </c>
      <c r="H406" s="925">
        <v>600000</v>
      </c>
      <c r="I406" s="925">
        <v>0</v>
      </c>
      <c r="J406" s="924" t="s">
        <v>592</v>
      </c>
      <c r="K406" s="924" t="s">
        <v>593</v>
      </c>
    </row>
    <row r="407" spans="1:11" x14ac:dyDescent="0.25">
      <c r="A407" s="923">
        <v>1001843780</v>
      </c>
      <c r="B407" s="924" t="s">
        <v>988</v>
      </c>
      <c r="C407" s="924" t="s">
        <v>613</v>
      </c>
      <c r="D407" s="926">
        <v>580542645</v>
      </c>
      <c r="E407" s="926">
        <v>42217638</v>
      </c>
      <c r="F407" s="926" t="s">
        <v>791</v>
      </c>
      <c r="G407" s="924">
        <v>2025</v>
      </c>
      <c r="H407" s="925">
        <v>300000</v>
      </c>
      <c r="I407" s="925">
        <v>0</v>
      </c>
      <c r="J407" s="924" t="s">
        <v>592</v>
      </c>
      <c r="K407" s="924" t="s">
        <v>593</v>
      </c>
    </row>
    <row r="408" spans="1:11" x14ac:dyDescent="0.25">
      <c r="A408" s="923">
        <v>1001843792</v>
      </c>
      <c r="B408" s="924" t="s">
        <v>989</v>
      </c>
      <c r="C408" s="924" t="s">
        <v>887</v>
      </c>
      <c r="D408" s="926">
        <v>580146850</v>
      </c>
      <c r="E408" s="926">
        <v>40000505</v>
      </c>
      <c r="F408" s="926" t="s">
        <v>657</v>
      </c>
      <c r="G408" s="924">
        <v>2025</v>
      </c>
      <c r="H408" s="925">
        <v>150000</v>
      </c>
      <c r="I408" s="925">
        <v>0</v>
      </c>
      <c r="J408" s="924" t="s">
        <v>592</v>
      </c>
      <c r="K408" s="924" t="s">
        <v>593</v>
      </c>
    </row>
    <row r="409" spans="1:11" x14ac:dyDescent="0.25">
      <c r="A409" s="923">
        <v>1001843795</v>
      </c>
      <c r="B409" s="924" t="s">
        <v>990</v>
      </c>
      <c r="C409" s="924" t="s">
        <v>887</v>
      </c>
      <c r="D409" s="926">
        <v>580551984</v>
      </c>
      <c r="E409" s="926">
        <v>41457607</v>
      </c>
      <c r="F409" s="926" t="s">
        <v>617</v>
      </c>
      <c r="G409" s="924">
        <v>2025</v>
      </c>
      <c r="H409" s="925">
        <v>4800000</v>
      </c>
      <c r="I409" s="925">
        <v>0</v>
      </c>
      <c r="J409" s="924" t="s">
        <v>592</v>
      </c>
      <c r="K409" s="924" t="s">
        <v>593</v>
      </c>
    </row>
    <row r="410" spans="1:11" x14ac:dyDescent="0.25">
      <c r="A410" s="923">
        <v>1001843796</v>
      </c>
      <c r="B410" s="924" t="s">
        <v>991</v>
      </c>
      <c r="C410" s="924" t="s">
        <v>854</v>
      </c>
      <c r="D410" s="926">
        <v>580551984</v>
      </c>
      <c r="E410" s="926">
        <v>41457607</v>
      </c>
      <c r="F410" s="926" t="s">
        <v>617</v>
      </c>
      <c r="G410" s="924">
        <v>2025</v>
      </c>
      <c r="H410" s="925">
        <v>1200000</v>
      </c>
      <c r="I410" s="925">
        <v>0</v>
      </c>
      <c r="J410" s="924" t="s">
        <v>592</v>
      </c>
      <c r="K410" s="924" t="s">
        <v>593</v>
      </c>
    </row>
    <row r="411" spans="1:11" x14ac:dyDescent="0.25">
      <c r="A411" s="923">
        <v>1001843941</v>
      </c>
      <c r="B411" s="924" t="s">
        <v>1021</v>
      </c>
      <c r="C411" s="924" t="s">
        <v>613</v>
      </c>
      <c r="D411" s="926">
        <v>515538684</v>
      </c>
      <c r="E411" s="926">
        <v>41598536</v>
      </c>
      <c r="F411" s="926" t="s">
        <v>856</v>
      </c>
      <c r="G411" s="924">
        <v>2025</v>
      </c>
      <c r="H411" s="925">
        <v>69000</v>
      </c>
      <c r="I411" s="925">
        <v>0</v>
      </c>
      <c r="J411" s="924" t="s">
        <v>592</v>
      </c>
      <c r="K411" s="924" t="s">
        <v>593</v>
      </c>
    </row>
    <row r="412" spans="1:11" x14ac:dyDescent="0.25">
      <c r="A412" s="923">
        <v>1001843958</v>
      </c>
      <c r="B412" s="924" t="s">
        <v>992</v>
      </c>
      <c r="C412" s="924" t="s">
        <v>854</v>
      </c>
      <c r="D412" s="926">
        <v>580717494</v>
      </c>
      <c r="E412" s="926">
        <v>42449646</v>
      </c>
      <c r="F412" s="926" t="s">
        <v>535</v>
      </c>
      <c r="G412" s="924">
        <v>2025</v>
      </c>
      <c r="H412" s="925">
        <v>150000</v>
      </c>
      <c r="I412" s="925">
        <v>0</v>
      </c>
      <c r="J412" s="924" t="s">
        <v>592</v>
      </c>
      <c r="K412" s="924" t="s">
        <v>593</v>
      </c>
    </row>
    <row r="413" spans="1:11" x14ac:dyDescent="0.25">
      <c r="A413" s="923">
        <v>1001843974</v>
      </c>
      <c r="B413" s="924" t="s">
        <v>993</v>
      </c>
      <c r="C413" s="924" t="s">
        <v>854</v>
      </c>
      <c r="D413" s="926">
        <v>580552909</v>
      </c>
      <c r="E413" s="926">
        <v>41072447</v>
      </c>
      <c r="F413" s="926" t="s">
        <v>793</v>
      </c>
      <c r="G413" s="924">
        <v>2025</v>
      </c>
      <c r="H413" s="925">
        <v>2500000</v>
      </c>
      <c r="I413" s="925">
        <v>0</v>
      </c>
      <c r="J413" s="924" t="s">
        <v>592</v>
      </c>
      <c r="K413" s="924" t="s">
        <v>593</v>
      </c>
    </row>
    <row r="414" spans="1:11" x14ac:dyDescent="0.25">
      <c r="A414" s="923">
        <v>1001843975</v>
      </c>
      <c r="B414" s="924" t="s">
        <v>994</v>
      </c>
      <c r="C414" s="924" t="s">
        <v>854</v>
      </c>
      <c r="D414" s="926">
        <v>580552909</v>
      </c>
      <c r="E414" s="926">
        <v>41072447</v>
      </c>
      <c r="F414" s="926" t="s">
        <v>793</v>
      </c>
      <c r="G414" s="924">
        <v>2025</v>
      </c>
      <c r="H414" s="925">
        <v>500000</v>
      </c>
      <c r="I414" s="925">
        <v>0</v>
      </c>
      <c r="J414" s="924" t="s">
        <v>592</v>
      </c>
      <c r="K414" s="924" t="s">
        <v>593</v>
      </c>
    </row>
    <row r="415" spans="1:11" x14ac:dyDescent="0.25">
      <c r="A415" s="923">
        <v>1001843995</v>
      </c>
      <c r="B415" s="924" t="s">
        <v>643</v>
      </c>
      <c r="C415" s="924" t="s">
        <v>854</v>
      </c>
      <c r="D415" s="926">
        <v>580154938</v>
      </c>
      <c r="E415" s="926">
        <v>40000157</v>
      </c>
      <c r="F415" s="926" t="s">
        <v>808</v>
      </c>
      <c r="G415" s="924">
        <v>2025</v>
      </c>
      <c r="H415" s="925">
        <v>3500000</v>
      </c>
      <c r="I415" s="925">
        <v>0</v>
      </c>
      <c r="J415" s="924" t="s">
        <v>592</v>
      </c>
      <c r="K415" s="924" t="s">
        <v>593</v>
      </c>
    </row>
    <row r="416" spans="1:11" x14ac:dyDescent="0.25">
      <c r="A416" s="923">
        <v>1001844002</v>
      </c>
      <c r="B416" s="924" t="s">
        <v>809</v>
      </c>
      <c r="C416" s="924" t="s">
        <v>887</v>
      </c>
      <c r="D416" s="926">
        <v>580154938</v>
      </c>
      <c r="E416" s="926">
        <v>40000157</v>
      </c>
      <c r="F416" s="926" t="s">
        <v>808</v>
      </c>
      <c r="G416" s="924">
        <v>2025</v>
      </c>
      <c r="H416" s="925">
        <v>300000</v>
      </c>
      <c r="I416" s="925">
        <v>0</v>
      </c>
      <c r="J416" s="924" t="s">
        <v>592</v>
      </c>
      <c r="K416" s="924" t="s">
        <v>593</v>
      </c>
    </row>
    <row r="417" spans="1:11" x14ac:dyDescent="0.25">
      <c r="A417" s="923">
        <v>1001844039</v>
      </c>
      <c r="B417" s="924" t="s">
        <v>995</v>
      </c>
      <c r="C417" s="924" t="s">
        <v>887</v>
      </c>
      <c r="D417" s="926">
        <v>515538684</v>
      </c>
      <c r="E417" s="926">
        <v>41598536</v>
      </c>
      <c r="F417" s="926" t="s">
        <v>856</v>
      </c>
      <c r="G417" s="924">
        <v>2025</v>
      </c>
      <c r="H417" s="925">
        <v>69000</v>
      </c>
      <c r="I417" s="925">
        <v>0</v>
      </c>
      <c r="J417" s="924" t="s">
        <v>592</v>
      </c>
      <c r="K417" s="924" t="s">
        <v>593</v>
      </c>
    </row>
    <row r="418" spans="1:11" x14ac:dyDescent="0.25">
      <c r="A418" s="923">
        <v>1001844047</v>
      </c>
      <c r="B418" s="924" t="s">
        <v>996</v>
      </c>
      <c r="C418" s="924" t="s">
        <v>887</v>
      </c>
      <c r="D418" s="926">
        <v>580036242</v>
      </c>
      <c r="E418" s="926">
        <v>40000091</v>
      </c>
      <c r="F418" s="926" t="s">
        <v>833</v>
      </c>
      <c r="G418" s="924">
        <v>2025</v>
      </c>
      <c r="H418" s="925">
        <v>90000</v>
      </c>
      <c r="I418" s="925">
        <v>0</v>
      </c>
      <c r="J418" s="924" t="s">
        <v>592</v>
      </c>
      <c r="K418" s="924" t="s">
        <v>593</v>
      </c>
    </row>
    <row r="419" spans="1:11" x14ac:dyDescent="0.25">
      <c r="A419" s="923">
        <v>1001844048</v>
      </c>
      <c r="B419" s="924" t="s">
        <v>870</v>
      </c>
      <c r="C419" s="924" t="s">
        <v>887</v>
      </c>
      <c r="D419" s="926">
        <v>580036242</v>
      </c>
      <c r="E419" s="926">
        <v>40000091</v>
      </c>
      <c r="F419" s="926" t="s">
        <v>833</v>
      </c>
      <c r="G419" s="924">
        <v>2025</v>
      </c>
      <c r="H419" s="925">
        <v>35000</v>
      </c>
      <c r="I419" s="925">
        <v>0</v>
      </c>
      <c r="J419" s="924" t="s">
        <v>592</v>
      </c>
      <c r="K419" s="924" t="s">
        <v>593</v>
      </c>
    </row>
    <row r="420" spans="1:11" x14ac:dyDescent="0.25">
      <c r="A420" s="923">
        <v>1001844049</v>
      </c>
      <c r="B420" s="924" t="s">
        <v>871</v>
      </c>
      <c r="C420" s="924" t="s">
        <v>887</v>
      </c>
      <c r="D420" s="926">
        <v>580036242</v>
      </c>
      <c r="E420" s="926">
        <v>40000091</v>
      </c>
      <c r="F420" s="926" t="s">
        <v>833</v>
      </c>
      <c r="G420" s="924">
        <v>2025</v>
      </c>
      <c r="H420" s="925">
        <v>35000</v>
      </c>
      <c r="I420" s="925">
        <v>0</v>
      </c>
      <c r="J420" s="924" t="s">
        <v>592</v>
      </c>
      <c r="K420" s="924" t="s">
        <v>593</v>
      </c>
    </row>
    <row r="421" spans="1:11" x14ac:dyDescent="0.25">
      <c r="A421" s="923">
        <v>1001844071</v>
      </c>
      <c r="B421" s="924" t="s">
        <v>997</v>
      </c>
      <c r="C421" s="924" t="s">
        <v>887</v>
      </c>
      <c r="D421" s="926">
        <v>515209039</v>
      </c>
      <c r="E421" s="926">
        <v>42451328</v>
      </c>
      <c r="F421" s="926" t="s">
        <v>822</v>
      </c>
      <c r="G421" s="924">
        <v>2025</v>
      </c>
      <c r="H421" s="925">
        <v>500000</v>
      </c>
      <c r="I421" s="925">
        <v>0</v>
      </c>
      <c r="J421" s="924" t="s">
        <v>592</v>
      </c>
      <c r="K421" s="924" t="s">
        <v>593</v>
      </c>
    </row>
    <row r="422" spans="1:11" x14ac:dyDescent="0.25">
      <c r="A422" s="923">
        <v>1001844169</v>
      </c>
      <c r="B422" s="924" t="s">
        <v>998</v>
      </c>
      <c r="C422" s="924" t="s">
        <v>887</v>
      </c>
      <c r="D422" s="926">
        <v>580017077</v>
      </c>
      <c r="E422" s="926">
        <v>40002829</v>
      </c>
      <c r="F422" s="926" t="s">
        <v>860</v>
      </c>
      <c r="G422" s="924">
        <v>2025</v>
      </c>
      <c r="H422" s="925">
        <v>140000</v>
      </c>
      <c r="I422" s="925">
        <v>0</v>
      </c>
      <c r="J422" s="924" t="s">
        <v>592</v>
      </c>
      <c r="K422" s="924" t="s">
        <v>593</v>
      </c>
    </row>
    <row r="423" spans="1:11" x14ac:dyDescent="0.25">
      <c r="A423" s="923">
        <v>1001844681</v>
      </c>
      <c r="B423" s="924" t="s">
        <v>788</v>
      </c>
      <c r="C423" s="924" t="s">
        <v>854</v>
      </c>
      <c r="D423" s="926">
        <v>580603546</v>
      </c>
      <c r="E423" s="926">
        <v>41489778</v>
      </c>
      <c r="F423" s="926" t="s">
        <v>789</v>
      </c>
      <c r="G423" s="924">
        <v>2025</v>
      </c>
      <c r="H423" s="925">
        <v>1200000</v>
      </c>
      <c r="I423" s="925">
        <v>0</v>
      </c>
      <c r="J423" s="924" t="s">
        <v>592</v>
      </c>
      <c r="K423" s="924" t="s">
        <v>593</v>
      </c>
    </row>
    <row r="424" spans="1:11" x14ac:dyDescent="0.25">
      <c r="A424" s="923">
        <v>1001844684</v>
      </c>
      <c r="B424" s="924" t="s">
        <v>999</v>
      </c>
      <c r="C424" s="924" t="s">
        <v>854</v>
      </c>
      <c r="D424" s="926">
        <v>580079887</v>
      </c>
      <c r="E424" s="926">
        <v>40002883</v>
      </c>
      <c r="F424" s="926" t="s">
        <v>827</v>
      </c>
      <c r="G424" s="924">
        <v>2025</v>
      </c>
      <c r="H424" s="925">
        <v>7500000</v>
      </c>
      <c r="I424" s="925">
        <v>0</v>
      </c>
      <c r="J424" s="924" t="s">
        <v>592</v>
      </c>
      <c r="K424" s="924" t="s">
        <v>593</v>
      </c>
    </row>
    <row r="425" spans="1:11" x14ac:dyDescent="0.25">
      <c r="A425" s="923">
        <v>1001844720</v>
      </c>
      <c r="B425" s="924" t="s">
        <v>957</v>
      </c>
      <c r="C425" s="924" t="s">
        <v>613</v>
      </c>
      <c r="D425" s="926">
        <v>580750024</v>
      </c>
      <c r="E425" s="926">
        <v>42800753</v>
      </c>
      <c r="F425" s="926" t="s">
        <v>1001</v>
      </c>
      <c r="G425" s="924">
        <v>2025</v>
      </c>
      <c r="H425" s="925">
        <v>1000000</v>
      </c>
      <c r="I425" s="925">
        <v>0</v>
      </c>
      <c r="J425" s="924" t="s">
        <v>592</v>
      </c>
      <c r="K425" s="924" t="s">
        <v>593</v>
      </c>
    </row>
    <row r="426" spans="1:11" x14ac:dyDescent="0.25">
      <c r="A426" s="923">
        <v>1001844721</v>
      </c>
      <c r="B426" s="924" t="s">
        <v>1000</v>
      </c>
      <c r="C426" s="924" t="s">
        <v>887</v>
      </c>
      <c r="D426" s="926">
        <v>580750024</v>
      </c>
      <c r="E426" s="926">
        <v>42800753</v>
      </c>
      <c r="F426" s="926" t="s">
        <v>1001</v>
      </c>
      <c r="G426" s="924">
        <v>2025</v>
      </c>
      <c r="H426" s="925">
        <v>300000</v>
      </c>
      <c r="I426" s="925">
        <v>0</v>
      </c>
      <c r="J426" s="924" t="s">
        <v>592</v>
      </c>
      <c r="K426" s="924" t="s">
        <v>593</v>
      </c>
    </row>
    <row r="427" spans="1:11" x14ac:dyDescent="0.25">
      <c r="A427" s="923">
        <v>1001844722</v>
      </c>
      <c r="B427" s="924" t="s">
        <v>1002</v>
      </c>
      <c r="C427" s="924" t="s">
        <v>887</v>
      </c>
      <c r="D427" s="926">
        <v>580750024</v>
      </c>
      <c r="E427" s="926">
        <v>42800753</v>
      </c>
      <c r="F427" s="926" t="s">
        <v>1001</v>
      </c>
      <c r="G427" s="924">
        <v>2025</v>
      </c>
      <c r="H427" s="925">
        <v>300000</v>
      </c>
      <c r="I427" s="925">
        <v>0</v>
      </c>
      <c r="J427" s="924" t="s">
        <v>592</v>
      </c>
      <c r="K427" s="924" t="s">
        <v>593</v>
      </c>
    </row>
    <row r="428" spans="1:11" x14ac:dyDescent="0.25">
      <c r="A428" s="923">
        <v>1001844772</v>
      </c>
      <c r="B428" s="924" t="s">
        <v>1003</v>
      </c>
      <c r="C428" s="924" t="s">
        <v>887</v>
      </c>
      <c r="D428" s="926">
        <v>580189595</v>
      </c>
      <c r="E428" s="926">
        <v>40299627</v>
      </c>
      <c r="F428" s="926" t="s">
        <v>777</v>
      </c>
      <c r="G428" s="924">
        <v>2025</v>
      </c>
      <c r="H428" s="925">
        <v>250000</v>
      </c>
      <c r="I428" s="925">
        <v>0</v>
      </c>
      <c r="J428" s="924" t="s">
        <v>592</v>
      </c>
      <c r="K428" s="924" t="s">
        <v>593</v>
      </c>
    </row>
    <row r="429" spans="1:11" x14ac:dyDescent="0.25">
      <c r="A429" s="923">
        <v>1001844833</v>
      </c>
      <c r="B429" s="924" t="s">
        <v>1004</v>
      </c>
      <c r="C429" s="924" t="s">
        <v>887</v>
      </c>
      <c r="D429" s="926">
        <v>500262381</v>
      </c>
      <c r="E429" s="926">
        <v>20000212</v>
      </c>
      <c r="F429" s="926" t="s">
        <v>862</v>
      </c>
      <c r="G429" s="924">
        <v>2025</v>
      </c>
      <c r="H429" s="925">
        <v>50000</v>
      </c>
      <c r="I429" s="925">
        <v>0</v>
      </c>
      <c r="J429" s="924" t="s">
        <v>592</v>
      </c>
      <c r="K429" s="924" t="s">
        <v>593</v>
      </c>
    </row>
    <row r="430" spans="1:11" x14ac:dyDescent="0.25">
      <c r="A430" s="923">
        <v>1001844836</v>
      </c>
      <c r="B430" s="924" t="s">
        <v>1005</v>
      </c>
      <c r="C430" s="924" t="s">
        <v>887</v>
      </c>
      <c r="D430" s="926">
        <v>580094977</v>
      </c>
      <c r="E430" s="926">
        <v>40000458</v>
      </c>
      <c r="F430" s="926" t="s">
        <v>805</v>
      </c>
      <c r="G430" s="924">
        <v>2025</v>
      </c>
      <c r="H430" s="925">
        <v>700000</v>
      </c>
      <c r="I430" s="925">
        <v>0</v>
      </c>
      <c r="J430" s="924" t="s">
        <v>592</v>
      </c>
      <c r="K430" s="924" t="s">
        <v>593</v>
      </c>
    </row>
    <row r="431" spans="1:11" x14ac:dyDescent="0.25">
      <c r="A431" s="923">
        <v>1001844838</v>
      </c>
      <c r="B431" s="926" t="s">
        <v>1006</v>
      </c>
      <c r="C431" s="926" t="s">
        <v>887</v>
      </c>
      <c r="D431" s="926">
        <v>580016715</v>
      </c>
      <c r="E431" s="926">
        <v>40000344</v>
      </c>
      <c r="F431" s="926" t="s">
        <v>875</v>
      </c>
      <c r="G431" s="926">
        <v>2025</v>
      </c>
      <c r="H431" s="927">
        <v>200000</v>
      </c>
      <c r="I431" s="927">
        <v>0</v>
      </c>
      <c r="J431" s="926" t="s">
        <v>592</v>
      </c>
      <c r="K431" s="926" t="s">
        <v>593</v>
      </c>
    </row>
    <row r="432" spans="1:11" x14ac:dyDescent="0.25">
      <c r="A432" s="928">
        <v>1001845866</v>
      </c>
      <c r="B432" s="926" t="s">
        <v>1007</v>
      </c>
      <c r="C432" s="926" t="s">
        <v>854</v>
      </c>
      <c r="D432" s="926">
        <v>580549962</v>
      </c>
      <c r="E432" s="926">
        <v>41102783</v>
      </c>
      <c r="F432" s="926" t="s">
        <v>841</v>
      </c>
      <c r="G432" s="926">
        <v>2025</v>
      </c>
      <c r="H432" s="927">
        <v>2500000</v>
      </c>
      <c r="I432" s="927">
        <v>0</v>
      </c>
      <c r="J432" s="926" t="s">
        <v>592</v>
      </c>
      <c r="K432" s="926" t="s">
        <v>593</v>
      </c>
    </row>
    <row r="433" spans="1:11" x14ac:dyDescent="0.25">
      <c r="A433" s="928">
        <v>1001854291</v>
      </c>
      <c r="B433" s="926" t="s">
        <v>1008</v>
      </c>
      <c r="C433" s="926" t="s">
        <v>887</v>
      </c>
      <c r="D433" s="926">
        <v>515209039</v>
      </c>
      <c r="E433" s="926">
        <v>42451328</v>
      </c>
      <c r="F433" s="926" t="s">
        <v>822</v>
      </c>
      <c r="G433" s="926">
        <v>2025</v>
      </c>
      <c r="H433" s="927">
        <v>300000</v>
      </c>
      <c r="I433" s="927">
        <v>0</v>
      </c>
      <c r="J433" s="926" t="s">
        <v>592</v>
      </c>
      <c r="K433" s="926" t="s">
        <v>593</v>
      </c>
    </row>
    <row r="434" spans="1:11" x14ac:dyDescent="0.25">
      <c r="A434" s="928">
        <v>1001854292</v>
      </c>
      <c r="B434" s="926" t="s">
        <v>1009</v>
      </c>
      <c r="C434" s="926" t="s">
        <v>887</v>
      </c>
      <c r="D434" s="926">
        <v>515209039</v>
      </c>
      <c r="E434" s="926">
        <v>42451328</v>
      </c>
      <c r="F434" s="926" t="s">
        <v>822</v>
      </c>
      <c r="G434" s="926">
        <v>2025</v>
      </c>
      <c r="H434" s="927">
        <v>300000</v>
      </c>
      <c r="I434" s="927">
        <v>0</v>
      </c>
      <c r="J434" s="926" t="s">
        <v>592</v>
      </c>
      <c r="K434" s="926" t="s">
        <v>593</v>
      </c>
    </row>
    <row r="435" spans="1:11" x14ac:dyDescent="0.25">
      <c r="A435" s="928">
        <v>1001854325</v>
      </c>
      <c r="B435" s="926" t="s">
        <v>1010</v>
      </c>
      <c r="C435" s="926" t="s">
        <v>887</v>
      </c>
      <c r="D435" s="926">
        <v>500283007</v>
      </c>
      <c r="E435" s="926">
        <v>20000247</v>
      </c>
      <c r="F435" s="926" t="s">
        <v>691</v>
      </c>
      <c r="G435" s="926">
        <v>2025</v>
      </c>
      <c r="H435" s="927">
        <v>100000</v>
      </c>
      <c r="I435" s="927">
        <v>0</v>
      </c>
      <c r="J435" s="926" t="s">
        <v>592</v>
      </c>
      <c r="K435" s="926" t="s">
        <v>593</v>
      </c>
    </row>
    <row r="436" spans="1:11" x14ac:dyDescent="0.25">
      <c r="A436" s="928">
        <v>1001854358</v>
      </c>
      <c r="B436" s="926" t="s">
        <v>1022</v>
      </c>
      <c r="C436" s="926" t="s">
        <v>613</v>
      </c>
      <c r="D436" s="926">
        <v>515209039</v>
      </c>
      <c r="E436" s="926">
        <v>42451328</v>
      </c>
      <c r="F436" s="926" t="s">
        <v>822</v>
      </c>
      <c r="G436" s="926">
        <v>2025</v>
      </c>
      <c r="H436" s="927">
        <v>300000</v>
      </c>
      <c r="I436" s="927">
        <v>0</v>
      </c>
      <c r="J436" s="926" t="s">
        <v>592</v>
      </c>
      <c r="K436" s="926" t="s">
        <v>593</v>
      </c>
    </row>
    <row r="437" spans="1:11" x14ac:dyDescent="0.25">
      <c r="A437" s="928">
        <v>1001854359</v>
      </c>
      <c r="B437" s="926" t="s">
        <v>1023</v>
      </c>
      <c r="C437" s="926" t="s">
        <v>613</v>
      </c>
      <c r="D437" s="926">
        <v>515209039</v>
      </c>
      <c r="E437" s="926">
        <v>42451328</v>
      </c>
      <c r="F437" s="926" t="s">
        <v>822</v>
      </c>
      <c r="G437" s="926">
        <v>2025</v>
      </c>
      <c r="H437" s="927">
        <v>300000</v>
      </c>
      <c r="I437" s="927">
        <v>0</v>
      </c>
      <c r="J437" s="926" t="s">
        <v>592</v>
      </c>
      <c r="K437" s="926" t="s">
        <v>593</v>
      </c>
    </row>
    <row r="438" spans="1:11" x14ac:dyDescent="0.25">
      <c r="A438" s="928">
        <v>1001854399</v>
      </c>
      <c r="B438" s="926" t="s">
        <v>1011</v>
      </c>
      <c r="C438" s="926" t="s">
        <v>887</v>
      </c>
      <c r="D438" s="926">
        <v>500278007</v>
      </c>
      <c r="E438" s="926">
        <v>20000242</v>
      </c>
      <c r="F438" s="926" t="s">
        <v>883</v>
      </c>
      <c r="G438" s="926">
        <v>2025</v>
      </c>
      <c r="H438" s="927">
        <v>120000</v>
      </c>
      <c r="I438" s="927">
        <v>0</v>
      </c>
      <c r="J438" s="926" t="s">
        <v>592</v>
      </c>
      <c r="K438" s="926" t="s">
        <v>593</v>
      </c>
    </row>
    <row r="439" spans="1:11" x14ac:dyDescent="0.25">
      <c r="A439" s="928">
        <v>1001898346</v>
      </c>
      <c r="B439" s="926" t="s">
        <v>1024</v>
      </c>
      <c r="C439" s="926" t="s">
        <v>887</v>
      </c>
      <c r="D439" s="926">
        <v>580333896</v>
      </c>
      <c r="E439" s="926">
        <v>40221544</v>
      </c>
      <c r="F439" s="926" t="s">
        <v>1025</v>
      </c>
      <c r="G439" s="926">
        <v>2025</v>
      </c>
      <c r="H439" s="927">
        <v>90000</v>
      </c>
      <c r="I439" s="927">
        <v>0</v>
      </c>
      <c r="J439" s="926" t="s">
        <v>592</v>
      </c>
      <c r="K439" s="926" t="s">
        <v>593</v>
      </c>
    </row>
    <row r="440" spans="1:11" x14ac:dyDescent="0.25">
      <c r="A440" s="928">
        <v>1001898350</v>
      </c>
      <c r="B440" s="926" t="s">
        <v>988</v>
      </c>
      <c r="C440" s="926" t="s">
        <v>887</v>
      </c>
      <c r="D440" s="926">
        <v>580542645</v>
      </c>
      <c r="E440" s="926">
        <v>42217638</v>
      </c>
      <c r="F440" s="926" t="s">
        <v>791</v>
      </c>
      <c r="G440" s="926">
        <v>2025</v>
      </c>
      <c r="H440" s="927">
        <v>300000</v>
      </c>
      <c r="I440" s="927">
        <v>0</v>
      </c>
      <c r="J440" s="926" t="s">
        <v>592</v>
      </c>
      <c r="K440" s="926" t="s">
        <v>593</v>
      </c>
    </row>
    <row r="441" spans="1:11" x14ac:dyDescent="0.25">
      <c r="A441" s="928">
        <v>1001899336</v>
      </c>
      <c r="B441" s="926" t="s">
        <v>1026</v>
      </c>
      <c r="C441" s="926" t="s">
        <v>613</v>
      </c>
      <c r="D441" s="926">
        <v>510685589</v>
      </c>
      <c r="E441" s="926">
        <v>40313642</v>
      </c>
      <c r="F441" s="926" t="s">
        <v>1027</v>
      </c>
      <c r="G441" s="926">
        <v>2025</v>
      </c>
      <c r="H441" s="927">
        <v>150000</v>
      </c>
      <c r="I441" s="927">
        <v>0</v>
      </c>
      <c r="J441" s="926" t="s">
        <v>592</v>
      </c>
      <c r="K441" s="926" t="s">
        <v>593</v>
      </c>
    </row>
    <row r="442" spans="1:11" x14ac:dyDescent="0.25">
      <c r="A442" s="928">
        <v>1001899337</v>
      </c>
      <c r="B442" s="926" t="s">
        <v>1028</v>
      </c>
      <c r="C442" s="926" t="s">
        <v>887</v>
      </c>
      <c r="D442" s="926">
        <v>510685589</v>
      </c>
      <c r="E442" s="926">
        <v>40313642</v>
      </c>
      <c r="F442" s="926" t="s">
        <v>1027</v>
      </c>
      <c r="G442" s="926">
        <v>2025</v>
      </c>
      <c r="H442" s="927">
        <v>150000</v>
      </c>
      <c r="I442" s="927">
        <v>0</v>
      </c>
      <c r="J442" s="926" t="s">
        <v>592</v>
      </c>
      <c r="K442" s="926" t="s">
        <v>593</v>
      </c>
    </row>
    <row r="443" spans="1:11" x14ac:dyDescent="0.25">
      <c r="A443" s="928">
        <v>1001899365</v>
      </c>
      <c r="B443" s="926" t="s">
        <v>1029</v>
      </c>
      <c r="C443" s="926" t="s">
        <v>613</v>
      </c>
      <c r="D443" s="926">
        <v>500250006</v>
      </c>
      <c r="E443" s="926">
        <v>20000201</v>
      </c>
      <c r="F443" s="926" t="s">
        <v>830</v>
      </c>
      <c r="G443" s="926">
        <v>2025</v>
      </c>
      <c r="H443" s="927">
        <v>30000</v>
      </c>
      <c r="I443" s="927">
        <v>0</v>
      </c>
      <c r="J443" s="926" t="s">
        <v>592</v>
      </c>
      <c r="K443" s="926" t="s">
        <v>593</v>
      </c>
    </row>
    <row r="444" spans="1:11" x14ac:dyDescent="0.25">
      <c r="A444" s="928"/>
      <c r="B444" s="926"/>
      <c r="C444" s="926"/>
      <c r="D444" s="926"/>
      <c r="E444" s="926"/>
      <c r="F444" s="926"/>
      <c r="G444" s="926"/>
      <c r="H444" s="927"/>
      <c r="I444" s="927"/>
      <c r="J444" s="926"/>
      <c r="K444" s="926"/>
    </row>
    <row r="445" spans="1:11" x14ac:dyDescent="0.25">
      <c r="A445" s="928"/>
      <c r="B445" s="926"/>
      <c r="C445" s="926"/>
      <c r="D445" s="926"/>
      <c r="E445" s="926"/>
      <c r="F445" s="926"/>
      <c r="G445" s="926"/>
      <c r="H445" s="927"/>
      <c r="I445" s="927"/>
      <c r="J445" s="926"/>
      <c r="K445" s="926"/>
    </row>
    <row r="446" spans="1:11" x14ac:dyDescent="0.25">
      <c r="A446" s="928"/>
      <c r="B446" s="926"/>
      <c r="C446" s="926"/>
      <c r="D446" s="926"/>
      <c r="E446" s="926"/>
      <c r="F446" s="926"/>
      <c r="G446" s="926"/>
      <c r="H446" s="927"/>
      <c r="I446" s="927"/>
      <c r="J446" s="926"/>
      <c r="K446" s="926"/>
    </row>
    <row r="447" spans="1:11" x14ac:dyDescent="0.25">
      <c r="A447" s="928"/>
      <c r="B447" s="926"/>
      <c r="C447" s="926"/>
      <c r="D447" s="926"/>
      <c r="E447" s="926"/>
      <c r="F447" s="926"/>
      <c r="G447" s="926"/>
      <c r="H447" s="927"/>
      <c r="I447" s="927"/>
      <c r="J447" s="926"/>
      <c r="K447" s="926"/>
    </row>
    <row r="448" spans="1:11" x14ac:dyDescent="0.25">
      <c r="A448" s="928"/>
      <c r="B448" s="926"/>
      <c r="C448" s="926"/>
      <c r="D448" s="926"/>
      <c r="E448" s="926"/>
      <c r="F448" s="926"/>
      <c r="G448" s="926"/>
      <c r="H448" s="927"/>
      <c r="I448" s="927"/>
      <c r="J448" s="926"/>
      <c r="K448" s="926"/>
    </row>
    <row r="449" spans="1:11" x14ac:dyDescent="0.25">
      <c r="A449" s="928"/>
      <c r="B449" s="926"/>
      <c r="C449" s="926"/>
      <c r="D449" s="926"/>
      <c r="E449" s="926"/>
      <c r="F449" s="926"/>
      <c r="G449" s="926"/>
      <c r="H449" s="927"/>
      <c r="I449" s="927"/>
      <c r="J449" s="926"/>
      <c r="K449" s="926"/>
    </row>
    <row r="450" spans="1:11" x14ac:dyDescent="0.25">
      <c r="A450" s="928"/>
      <c r="B450" s="926"/>
      <c r="C450" s="926"/>
      <c r="D450" s="926"/>
      <c r="E450" s="926"/>
      <c r="F450" s="926"/>
      <c r="G450" s="926"/>
      <c r="H450" s="927"/>
      <c r="I450" s="927"/>
      <c r="J450" s="926"/>
      <c r="K450" s="926"/>
    </row>
    <row r="451" spans="1:11" x14ac:dyDescent="0.25">
      <c r="A451" s="928"/>
      <c r="B451" s="926"/>
      <c r="C451" s="926"/>
      <c r="D451" s="926"/>
      <c r="E451" s="926"/>
      <c r="F451" s="926"/>
      <c r="G451" s="926"/>
      <c r="H451" s="927"/>
      <c r="I451" s="927"/>
      <c r="J451" s="926"/>
      <c r="K451" s="926"/>
    </row>
    <row r="452" spans="1:11" x14ac:dyDescent="0.25">
      <c r="A452" s="928"/>
      <c r="B452" s="926"/>
      <c r="C452" s="926"/>
      <c r="D452" s="926"/>
      <c r="E452" s="926"/>
      <c r="F452" s="926"/>
      <c r="G452" s="926"/>
      <c r="H452" s="927"/>
      <c r="I452" s="927"/>
      <c r="J452" s="926"/>
      <c r="K452" s="926"/>
    </row>
    <row r="453" spans="1:11" x14ac:dyDescent="0.25">
      <c r="A453" s="928"/>
      <c r="B453" s="926"/>
      <c r="C453" s="926"/>
      <c r="D453" s="926"/>
      <c r="E453" s="926"/>
      <c r="F453" s="926"/>
      <c r="G453" s="926"/>
      <c r="H453" s="927"/>
      <c r="I453" s="927"/>
      <c r="J453" s="926"/>
      <c r="K453" s="926"/>
    </row>
    <row r="454" spans="1:11" x14ac:dyDescent="0.25">
      <c r="A454" s="928"/>
      <c r="B454" s="926"/>
      <c r="C454" s="926"/>
      <c r="D454" s="926"/>
      <c r="E454" s="926"/>
      <c r="F454" s="926"/>
      <c r="G454" s="926"/>
      <c r="H454" s="927"/>
      <c r="I454" s="927"/>
      <c r="J454" s="926"/>
      <c r="K454" s="926"/>
    </row>
    <row r="455" spans="1:11" x14ac:dyDescent="0.25">
      <c r="A455" s="928"/>
      <c r="B455" s="926"/>
      <c r="C455" s="926"/>
      <c r="D455" s="926"/>
      <c r="E455" s="926"/>
      <c r="F455" s="926"/>
      <c r="G455" s="926"/>
      <c r="H455" s="927"/>
      <c r="I455" s="927"/>
      <c r="J455" s="926"/>
      <c r="K455" s="926"/>
    </row>
    <row r="456" spans="1:11" x14ac:dyDescent="0.25">
      <c r="A456" s="928"/>
      <c r="B456" s="926"/>
      <c r="C456" s="926"/>
      <c r="D456" s="926"/>
      <c r="E456" s="926"/>
      <c r="F456" s="926"/>
      <c r="G456" s="926"/>
      <c r="H456" s="927"/>
      <c r="I456" s="927"/>
      <c r="J456" s="926"/>
      <c r="K456" s="926"/>
    </row>
    <row r="457" spans="1:11" x14ac:dyDescent="0.25">
      <c r="A457" s="928"/>
      <c r="B457" s="926"/>
      <c r="C457" s="926"/>
      <c r="D457" s="926"/>
      <c r="E457" s="926"/>
      <c r="F457" s="926"/>
      <c r="G457" s="926"/>
      <c r="H457" s="927"/>
      <c r="I457" s="927"/>
      <c r="J457" s="926"/>
      <c r="K457" s="926"/>
    </row>
    <row r="458" spans="1:11" x14ac:dyDescent="0.25">
      <c r="A458" s="928"/>
      <c r="B458" s="926"/>
      <c r="C458" s="926"/>
      <c r="D458" s="926"/>
      <c r="E458" s="926"/>
      <c r="F458" s="926"/>
      <c r="G458" s="926"/>
      <c r="H458" s="927"/>
      <c r="I458" s="927"/>
      <c r="J458" s="926"/>
      <c r="K458" s="926"/>
    </row>
    <row r="459" spans="1:11" x14ac:dyDescent="0.25">
      <c r="A459" s="928"/>
      <c r="B459" s="926"/>
      <c r="C459" s="926"/>
      <c r="D459" s="926"/>
      <c r="E459" s="926"/>
      <c r="F459" s="926"/>
      <c r="G459" s="926"/>
      <c r="H459" s="927"/>
      <c r="I459" s="927"/>
      <c r="J459" s="926"/>
      <c r="K459" s="926"/>
    </row>
    <row r="460" spans="1:11" x14ac:dyDescent="0.25">
      <c r="A460" s="928"/>
      <c r="B460" s="926"/>
      <c r="C460" s="926"/>
      <c r="D460" s="926"/>
      <c r="E460" s="926"/>
      <c r="F460" s="926"/>
      <c r="G460" s="926"/>
      <c r="H460" s="927"/>
      <c r="I460" s="927"/>
      <c r="J460" s="926"/>
      <c r="K460" s="926"/>
    </row>
    <row r="461" spans="1:11" x14ac:dyDescent="0.25">
      <c r="A461" s="928"/>
      <c r="B461" s="926"/>
      <c r="C461" s="926"/>
      <c r="D461" s="926"/>
      <c r="E461" s="926"/>
      <c r="F461" s="926"/>
      <c r="G461" s="926"/>
      <c r="H461" s="927"/>
      <c r="I461" s="927"/>
      <c r="J461" s="926"/>
      <c r="K461" s="926"/>
    </row>
    <row r="462" spans="1:11" x14ac:dyDescent="0.25">
      <c r="A462" s="928"/>
      <c r="B462" s="926"/>
      <c r="C462" s="926"/>
      <c r="D462" s="926"/>
      <c r="E462" s="926"/>
      <c r="F462" s="926"/>
      <c r="G462" s="926"/>
      <c r="H462" s="927"/>
      <c r="I462" s="927"/>
      <c r="J462" s="926"/>
      <c r="K462" s="926"/>
    </row>
    <row r="463" spans="1:11" x14ac:dyDescent="0.25">
      <c r="A463" s="928"/>
      <c r="B463" s="926"/>
      <c r="C463" s="926"/>
      <c r="D463" s="926"/>
      <c r="E463" s="926"/>
      <c r="F463" s="926"/>
      <c r="G463" s="926"/>
      <c r="H463" s="927"/>
      <c r="I463" s="927"/>
      <c r="J463" s="926"/>
      <c r="K463" s="926"/>
    </row>
    <row r="464" spans="1:11" x14ac:dyDescent="0.25">
      <c r="A464" s="928"/>
      <c r="B464" s="926"/>
      <c r="C464" s="926"/>
      <c r="D464" s="926"/>
      <c r="E464" s="926"/>
      <c r="F464" s="926"/>
      <c r="G464" s="926"/>
      <c r="H464" s="927"/>
      <c r="I464" s="927"/>
      <c r="J464" s="926"/>
      <c r="K464" s="926"/>
    </row>
    <row r="465" spans="1:11" x14ac:dyDescent="0.25">
      <c r="A465" s="928"/>
      <c r="B465" s="926"/>
      <c r="C465" s="926"/>
      <c r="D465" s="926"/>
      <c r="E465" s="926"/>
      <c r="F465" s="926"/>
      <c r="G465" s="926"/>
      <c r="H465" s="927"/>
      <c r="I465" s="927"/>
      <c r="J465" s="926"/>
      <c r="K465" s="926"/>
    </row>
    <row r="466" spans="1:11" x14ac:dyDescent="0.25">
      <c r="A466" s="928"/>
      <c r="B466" s="926"/>
      <c r="C466" s="926"/>
      <c r="D466" s="926"/>
      <c r="E466" s="926"/>
      <c r="F466" s="926"/>
      <c r="G466" s="926"/>
      <c r="H466" s="927"/>
      <c r="I466" s="927"/>
      <c r="J466" s="926"/>
      <c r="K466" s="926"/>
    </row>
    <row r="467" spans="1:11" x14ac:dyDescent="0.25">
      <c r="A467" s="928"/>
      <c r="B467" s="926"/>
      <c r="C467" s="926"/>
      <c r="D467" s="926"/>
      <c r="E467" s="926"/>
      <c r="F467" s="926"/>
      <c r="G467" s="926"/>
      <c r="H467" s="927"/>
      <c r="I467" s="927"/>
      <c r="J467" s="926"/>
      <c r="K467" s="926"/>
    </row>
    <row r="468" spans="1:11" x14ac:dyDescent="0.25">
      <c r="A468" s="928"/>
      <c r="B468" s="926"/>
      <c r="C468" s="926"/>
      <c r="D468" s="926"/>
      <c r="E468" s="926"/>
      <c r="F468" s="926"/>
      <c r="G468" s="926"/>
      <c r="H468" s="927"/>
      <c r="I468" s="927"/>
      <c r="J468" s="926"/>
      <c r="K468" s="926"/>
    </row>
    <row r="469" spans="1:11" x14ac:dyDescent="0.25">
      <c r="A469" s="928"/>
      <c r="B469" s="926"/>
      <c r="C469" s="926"/>
      <c r="D469" s="926"/>
      <c r="E469" s="926"/>
      <c r="F469" s="926"/>
      <c r="G469" s="926"/>
      <c r="H469" s="927"/>
      <c r="I469" s="927"/>
      <c r="J469" s="926"/>
      <c r="K469" s="926"/>
    </row>
    <row r="470" spans="1:11" x14ac:dyDescent="0.25">
      <c r="A470" s="928"/>
      <c r="B470" s="926"/>
      <c r="C470" s="926"/>
      <c r="D470" s="926"/>
      <c r="E470" s="926"/>
      <c r="F470" s="926"/>
      <c r="G470" s="926"/>
      <c r="H470" s="927"/>
      <c r="I470" s="927"/>
      <c r="J470" s="926"/>
      <c r="K470" s="926"/>
    </row>
    <row r="471" spans="1:11" x14ac:dyDescent="0.25">
      <c r="A471" s="928"/>
      <c r="B471" s="926"/>
      <c r="C471" s="926"/>
      <c r="D471" s="926"/>
      <c r="E471" s="926"/>
      <c r="F471" s="926"/>
      <c r="G471" s="926"/>
      <c r="H471" s="927"/>
      <c r="I471" s="927"/>
      <c r="J471" s="926"/>
      <c r="K471" s="926"/>
    </row>
    <row r="472" spans="1:11" x14ac:dyDescent="0.25">
      <c r="A472" s="928"/>
      <c r="B472" s="926"/>
      <c r="C472" s="926"/>
      <c r="D472" s="926"/>
      <c r="E472" s="926"/>
      <c r="F472" s="926"/>
      <c r="G472" s="926"/>
      <c r="H472" s="927"/>
      <c r="I472" s="927"/>
      <c r="J472" s="926"/>
      <c r="K472" s="926"/>
    </row>
    <row r="473" spans="1:11" x14ac:dyDescent="0.25">
      <c r="A473" s="928"/>
      <c r="B473" s="926"/>
      <c r="C473" s="926"/>
      <c r="D473" s="926"/>
      <c r="E473" s="926"/>
      <c r="F473" s="926"/>
      <c r="G473" s="926"/>
      <c r="H473" s="927"/>
      <c r="I473" s="927"/>
      <c r="J473" s="926"/>
      <c r="K473" s="926"/>
    </row>
    <row r="474" spans="1:11" x14ac:dyDescent="0.25">
      <c r="A474" s="928"/>
      <c r="B474" s="926"/>
      <c r="C474" s="926"/>
      <c r="D474" s="926"/>
      <c r="E474" s="926"/>
      <c r="F474" s="926"/>
      <c r="G474" s="926"/>
      <c r="H474" s="927"/>
      <c r="I474" s="927"/>
      <c r="J474" s="926"/>
      <c r="K474" s="926"/>
    </row>
    <row r="475" spans="1:11" x14ac:dyDescent="0.25">
      <c r="A475" s="928"/>
      <c r="B475" s="926"/>
      <c r="C475" s="926"/>
      <c r="D475" s="926"/>
      <c r="E475" s="926"/>
      <c r="F475" s="926"/>
      <c r="G475" s="926"/>
      <c r="H475" s="927"/>
      <c r="I475" s="927"/>
      <c r="J475" s="926"/>
      <c r="K475" s="926"/>
    </row>
    <row r="476" spans="1:11" x14ac:dyDescent="0.25">
      <c r="A476" s="928"/>
      <c r="B476" s="926"/>
      <c r="C476" s="926"/>
      <c r="D476" s="926"/>
      <c r="E476" s="926"/>
      <c r="F476" s="926"/>
      <c r="G476" s="926"/>
      <c r="H476" s="927"/>
      <c r="I476" s="927"/>
      <c r="J476" s="926"/>
      <c r="K476" s="926"/>
    </row>
    <row r="477" spans="1:11" x14ac:dyDescent="0.25">
      <c r="A477" s="928"/>
      <c r="B477" s="926"/>
      <c r="C477" s="926"/>
      <c r="D477" s="926"/>
      <c r="E477" s="926"/>
      <c r="F477" s="926"/>
      <c r="G477" s="926"/>
      <c r="H477" s="927"/>
      <c r="I477" s="927"/>
      <c r="J477" s="926"/>
      <c r="K477" s="926"/>
    </row>
    <row r="478" spans="1:11" x14ac:dyDescent="0.25">
      <c r="A478" s="928"/>
      <c r="B478" s="926"/>
      <c r="C478" s="926"/>
      <c r="D478" s="926"/>
      <c r="E478" s="926"/>
      <c r="F478" s="926"/>
      <c r="G478" s="926"/>
      <c r="H478" s="927"/>
      <c r="I478" s="927"/>
      <c r="J478" s="926"/>
      <c r="K478" s="926"/>
    </row>
    <row r="479" spans="1:11" x14ac:dyDescent="0.25">
      <c r="A479" s="928"/>
      <c r="B479" s="926"/>
      <c r="C479" s="926"/>
      <c r="D479" s="926"/>
      <c r="E479" s="926"/>
      <c r="F479" s="926"/>
      <c r="G479" s="926"/>
      <c r="H479" s="927"/>
      <c r="I479" s="927"/>
      <c r="J479" s="926"/>
      <c r="K479" s="926"/>
    </row>
    <row r="480" spans="1:11" x14ac:dyDescent="0.25">
      <c r="A480" s="928"/>
      <c r="B480" s="926"/>
      <c r="C480" s="926"/>
      <c r="D480" s="926"/>
      <c r="E480" s="926"/>
      <c r="F480" s="926"/>
      <c r="G480" s="926"/>
      <c r="H480" s="927"/>
      <c r="I480" s="927"/>
      <c r="J480" s="926"/>
      <c r="K480" s="926"/>
    </row>
    <row r="481" spans="1:11" x14ac:dyDescent="0.25">
      <c r="A481" s="928"/>
      <c r="B481" s="926"/>
      <c r="C481" s="926"/>
      <c r="D481" s="926"/>
      <c r="E481" s="926"/>
      <c r="F481" s="926"/>
      <c r="G481" s="926"/>
      <c r="H481" s="927"/>
      <c r="I481" s="927"/>
      <c r="J481" s="926"/>
      <c r="K481" s="926"/>
    </row>
    <row r="482" spans="1:11" x14ac:dyDescent="0.25">
      <c r="A482" s="928"/>
      <c r="B482" s="926"/>
      <c r="C482" s="926"/>
      <c r="D482" s="926"/>
      <c r="E482" s="926"/>
      <c r="F482" s="926"/>
      <c r="G482" s="926"/>
      <c r="H482" s="927"/>
      <c r="I482" s="927"/>
      <c r="J482" s="926"/>
      <c r="K482" s="926"/>
    </row>
    <row r="483" spans="1:11" x14ac:dyDescent="0.25">
      <c r="A483" s="928"/>
      <c r="B483" s="926"/>
      <c r="C483" s="926"/>
      <c r="D483" s="926"/>
      <c r="E483" s="926"/>
      <c r="F483" s="926"/>
      <c r="G483" s="926"/>
      <c r="H483" s="927"/>
      <c r="I483" s="927"/>
      <c r="J483" s="926"/>
      <c r="K483" s="926"/>
    </row>
    <row r="484" spans="1:11" x14ac:dyDescent="0.25">
      <c r="A484" s="928"/>
      <c r="B484" s="926"/>
      <c r="C484" s="926"/>
      <c r="D484" s="926"/>
      <c r="E484" s="926"/>
      <c r="F484" s="926"/>
      <c r="G484" s="926"/>
      <c r="H484" s="927"/>
      <c r="I484" s="927"/>
      <c r="J484" s="926"/>
      <c r="K484" s="926"/>
    </row>
    <row r="485" spans="1:11" x14ac:dyDescent="0.25">
      <c r="A485" s="928"/>
      <c r="B485" s="926"/>
      <c r="C485" s="926"/>
      <c r="D485" s="926"/>
      <c r="E485" s="926"/>
      <c r="F485" s="926"/>
      <c r="G485" s="926"/>
      <c r="H485" s="927"/>
      <c r="I485" s="927"/>
      <c r="J485" s="926"/>
      <c r="K485" s="926"/>
    </row>
    <row r="486" spans="1:11" x14ac:dyDescent="0.25">
      <c r="A486" s="928"/>
      <c r="B486" s="926"/>
      <c r="C486" s="926"/>
      <c r="D486" s="926"/>
      <c r="E486" s="926"/>
      <c r="F486" s="926"/>
      <c r="G486" s="926"/>
      <c r="H486" s="927"/>
      <c r="I486" s="927"/>
      <c r="J486" s="926"/>
      <c r="K486" s="926"/>
    </row>
    <row r="487" spans="1:11" x14ac:dyDescent="0.25">
      <c r="A487" s="928"/>
      <c r="B487" s="926"/>
      <c r="C487" s="926"/>
      <c r="D487" s="926"/>
      <c r="E487" s="926"/>
      <c r="F487" s="926"/>
      <c r="G487" s="926"/>
      <c r="H487" s="927"/>
      <c r="I487" s="927"/>
      <c r="J487" s="926"/>
      <c r="K487" s="926"/>
    </row>
    <row r="488" spans="1:11" x14ac:dyDescent="0.25">
      <c r="A488" s="928"/>
      <c r="B488" s="926"/>
      <c r="C488" s="926"/>
      <c r="D488" s="926"/>
      <c r="E488" s="926"/>
      <c r="F488" s="926"/>
      <c r="G488" s="926"/>
      <c r="H488" s="927"/>
      <c r="I488" s="927"/>
      <c r="J488" s="926"/>
      <c r="K488" s="926"/>
    </row>
    <row r="489" spans="1:11" x14ac:dyDescent="0.25">
      <c r="A489" s="928"/>
      <c r="B489" s="926"/>
      <c r="C489" s="926"/>
      <c r="D489" s="926"/>
      <c r="E489" s="926"/>
      <c r="F489" s="926"/>
      <c r="G489" s="926"/>
      <c r="H489" s="927"/>
      <c r="I489" s="927"/>
      <c r="J489" s="926"/>
      <c r="K489" s="926"/>
    </row>
    <row r="490" spans="1:11" x14ac:dyDescent="0.25">
      <c r="A490" s="928"/>
      <c r="B490" s="926"/>
      <c r="C490" s="926"/>
      <c r="D490" s="926"/>
      <c r="E490" s="926"/>
      <c r="F490" s="926"/>
      <c r="G490" s="926"/>
      <c r="H490" s="927"/>
      <c r="I490" s="927"/>
      <c r="J490" s="926"/>
      <c r="K490" s="926"/>
    </row>
    <row r="491" spans="1:11" x14ac:dyDescent="0.25">
      <c r="A491" s="928"/>
      <c r="B491" s="926"/>
      <c r="C491" s="926"/>
      <c r="D491" s="926"/>
      <c r="E491" s="926"/>
      <c r="F491" s="926"/>
      <c r="G491" s="926"/>
      <c r="H491" s="927"/>
      <c r="I491" s="927"/>
      <c r="J491" s="926"/>
      <c r="K491" s="926"/>
    </row>
    <row r="492" spans="1:11" x14ac:dyDescent="0.25">
      <c r="A492" s="928"/>
      <c r="B492" s="926"/>
      <c r="C492" s="926"/>
      <c r="D492" s="926"/>
      <c r="E492" s="926"/>
      <c r="F492" s="926"/>
      <c r="G492" s="926"/>
      <c r="H492" s="927"/>
      <c r="I492" s="927"/>
      <c r="J492" s="926"/>
      <c r="K492" s="926"/>
    </row>
    <row r="493" spans="1:11" x14ac:dyDescent="0.25">
      <c r="A493" s="928"/>
      <c r="B493" s="926"/>
      <c r="C493" s="926"/>
      <c r="D493" s="926"/>
      <c r="E493" s="926"/>
      <c r="F493" s="926"/>
      <c r="G493" s="926"/>
      <c r="H493" s="927"/>
      <c r="I493" s="927"/>
      <c r="J493" s="926"/>
      <c r="K493" s="926"/>
    </row>
    <row r="494" spans="1:11" x14ac:dyDescent="0.25">
      <c r="A494" s="928"/>
      <c r="B494" s="926"/>
      <c r="C494" s="926"/>
      <c r="D494" s="926"/>
      <c r="E494" s="926"/>
      <c r="F494" s="926"/>
      <c r="G494" s="926"/>
      <c r="H494" s="927"/>
      <c r="I494" s="927"/>
      <c r="J494" s="926"/>
      <c r="K494" s="926"/>
    </row>
    <row r="495" spans="1:11" x14ac:dyDescent="0.25">
      <c r="A495" s="928"/>
      <c r="B495" s="926"/>
      <c r="C495" s="926"/>
      <c r="D495" s="926"/>
      <c r="E495" s="926"/>
      <c r="F495" s="926"/>
      <c r="G495" s="926"/>
      <c r="H495" s="927"/>
      <c r="I495" s="927"/>
      <c r="J495" s="926"/>
      <c r="K495" s="926"/>
    </row>
    <row r="496" spans="1:11" x14ac:dyDescent="0.25">
      <c r="A496" s="928"/>
      <c r="B496" s="926"/>
      <c r="C496" s="926"/>
      <c r="D496" s="926"/>
      <c r="E496" s="926"/>
      <c r="F496" s="926"/>
      <c r="G496" s="926"/>
      <c r="H496" s="927"/>
      <c r="I496" s="927"/>
      <c r="J496" s="926"/>
      <c r="K496" s="926"/>
    </row>
    <row r="497" spans="1:11" x14ac:dyDescent="0.25">
      <c r="A497" s="928"/>
      <c r="B497" s="926"/>
      <c r="C497" s="926"/>
      <c r="D497" s="926"/>
      <c r="E497" s="926"/>
      <c r="F497" s="926"/>
      <c r="G497" s="926"/>
      <c r="H497" s="927"/>
      <c r="I497" s="927"/>
      <c r="J497" s="926"/>
      <c r="K497" s="926"/>
    </row>
    <row r="498" spans="1:11" x14ac:dyDescent="0.25">
      <c r="A498" s="928"/>
      <c r="B498" s="926"/>
      <c r="C498" s="926"/>
      <c r="D498" s="926"/>
      <c r="E498" s="926"/>
      <c r="F498" s="926"/>
      <c r="G498" s="926"/>
      <c r="H498" s="927"/>
      <c r="I498" s="927"/>
      <c r="J498" s="926"/>
      <c r="K498" s="926"/>
    </row>
    <row r="499" spans="1:11" x14ac:dyDescent="0.25">
      <c r="A499" s="928"/>
      <c r="B499" s="926"/>
      <c r="C499" s="926"/>
      <c r="D499" s="926"/>
      <c r="E499" s="926"/>
      <c r="F499" s="926"/>
      <c r="G499" s="926"/>
      <c r="H499" s="927"/>
      <c r="I499" s="927"/>
      <c r="J499" s="926"/>
      <c r="K499" s="926"/>
    </row>
    <row r="500" spans="1:11" x14ac:dyDescent="0.25">
      <c r="A500" s="928"/>
      <c r="B500" s="926"/>
      <c r="C500" s="926"/>
      <c r="D500" s="926"/>
      <c r="E500" s="926"/>
      <c r="F500" s="926"/>
      <c r="G500" s="926"/>
      <c r="H500" s="927"/>
      <c r="I500" s="927"/>
      <c r="J500" s="926"/>
      <c r="K500" s="926"/>
    </row>
    <row r="501" spans="1:11" x14ac:dyDescent="0.25">
      <c r="A501" s="928"/>
      <c r="B501" s="926"/>
      <c r="C501" s="926"/>
      <c r="D501" s="926"/>
      <c r="E501" s="926"/>
      <c r="F501" s="926"/>
      <c r="G501" s="926"/>
      <c r="H501" s="927"/>
      <c r="I501" s="927"/>
      <c r="J501" s="926"/>
      <c r="K501" s="926"/>
    </row>
    <row r="502" spans="1:11" x14ac:dyDescent="0.25">
      <c r="A502" s="928"/>
      <c r="B502" s="926"/>
      <c r="C502" s="926"/>
      <c r="D502" s="926"/>
      <c r="E502" s="926"/>
      <c r="F502" s="926"/>
      <c r="G502" s="926"/>
      <c r="H502" s="927"/>
      <c r="I502" s="927"/>
      <c r="J502" s="926"/>
      <c r="K502" s="926"/>
    </row>
    <row r="503" spans="1:11" x14ac:dyDescent="0.25">
      <c r="A503" s="928"/>
      <c r="B503" s="926"/>
      <c r="C503" s="926"/>
      <c r="D503" s="926"/>
      <c r="E503" s="926"/>
      <c r="F503" s="926"/>
      <c r="G503" s="926"/>
      <c r="H503" s="927"/>
      <c r="I503" s="927"/>
      <c r="J503" s="926"/>
      <c r="K503" s="926"/>
    </row>
    <row r="504" spans="1:11" x14ac:dyDescent="0.25">
      <c r="A504" s="928"/>
      <c r="B504" s="926"/>
      <c r="C504" s="926"/>
      <c r="D504" s="926"/>
      <c r="E504" s="926"/>
      <c r="F504" s="926"/>
      <c r="G504" s="926"/>
      <c r="H504" s="927"/>
      <c r="I504" s="927"/>
      <c r="J504" s="926"/>
      <c r="K504" s="926"/>
    </row>
    <row r="505" spans="1:11" x14ac:dyDescent="0.25">
      <c r="A505" s="928"/>
      <c r="B505" s="926"/>
      <c r="C505" s="926"/>
      <c r="D505" s="926"/>
      <c r="E505" s="926"/>
      <c r="F505" s="926"/>
      <c r="G505" s="926"/>
      <c r="H505" s="927"/>
      <c r="I505" s="927"/>
      <c r="J505" s="926"/>
      <c r="K505" s="926"/>
    </row>
    <row r="506" spans="1:11" x14ac:dyDescent="0.25">
      <c r="A506" s="928"/>
      <c r="B506" s="926"/>
      <c r="C506" s="926"/>
      <c r="D506" s="926"/>
      <c r="E506" s="926"/>
      <c r="F506" s="926"/>
      <c r="G506" s="926"/>
      <c r="H506" s="927"/>
      <c r="I506" s="927"/>
      <c r="J506" s="926"/>
      <c r="K506" s="926"/>
    </row>
    <row r="507" spans="1:11" x14ac:dyDescent="0.25">
      <c r="A507" s="928"/>
      <c r="B507" s="926"/>
      <c r="C507" s="926"/>
      <c r="D507" s="926"/>
      <c r="E507" s="926"/>
      <c r="F507" s="926"/>
      <c r="G507" s="926"/>
      <c r="H507" s="927"/>
      <c r="I507" s="927"/>
      <c r="J507" s="926"/>
      <c r="K507" s="926"/>
    </row>
    <row r="508" spans="1:11" x14ac:dyDescent="0.25">
      <c r="A508" s="928"/>
      <c r="B508" s="926"/>
      <c r="C508" s="926"/>
      <c r="D508" s="926"/>
      <c r="E508" s="926"/>
      <c r="F508" s="926"/>
      <c r="G508" s="926"/>
      <c r="H508" s="927"/>
      <c r="I508" s="927"/>
      <c r="J508" s="926"/>
      <c r="K508" s="926"/>
    </row>
    <row r="509" spans="1:11" x14ac:dyDescent="0.25">
      <c r="A509" s="928"/>
      <c r="B509" s="926"/>
      <c r="C509" s="926"/>
      <c r="D509" s="926"/>
      <c r="E509" s="926"/>
      <c r="F509" s="926"/>
      <c r="G509" s="926"/>
      <c r="H509" s="927"/>
      <c r="I509" s="927"/>
      <c r="J509" s="926"/>
      <c r="K509" s="926"/>
    </row>
    <row r="510" spans="1:11" x14ac:dyDescent="0.25">
      <c r="A510" s="928"/>
      <c r="B510" s="926"/>
      <c r="C510" s="926"/>
      <c r="D510" s="926"/>
      <c r="E510" s="926"/>
      <c r="F510" s="926"/>
      <c r="G510" s="926"/>
      <c r="H510" s="927"/>
      <c r="I510" s="927"/>
      <c r="J510" s="926"/>
      <c r="K510" s="926"/>
    </row>
    <row r="511" spans="1:11" x14ac:dyDescent="0.25">
      <c r="A511" s="928"/>
      <c r="B511" s="926"/>
      <c r="C511" s="926"/>
      <c r="D511" s="926"/>
      <c r="E511" s="926"/>
      <c r="F511" s="926"/>
      <c r="G511" s="926"/>
      <c r="H511" s="927"/>
      <c r="I511" s="927"/>
      <c r="J511" s="926"/>
      <c r="K511" s="926"/>
    </row>
    <row r="512" spans="1:11" x14ac:dyDescent="0.25">
      <c r="A512" s="928"/>
      <c r="B512" s="926"/>
      <c r="C512" s="926"/>
      <c r="D512" s="926"/>
      <c r="E512" s="926"/>
      <c r="F512" s="926"/>
      <c r="G512" s="926"/>
      <c r="H512" s="927"/>
      <c r="I512" s="927"/>
      <c r="J512" s="926"/>
      <c r="K512" s="926"/>
    </row>
    <row r="513" spans="1:11" x14ac:dyDescent="0.25">
      <c r="A513" s="928"/>
      <c r="B513" s="926"/>
      <c r="C513" s="926"/>
      <c r="D513" s="926"/>
      <c r="E513" s="926"/>
      <c r="F513" s="926"/>
      <c r="G513" s="926"/>
      <c r="H513" s="927"/>
      <c r="I513" s="927"/>
      <c r="J513" s="926"/>
      <c r="K513" s="926"/>
    </row>
    <row r="514" spans="1:11" x14ac:dyDescent="0.25">
      <c r="A514" s="928"/>
      <c r="B514" s="926"/>
      <c r="C514" s="926"/>
      <c r="D514" s="926"/>
      <c r="E514" s="926"/>
      <c r="F514" s="926"/>
      <c r="G514" s="926"/>
      <c r="H514" s="927"/>
      <c r="I514" s="927"/>
      <c r="J514" s="926"/>
      <c r="K514" s="926"/>
    </row>
    <row r="515" spans="1:11" x14ac:dyDescent="0.25">
      <c r="A515" s="928"/>
      <c r="B515" s="926"/>
      <c r="C515" s="926"/>
      <c r="D515" s="926"/>
      <c r="E515" s="926"/>
      <c r="F515" s="926"/>
      <c r="G515" s="926"/>
      <c r="H515" s="927"/>
      <c r="I515" s="927"/>
      <c r="J515" s="926"/>
      <c r="K515" s="926"/>
    </row>
    <row r="516" spans="1:11" x14ac:dyDescent="0.25">
      <c r="A516" s="928"/>
      <c r="B516" s="926"/>
      <c r="C516" s="926"/>
      <c r="D516" s="926"/>
      <c r="E516" s="926"/>
      <c r="F516" s="926"/>
      <c r="G516" s="926"/>
      <c r="H516" s="927"/>
      <c r="I516" s="927"/>
      <c r="J516" s="926"/>
      <c r="K516" s="926"/>
    </row>
    <row r="517" spans="1:11" x14ac:dyDescent="0.25">
      <c r="A517" s="928"/>
      <c r="B517" s="926"/>
      <c r="C517" s="926"/>
      <c r="D517" s="926"/>
      <c r="E517" s="926"/>
      <c r="F517" s="926"/>
      <c r="G517" s="926"/>
      <c r="H517" s="927"/>
      <c r="I517" s="927"/>
      <c r="J517" s="926"/>
      <c r="K517" s="926"/>
    </row>
    <row r="518" spans="1:11" x14ac:dyDescent="0.25">
      <c r="A518" s="928"/>
      <c r="B518" s="926"/>
      <c r="C518" s="926"/>
      <c r="D518" s="926"/>
      <c r="E518" s="926"/>
      <c r="F518" s="926"/>
      <c r="G518" s="926"/>
      <c r="H518" s="927"/>
      <c r="I518" s="927"/>
      <c r="J518" s="926"/>
      <c r="K518" s="926"/>
    </row>
    <row r="519" spans="1:11" x14ac:dyDescent="0.25">
      <c r="A519" s="928"/>
      <c r="B519" s="926"/>
      <c r="C519" s="926"/>
      <c r="D519" s="926"/>
      <c r="E519" s="926"/>
      <c r="F519" s="926"/>
      <c r="G519" s="926"/>
      <c r="H519" s="927"/>
      <c r="I519" s="927"/>
      <c r="J519" s="926"/>
      <c r="K519" s="926"/>
    </row>
    <row r="520" spans="1:11" x14ac:dyDescent="0.25">
      <c r="A520" s="928"/>
      <c r="B520" s="926"/>
      <c r="C520" s="926"/>
      <c r="D520" s="926"/>
      <c r="E520" s="926"/>
      <c r="F520" s="926"/>
      <c r="G520" s="926"/>
      <c r="H520" s="927"/>
      <c r="I520" s="927"/>
      <c r="J520" s="926"/>
      <c r="K520" s="926"/>
    </row>
    <row r="521" spans="1:11" x14ac:dyDescent="0.25">
      <c r="A521" s="928"/>
      <c r="B521" s="926"/>
      <c r="C521" s="926"/>
      <c r="D521" s="926"/>
      <c r="E521" s="926"/>
      <c r="F521" s="926"/>
      <c r="G521" s="926"/>
      <c r="H521" s="927"/>
      <c r="I521" s="927"/>
      <c r="J521" s="926"/>
      <c r="K521" s="926"/>
    </row>
    <row r="522" spans="1:11" x14ac:dyDescent="0.25">
      <c r="A522" s="928"/>
      <c r="B522" s="926"/>
      <c r="C522" s="926"/>
      <c r="D522" s="926"/>
      <c r="E522" s="926"/>
      <c r="F522" s="926"/>
      <c r="G522" s="926"/>
      <c r="H522" s="927"/>
      <c r="I522" s="927"/>
      <c r="J522" s="926"/>
      <c r="K522" s="926"/>
    </row>
    <row r="523" spans="1:11" x14ac:dyDescent="0.25">
      <c r="A523" s="928"/>
      <c r="B523" s="926"/>
      <c r="C523" s="926"/>
      <c r="D523" s="926"/>
      <c r="E523" s="926"/>
      <c r="F523" s="926"/>
      <c r="G523" s="926"/>
      <c r="H523" s="927"/>
      <c r="I523" s="927"/>
      <c r="J523" s="926"/>
      <c r="K523" s="926"/>
    </row>
    <row r="524" spans="1:11" x14ac:dyDescent="0.25">
      <c r="A524" s="928"/>
      <c r="B524" s="926"/>
      <c r="C524" s="926"/>
      <c r="D524" s="926"/>
      <c r="E524" s="926"/>
      <c r="F524" s="926"/>
      <c r="G524" s="926"/>
      <c r="H524" s="927"/>
      <c r="I524" s="927"/>
      <c r="J524" s="926"/>
      <c r="K524" s="926"/>
    </row>
    <row r="525" spans="1:11" x14ac:dyDescent="0.25">
      <c r="A525" s="928"/>
      <c r="B525" s="926"/>
      <c r="C525" s="926"/>
      <c r="D525" s="926"/>
      <c r="E525" s="926"/>
      <c r="F525" s="926"/>
      <c r="G525" s="926"/>
      <c r="H525" s="927"/>
      <c r="I525" s="927"/>
      <c r="J525" s="926"/>
      <c r="K525" s="926"/>
    </row>
    <row r="526" spans="1:11" x14ac:dyDescent="0.25">
      <c r="A526" s="928"/>
      <c r="B526" s="926"/>
      <c r="C526" s="926"/>
      <c r="D526" s="926"/>
      <c r="E526" s="926"/>
      <c r="F526" s="926"/>
      <c r="G526" s="926"/>
      <c r="H526" s="927"/>
      <c r="I526" s="927"/>
      <c r="J526" s="926"/>
      <c r="K526" s="926"/>
    </row>
    <row r="527" spans="1:11" x14ac:dyDescent="0.25">
      <c r="A527" s="928"/>
      <c r="B527" s="926"/>
      <c r="C527" s="926"/>
      <c r="D527" s="926"/>
      <c r="E527" s="926"/>
      <c r="F527" s="926"/>
      <c r="G527" s="926"/>
      <c r="H527" s="927"/>
      <c r="I527" s="927"/>
      <c r="J527" s="926"/>
      <c r="K527" s="926"/>
    </row>
    <row r="528" spans="1:11" x14ac:dyDescent="0.25">
      <c r="A528" s="928"/>
      <c r="B528" s="926"/>
      <c r="C528" s="926"/>
      <c r="D528" s="926"/>
      <c r="E528" s="926"/>
      <c r="F528" s="926"/>
      <c r="G528" s="926"/>
      <c r="H528" s="927"/>
      <c r="I528" s="927"/>
      <c r="J528" s="926"/>
      <c r="K528" s="926"/>
    </row>
    <row r="529" spans="1:11" x14ac:dyDescent="0.25">
      <c r="A529" s="928"/>
      <c r="B529" s="926"/>
      <c r="C529" s="926"/>
      <c r="D529" s="926"/>
      <c r="E529" s="926"/>
      <c r="F529" s="926"/>
      <c r="G529" s="926"/>
      <c r="H529" s="927"/>
      <c r="I529" s="927"/>
      <c r="J529" s="926"/>
      <c r="K529" s="926"/>
    </row>
    <row r="530" spans="1:11" x14ac:dyDescent="0.25">
      <c r="A530" s="928"/>
      <c r="B530" s="926"/>
      <c r="C530" s="926"/>
      <c r="D530" s="926"/>
      <c r="E530" s="926"/>
      <c r="F530" s="926"/>
      <c r="G530" s="926"/>
      <c r="H530" s="927"/>
      <c r="I530" s="927"/>
      <c r="J530" s="926"/>
      <c r="K530" s="926"/>
    </row>
    <row r="531" spans="1:11" x14ac:dyDescent="0.25">
      <c r="A531" s="928"/>
      <c r="B531" s="926"/>
      <c r="C531" s="926"/>
      <c r="D531" s="926"/>
      <c r="E531" s="926"/>
      <c r="F531" s="926"/>
      <c r="G531" s="926"/>
      <c r="H531" s="927"/>
      <c r="I531" s="927"/>
      <c r="J531" s="926"/>
      <c r="K531" s="926"/>
    </row>
    <row r="532" spans="1:11" x14ac:dyDescent="0.25">
      <c r="A532" s="928"/>
      <c r="B532" s="926"/>
      <c r="C532" s="926"/>
      <c r="D532" s="926"/>
      <c r="E532" s="926"/>
      <c r="F532" s="926"/>
      <c r="G532" s="926"/>
      <c r="H532" s="927"/>
      <c r="I532" s="927"/>
      <c r="J532" s="926"/>
      <c r="K532" s="926"/>
    </row>
    <row r="533" spans="1:11" x14ac:dyDescent="0.25">
      <c r="A533" s="928"/>
      <c r="B533" s="926"/>
      <c r="C533" s="926"/>
      <c r="D533" s="926"/>
      <c r="E533" s="926"/>
      <c r="F533" s="926"/>
      <c r="G533" s="926"/>
      <c r="H533" s="927"/>
      <c r="I533" s="927"/>
      <c r="J533" s="926"/>
      <c r="K533" s="926"/>
    </row>
    <row r="534" spans="1:11" x14ac:dyDescent="0.25">
      <c r="A534" s="928"/>
      <c r="B534" s="926"/>
      <c r="C534" s="926"/>
      <c r="D534" s="926"/>
      <c r="E534" s="926"/>
      <c r="F534" s="926"/>
      <c r="G534" s="926"/>
      <c r="H534" s="927"/>
      <c r="I534" s="927"/>
      <c r="J534" s="926"/>
      <c r="K534" s="926"/>
    </row>
    <row r="535" spans="1:11" x14ac:dyDescent="0.25">
      <c r="A535" s="928"/>
      <c r="B535" s="926"/>
      <c r="C535" s="926"/>
      <c r="D535" s="926"/>
      <c r="E535" s="926"/>
      <c r="F535" s="926"/>
      <c r="G535" s="926"/>
      <c r="H535" s="927"/>
      <c r="I535" s="927"/>
      <c r="J535" s="926"/>
      <c r="K535" s="926"/>
    </row>
    <row r="536" spans="1:11" x14ac:dyDescent="0.25">
      <c r="A536" s="928"/>
      <c r="B536" s="926"/>
      <c r="C536" s="926"/>
      <c r="D536" s="926"/>
      <c r="E536" s="926"/>
      <c r="F536" s="926"/>
      <c r="G536" s="926"/>
      <c r="H536" s="927"/>
      <c r="I536" s="927"/>
      <c r="J536" s="926"/>
      <c r="K536" s="926"/>
    </row>
    <row r="537" spans="1:11" x14ac:dyDescent="0.25">
      <c r="A537" s="928"/>
      <c r="B537" s="926"/>
      <c r="C537" s="926"/>
      <c r="D537" s="926"/>
      <c r="E537" s="926"/>
      <c r="F537" s="926"/>
      <c r="G537" s="926"/>
      <c r="H537" s="927"/>
      <c r="I537" s="927"/>
      <c r="J537" s="926"/>
      <c r="K537" s="926"/>
    </row>
    <row r="538" spans="1:11" x14ac:dyDescent="0.25">
      <c r="A538" s="928"/>
      <c r="B538" s="926"/>
      <c r="C538" s="926"/>
      <c r="D538" s="926"/>
      <c r="E538" s="926"/>
      <c r="F538" s="926"/>
      <c r="G538" s="926"/>
      <c r="H538" s="927"/>
      <c r="I538" s="927"/>
      <c r="J538" s="926"/>
      <c r="K538" s="926"/>
    </row>
    <row r="539" spans="1:11" x14ac:dyDescent="0.25">
      <c r="A539" s="928"/>
      <c r="B539" s="926"/>
      <c r="C539" s="926"/>
      <c r="D539" s="926"/>
      <c r="E539" s="926"/>
      <c r="F539" s="926"/>
      <c r="G539" s="926"/>
      <c r="H539" s="927"/>
      <c r="I539" s="927"/>
      <c r="J539" s="926"/>
      <c r="K539" s="926"/>
    </row>
    <row r="540" spans="1:11" x14ac:dyDescent="0.25">
      <c r="A540" s="928"/>
      <c r="B540" s="926"/>
      <c r="C540" s="926"/>
      <c r="D540" s="926"/>
      <c r="E540" s="926"/>
      <c r="F540" s="926"/>
      <c r="G540" s="926"/>
      <c r="H540" s="927"/>
      <c r="I540" s="927"/>
      <c r="J540" s="926"/>
      <c r="K540" s="926"/>
    </row>
    <row r="541" spans="1:11" x14ac:dyDescent="0.25">
      <c r="A541" s="928"/>
      <c r="B541" s="926"/>
      <c r="C541" s="926"/>
      <c r="D541" s="926"/>
      <c r="E541" s="926"/>
      <c r="F541" s="926"/>
      <c r="G541" s="926"/>
      <c r="H541" s="927"/>
      <c r="I541" s="927"/>
      <c r="J541" s="926"/>
      <c r="K541" s="926"/>
    </row>
    <row r="542" spans="1:11" x14ac:dyDescent="0.25">
      <c r="A542" s="928"/>
      <c r="B542" s="926"/>
      <c r="C542" s="926"/>
      <c r="D542" s="926"/>
      <c r="E542" s="926"/>
      <c r="F542" s="926"/>
      <c r="G542" s="926"/>
      <c r="H542" s="927"/>
      <c r="I542" s="927"/>
      <c r="J542" s="926"/>
      <c r="K542" s="926"/>
    </row>
    <row r="543" spans="1:11" x14ac:dyDescent="0.25">
      <c r="A543" s="928"/>
      <c r="B543" s="926"/>
      <c r="C543" s="926"/>
      <c r="D543" s="926"/>
      <c r="E543" s="926"/>
      <c r="F543" s="926"/>
      <c r="G543" s="926"/>
      <c r="H543" s="927"/>
      <c r="I543" s="927"/>
      <c r="J543" s="926"/>
      <c r="K543" s="926"/>
    </row>
    <row r="544" spans="1:11" x14ac:dyDescent="0.25">
      <c r="A544" s="928"/>
      <c r="B544" s="926"/>
      <c r="C544" s="926"/>
      <c r="D544" s="926"/>
      <c r="E544" s="926"/>
      <c r="F544" s="926"/>
      <c r="G544" s="926"/>
      <c r="H544" s="927"/>
      <c r="I544" s="927"/>
      <c r="J544" s="926"/>
      <c r="K544" s="926"/>
    </row>
    <row r="545" spans="1:11" x14ac:dyDescent="0.25">
      <c r="A545" s="928"/>
      <c r="B545" s="926"/>
      <c r="C545" s="926"/>
      <c r="D545" s="926"/>
      <c r="E545" s="926"/>
      <c r="F545" s="926"/>
      <c r="G545" s="926"/>
      <c r="H545" s="927"/>
      <c r="I545" s="927"/>
      <c r="J545" s="926"/>
      <c r="K545" s="926"/>
    </row>
    <row r="546" spans="1:11" x14ac:dyDescent="0.25">
      <c r="A546" s="928"/>
      <c r="B546" s="926"/>
      <c r="C546" s="926"/>
      <c r="D546" s="926"/>
      <c r="E546" s="926"/>
      <c r="F546" s="926"/>
      <c r="G546" s="926"/>
      <c r="H546" s="927"/>
      <c r="I546" s="927"/>
      <c r="J546" s="926"/>
      <c r="K546" s="926"/>
    </row>
    <row r="547" spans="1:11" x14ac:dyDescent="0.25">
      <c r="A547" s="928"/>
      <c r="B547" s="926"/>
      <c r="C547" s="926"/>
      <c r="D547" s="926"/>
      <c r="E547" s="926"/>
      <c r="F547" s="926"/>
      <c r="G547" s="926"/>
      <c r="H547" s="927"/>
      <c r="I547" s="927"/>
      <c r="J547" s="926"/>
      <c r="K547" s="926"/>
    </row>
    <row r="548" spans="1:11" x14ac:dyDescent="0.25">
      <c r="A548" s="928"/>
      <c r="B548" s="926"/>
      <c r="C548" s="926"/>
      <c r="D548" s="926"/>
      <c r="E548" s="926"/>
      <c r="F548" s="926"/>
      <c r="G548" s="926"/>
      <c r="H548" s="927"/>
      <c r="I548" s="927"/>
      <c r="J548" s="926"/>
      <c r="K548" s="926"/>
    </row>
    <row r="549" spans="1:11" x14ac:dyDescent="0.25">
      <c r="A549" s="928"/>
      <c r="B549" s="926"/>
      <c r="C549" s="926"/>
      <c r="D549" s="926"/>
      <c r="E549" s="926"/>
      <c r="F549" s="926"/>
      <c r="G549" s="926"/>
      <c r="H549" s="927"/>
      <c r="I549" s="927"/>
      <c r="J549" s="926"/>
      <c r="K549" s="926"/>
    </row>
    <row r="550" spans="1:11" x14ac:dyDescent="0.25">
      <c r="A550" s="928"/>
      <c r="B550" s="926"/>
      <c r="C550" s="926"/>
      <c r="D550" s="926"/>
      <c r="E550" s="926"/>
      <c r="F550" s="926"/>
      <c r="G550" s="926"/>
      <c r="H550" s="927"/>
      <c r="I550" s="927"/>
      <c r="J550" s="926"/>
      <c r="K550" s="926"/>
    </row>
    <row r="551" spans="1:11" x14ac:dyDescent="0.25">
      <c r="A551" s="928"/>
      <c r="B551" s="926"/>
      <c r="C551" s="926"/>
      <c r="D551" s="926"/>
      <c r="E551" s="926"/>
      <c r="F551" s="926"/>
      <c r="G551" s="926"/>
      <c r="H551" s="927"/>
      <c r="I551" s="927"/>
      <c r="J551" s="926"/>
      <c r="K551" s="926"/>
    </row>
    <row r="552" spans="1:11" x14ac:dyDescent="0.25">
      <c r="A552" s="928"/>
      <c r="B552" s="926"/>
      <c r="C552" s="926"/>
      <c r="D552" s="926"/>
      <c r="E552" s="926"/>
      <c r="F552" s="926"/>
      <c r="G552" s="926"/>
      <c r="H552" s="927"/>
      <c r="I552" s="927"/>
      <c r="J552" s="926"/>
      <c r="K552" s="926"/>
    </row>
    <row r="553" spans="1:11" x14ac:dyDescent="0.25">
      <c r="A553" s="928"/>
      <c r="B553" s="926"/>
      <c r="C553" s="926"/>
      <c r="D553" s="926"/>
      <c r="E553" s="926"/>
      <c r="F553" s="926"/>
      <c r="G553" s="926"/>
      <c r="H553" s="927"/>
      <c r="I553" s="927"/>
      <c r="J553" s="926"/>
      <c r="K553" s="926"/>
    </row>
    <row r="554" spans="1:11" x14ac:dyDescent="0.25">
      <c r="A554" s="928"/>
      <c r="B554" s="926"/>
      <c r="C554" s="926"/>
      <c r="D554" s="926"/>
      <c r="E554" s="926"/>
      <c r="F554" s="926"/>
      <c r="G554" s="926"/>
      <c r="H554" s="927"/>
      <c r="I554" s="927"/>
      <c r="J554" s="926"/>
      <c r="K554" s="926"/>
    </row>
    <row r="555" spans="1:11" x14ac:dyDescent="0.25">
      <c r="A555" s="928"/>
      <c r="B555" s="926"/>
      <c r="C555" s="926"/>
      <c r="D555" s="926"/>
      <c r="E555" s="926"/>
      <c r="F555" s="926"/>
      <c r="G555" s="926"/>
      <c r="H555" s="927"/>
      <c r="I555" s="927"/>
      <c r="J555" s="926"/>
      <c r="K555" s="926"/>
    </row>
    <row r="556" spans="1:11" x14ac:dyDescent="0.25">
      <c r="A556" s="928"/>
      <c r="B556" s="926"/>
      <c r="C556" s="926"/>
      <c r="D556" s="926"/>
      <c r="E556" s="926"/>
      <c r="F556" s="926"/>
      <c r="G556" s="926"/>
      <c r="H556" s="927"/>
      <c r="I556" s="927"/>
      <c r="J556" s="926"/>
      <c r="K556" s="926"/>
    </row>
    <row r="557" spans="1:11" x14ac:dyDescent="0.25">
      <c r="A557" s="928"/>
      <c r="B557" s="926"/>
      <c r="C557" s="926"/>
      <c r="D557" s="926"/>
      <c r="E557" s="926"/>
      <c r="F557" s="926"/>
      <c r="G557" s="926"/>
      <c r="H557" s="927"/>
      <c r="I557" s="927"/>
      <c r="J557" s="926"/>
      <c r="K557" s="926"/>
    </row>
    <row r="558" spans="1:11" x14ac:dyDescent="0.25">
      <c r="A558" s="928"/>
      <c r="B558" s="926"/>
      <c r="C558" s="926"/>
      <c r="D558" s="926"/>
      <c r="E558" s="926"/>
      <c r="F558" s="926"/>
      <c r="G558" s="926"/>
      <c r="H558" s="927"/>
      <c r="I558" s="927"/>
      <c r="J558" s="926"/>
      <c r="K558" s="926"/>
    </row>
    <row r="559" spans="1:11" x14ac:dyDescent="0.25">
      <c r="A559" s="928"/>
      <c r="B559" s="926"/>
      <c r="C559" s="926"/>
      <c r="D559" s="926"/>
      <c r="E559" s="926"/>
      <c r="F559" s="926"/>
      <c r="G559" s="926"/>
      <c r="H559" s="927"/>
      <c r="I559" s="927"/>
      <c r="J559" s="926"/>
      <c r="K559" s="926"/>
    </row>
    <row r="560" spans="1:11" x14ac:dyDescent="0.25">
      <c r="A560" s="928"/>
      <c r="B560" s="926"/>
      <c r="C560" s="926"/>
      <c r="D560" s="926"/>
      <c r="E560" s="926"/>
      <c r="F560" s="926"/>
      <c r="G560" s="926"/>
      <c r="H560" s="927"/>
      <c r="I560" s="927"/>
      <c r="J560" s="926"/>
      <c r="K560" s="926"/>
    </row>
    <row r="561" spans="1:11" x14ac:dyDescent="0.25">
      <c r="A561" s="928"/>
      <c r="B561" s="926"/>
      <c r="C561" s="926"/>
      <c r="D561" s="926"/>
      <c r="E561" s="926"/>
      <c r="F561" s="926"/>
      <c r="G561" s="926"/>
      <c r="H561" s="927"/>
      <c r="I561" s="927"/>
      <c r="J561" s="926"/>
      <c r="K561" s="926"/>
    </row>
    <row r="562" spans="1:11" x14ac:dyDescent="0.25">
      <c r="A562" s="928"/>
      <c r="B562" s="926"/>
      <c r="C562" s="926"/>
      <c r="D562" s="926"/>
      <c r="E562" s="926"/>
      <c r="F562" s="926"/>
      <c r="G562" s="926"/>
      <c r="H562" s="927"/>
      <c r="I562" s="927"/>
      <c r="J562" s="926"/>
      <c r="K562" s="926"/>
    </row>
    <row r="563" spans="1:11" x14ac:dyDescent="0.25">
      <c r="A563" s="928"/>
      <c r="B563" s="926"/>
      <c r="C563" s="926"/>
      <c r="D563" s="926"/>
      <c r="E563" s="926"/>
      <c r="F563" s="926"/>
      <c r="G563" s="926"/>
      <c r="H563" s="927"/>
      <c r="I563" s="927"/>
      <c r="J563" s="926"/>
      <c r="K563" s="926"/>
    </row>
    <row r="564" spans="1:11" x14ac:dyDescent="0.25">
      <c r="A564" s="928"/>
      <c r="B564" s="926"/>
      <c r="C564" s="926"/>
      <c r="D564" s="926"/>
      <c r="E564" s="926"/>
      <c r="F564" s="926"/>
      <c r="G564" s="926"/>
      <c r="H564" s="927"/>
      <c r="I564" s="927"/>
      <c r="J564" s="926"/>
      <c r="K564" s="926"/>
    </row>
    <row r="565" spans="1:11" x14ac:dyDescent="0.25">
      <c r="A565" s="928"/>
      <c r="B565" s="926"/>
      <c r="C565" s="926"/>
      <c r="D565" s="926"/>
      <c r="E565" s="926"/>
      <c r="F565" s="926"/>
      <c r="G565" s="926"/>
      <c r="H565" s="927"/>
      <c r="I565" s="927"/>
      <c r="J565" s="926"/>
      <c r="K565" s="926"/>
    </row>
    <row r="566" spans="1:11" x14ac:dyDescent="0.25">
      <c r="A566" s="928"/>
      <c r="B566" s="926"/>
      <c r="C566" s="926"/>
      <c r="D566" s="926"/>
      <c r="E566" s="926"/>
      <c r="F566" s="926"/>
      <c r="G566" s="926"/>
      <c r="H566" s="927"/>
      <c r="I566" s="927"/>
      <c r="J566" s="926"/>
      <c r="K566" s="926"/>
    </row>
    <row r="567" spans="1:11" x14ac:dyDescent="0.25">
      <c r="A567" s="928"/>
      <c r="B567" s="926"/>
      <c r="C567" s="926"/>
      <c r="D567" s="926"/>
      <c r="E567" s="926"/>
      <c r="F567" s="926"/>
      <c r="G567" s="926"/>
      <c r="H567" s="927"/>
      <c r="I567" s="927"/>
      <c r="J567" s="926"/>
      <c r="K567" s="926"/>
    </row>
    <row r="568" spans="1:11" x14ac:dyDescent="0.25">
      <c r="A568" s="928"/>
      <c r="B568" s="926"/>
      <c r="C568" s="926"/>
      <c r="D568" s="926"/>
      <c r="E568" s="926"/>
      <c r="F568" s="926"/>
      <c r="G568" s="926"/>
      <c r="H568" s="927"/>
      <c r="I568" s="927"/>
      <c r="J568" s="926"/>
      <c r="K568" s="926"/>
    </row>
    <row r="569" spans="1:11" x14ac:dyDescent="0.25">
      <c r="A569" s="928"/>
      <c r="B569" s="926"/>
      <c r="C569" s="926"/>
      <c r="D569" s="926"/>
      <c r="E569" s="926"/>
      <c r="F569" s="926"/>
      <c r="G569" s="926"/>
      <c r="H569" s="927"/>
      <c r="I569" s="927"/>
      <c r="J569" s="926"/>
      <c r="K569" s="926"/>
    </row>
    <row r="570" spans="1:11" x14ac:dyDescent="0.25">
      <c r="A570" s="928"/>
      <c r="B570" s="926"/>
      <c r="C570" s="926"/>
      <c r="D570" s="926"/>
      <c r="E570" s="926"/>
      <c r="F570" s="926"/>
      <c r="G570" s="926"/>
      <c r="H570" s="927"/>
      <c r="I570" s="927"/>
      <c r="J570" s="926"/>
      <c r="K570" s="926"/>
    </row>
    <row r="571" spans="1:11" x14ac:dyDescent="0.25">
      <c r="A571" s="928"/>
      <c r="B571" s="926"/>
      <c r="C571" s="926"/>
      <c r="D571" s="926"/>
      <c r="E571" s="926"/>
      <c r="F571" s="926"/>
      <c r="G571" s="926"/>
      <c r="H571" s="927"/>
      <c r="I571" s="927"/>
      <c r="J571" s="926"/>
      <c r="K571" s="926"/>
    </row>
    <row r="572" spans="1:11" x14ac:dyDescent="0.25">
      <c r="A572" s="928"/>
      <c r="B572" s="926"/>
      <c r="C572" s="926"/>
      <c r="D572" s="926"/>
      <c r="E572" s="926"/>
      <c r="F572" s="926"/>
      <c r="G572" s="926"/>
      <c r="H572" s="927"/>
      <c r="I572" s="927"/>
      <c r="J572" s="926"/>
      <c r="K572" s="926"/>
    </row>
    <row r="573" spans="1:11" x14ac:dyDescent="0.25">
      <c r="A573" s="928"/>
      <c r="B573" s="926"/>
      <c r="C573" s="926"/>
      <c r="D573" s="926"/>
      <c r="E573" s="926"/>
      <c r="F573" s="926"/>
      <c r="G573" s="926"/>
      <c r="H573" s="927"/>
      <c r="I573" s="927"/>
      <c r="J573" s="926"/>
      <c r="K573" s="926"/>
    </row>
    <row r="574" spans="1:11" x14ac:dyDescent="0.25">
      <c r="A574" s="928"/>
      <c r="B574" s="926"/>
      <c r="C574" s="926"/>
      <c r="D574" s="926"/>
      <c r="E574" s="926"/>
      <c r="F574" s="926"/>
      <c r="G574" s="926"/>
      <c r="H574" s="927"/>
      <c r="I574" s="927"/>
      <c r="J574" s="926"/>
      <c r="K574" s="926"/>
    </row>
    <row r="575" spans="1:11" x14ac:dyDescent="0.25">
      <c r="A575" s="928"/>
      <c r="B575" s="926"/>
      <c r="C575" s="926"/>
      <c r="D575" s="926"/>
      <c r="E575" s="926"/>
      <c r="F575" s="926"/>
      <c r="G575" s="926"/>
      <c r="H575" s="927"/>
      <c r="I575" s="927"/>
      <c r="J575" s="926"/>
      <c r="K575" s="926"/>
    </row>
    <row r="576" spans="1:11" x14ac:dyDescent="0.25">
      <c r="A576" s="928"/>
      <c r="B576" s="926"/>
      <c r="C576" s="926"/>
      <c r="D576" s="926"/>
      <c r="E576" s="926"/>
      <c r="F576" s="926"/>
      <c r="G576" s="926"/>
      <c r="H576" s="927"/>
      <c r="I576" s="927"/>
      <c r="J576" s="926"/>
      <c r="K576" s="926"/>
    </row>
    <row r="577" spans="1:11" x14ac:dyDescent="0.25">
      <c r="A577" s="928"/>
      <c r="B577" s="926"/>
      <c r="C577" s="926"/>
      <c r="D577" s="926"/>
      <c r="E577" s="926"/>
      <c r="F577" s="926"/>
      <c r="G577" s="926"/>
      <c r="H577" s="927"/>
      <c r="I577" s="927"/>
      <c r="J577" s="926"/>
      <c r="K577" s="926"/>
    </row>
    <row r="578" spans="1:11" x14ac:dyDescent="0.25">
      <c r="A578" s="928"/>
      <c r="B578" s="926"/>
      <c r="C578" s="926"/>
      <c r="D578" s="926"/>
      <c r="E578" s="926"/>
      <c r="F578" s="926"/>
      <c r="G578" s="926"/>
      <c r="H578" s="927"/>
      <c r="I578" s="927"/>
      <c r="J578" s="926"/>
      <c r="K578" s="926"/>
    </row>
    <row r="579" spans="1:11" x14ac:dyDescent="0.25">
      <c r="A579" s="928"/>
      <c r="B579" s="926"/>
      <c r="C579" s="926"/>
      <c r="D579" s="926"/>
      <c r="E579" s="926"/>
      <c r="F579" s="926"/>
      <c r="G579" s="926"/>
      <c r="H579" s="927"/>
      <c r="I579" s="927"/>
      <c r="J579" s="926"/>
      <c r="K579" s="926"/>
    </row>
    <row r="580" spans="1:11" x14ac:dyDescent="0.25">
      <c r="A580" s="928"/>
      <c r="B580" s="926"/>
      <c r="C580" s="926"/>
      <c r="D580" s="926"/>
      <c r="E580" s="926"/>
      <c r="F580" s="926"/>
      <c r="G580" s="926"/>
      <c r="H580" s="927"/>
      <c r="I580" s="927"/>
      <c r="J580" s="926"/>
      <c r="K580" s="926"/>
    </row>
    <row r="581" spans="1:11" x14ac:dyDescent="0.25">
      <c r="A581" s="928"/>
      <c r="B581" s="926"/>
      <c r="C581" s="926"/>
      <c r="D581" s="926"/>
      <c r="E581" s="926"/>
      <c r="F581" s="926"/>
      <c r="G581" s="926"/>
      <c r="H581" s="927"/>
      <c r="I581" s="927"/>
      <c r="J581" s="926"/>
      <c r="K581" s="926"/>
    </row>
    <row r="582" spans="1:11" x14ac:dyDescent="0.25">
      <c r="A582" s="928"/>
      <c r="B582" s="926"/>
      <c r="C582" s="926"/>
      <c r="D582" s="926"/>
      <c r="E582" s="926"/>
      <c r="F582" s="926"/>
      <c r="G582" s="926"/>
      <c r="H582" s="927"/>
      <c r="I582" s="927"/>
      <c r="J582" s="926"/>
      <c r="K582" s="926"/>
    </row>
    <row r="583" spans="1:11" x14ac:dyDescent="0.25">
      <c r="A583" s="928"/>
      <c r="B583" s="926"/>
      <c r="C583" s="926"/>
      <c r="D583" s="926"/>
      <c r="E583" s="926"/>
      <c r="F583" s="926"/>
      <c r="G583" s="926"/>
      <c r="H583" s="927"/>
      <c r="I583" s="927"/>
      <c r="J583" s="926"/>
      <c r="K583" s="926"/>
    </row>
    <row r="584" spans="1:11" x14ac:dyDescent="0.25">
      <c r="A584" s="928"/>
      <c r="B584" s="926"/>
      <c r="C584" s="926"/>
      <c r="D584" s="926"/>
      <c r="E584" s="926"/>
      <c r="F584" s="926"/>
      <c r="G584" s="926"/>
      <c r="H584" s="927"/>
      <c r="I584" s="927"/>
      <c r="J584" s="926"/>
      <c r="K584" s="926"/>
    </row>
    <row r="585" spans="1:11" x14ac:dyDescent="0.25">
      <c r="A585" s="928"/>
      <c r="B585" s="926"/>
      <c r="C585" s="926"/>
      <c r="D585" s="926"/>
      <c r="E585" s="926"/>
      <c r="F585" s="926"/>
      <c r="G585" s="926"/>
      <c r="H585" s="927"/>
      <c r="I585" s="927"/>
      <c r="J585" s="926"/>
      <c r="K585" s="926"/>
    </row>
    <row r="586" spans="1:11" x14ac:dyDescent="0.25">
      <c r="A586" s="928"/>
      <c r="B586" s="926"/>
      <c r="C586" s="926"/>
      <c r="D586" s="926"/>
      <c r="E586" s="926"/>
      <c r="F586" s="926"/>
      <c r="G586" s="926"/>
      <c r="H586" s="927"/>
      <c r="I586" s="927"/>
      <c r="J586" s="926"/>
      <c r="K586" s="926"/>
    </row>
    <row r="587" spans="1:11" x14ac:dyDescent="0.25">
      <c r="A587" s="928"/>
      <c r="B587" s="926"/>
      <c r="C587" s="926"/>
      <c r="D587" s="926"/>
      <c r="E587" s="926"/>
      <c r="F587" s="926"/>
      <c r="G587" s="926"/>
      <c r="H587" s="927"/>
      <c r="I587" s="927"/>
      <c r="J587" s="926"/>
      <c r="K587" s="926"/>
    </row>
    <row r="588" spans="1:11" x14ac:dyDescent="0.25">
      <c r="A588" s="928"/>
      <c r="B588" s="926"/>
      <c r="C588" s="926"/>
      <c r="D588" s="926"/>
      <c r="E588" s="926"/>
      <c r="F588" s="926"/>
      <c r="G588" s="926"/>
      <c r="H588" s="927"/>
      <c r="I588" s="927"/>
      <c r="J588" s="926"/>
      <c r="K588" s="926"/>
    </row>
    <row r="589" spans="1:11" x14ac:dyDescent="0.25">
      <c r="A589" s="928"/>
      <c r="B589" s="926"/>
      <c r="C589" s="926"/>
      <c r="D589" s="926"/>
      <c r="E589" s="926"/>
      <c r="F589" s="926"/>
      <c r="G589" s="926"/>
      <c r="H589" s="927"/>
      <c r="I589" s="927"/>
      <c r="J589" s="926"/>
      <c r="K589" s="926"/>
    </row>
    <row r="590" spans="1:11" x14ac:dyDescent="0.25">
      <c r="A590" s="928"/>
      <c r="B590" s="926"/>
      <c r="C590" s="926"/>
      <c r="D590" s="926"/>
      <c r="E590" s="926"/>
      <c r="F590" s="926"/>
      <c r="G590" s="926"/>
      <c r="H590" s="927"/>
      <c r="I590" s="927"/>
      <c r="J590" s="926"/>
      <c r="K590" s="926"/>
    </row>
    <row r="591" spans="1:11" x14ac:dyDescent="0.25">
      <c r="A591" s="928"/>
      <c r="B591" s="926"/>
      <c r="C591" s="926"/>
      <c r="D591" s="926"/>
      <c r="E591" s="926"/>
      <c r="F591" s="926"/>
      <c r="G591" s="926"/>
      <c r="H591" s="927"/>
      <c r="I591" s="927"/>
      <c r="J591" s="926"/>
      <c r="K591" s="926"/>
    </row>
    <row r="592" spans="1:11" x14ac:dyDescent="0.25">
      <c r="A592" s="928"/>
      <c r="B592" s="926"/>
      <c r="C592" s="926"/>
      <c r="D592" s="926"/>
      <c r="E592" s="926"/>
      <c r="F592" s="926"/>
      <c r="G592" s="926"/>
      <c r="H592" s="927"/>
      <c r="I592" s="927"/>
      <c r="J592" s="926"/>
      <c r="K592" s="926"/>
    </row>
    <row r="593" spans="1:11" x14ac:dyDescent="0.25">
      <c r="A593" s="928"/>
      <c r="B593" s="926"/>
      <c r="C593" s="926"/>
      <c r="D593" s="926"/>
      <c r="E593" s="926"/>
      <c r="F593" s="926"/>
      <c r="G593" s="926"/>
      <c r="H593" s="927"/>
      <c r="I593" s="927"/>
      <c r="J593" s="926"/>
      <c r="K593" s="926"/>
    </row>
    <row r="594" spans="1:11" x14ac:dyDescent="0.25">
      <c r="A594" s="928"/>
      <c r="B594" s="926"/>
      <c r="C594" s="926"/>
      <c r="D594" s="926"/>
      <c r="E594" s="926"/>
      <c r="F594" s="926"/>
      <c r="G594" s="926"/>
      <c r="H594" s="927"/>
      <c r="I594" s="927"/>
      <c r="J594" s="926"/>
      <c r="K594" s="926"/>
    </row>
    <row r="595" spans="1:11" x14ac:dyDescent="0.25">
      <c r="A595" s="928"/>
      <c r="B595" s="926"/>
      <c r="C595" s="926"/>
      <c r="D595" s="926"/>
      <c r="E595" s="926"/>
      <c r="F595" s="926"/>
      <c r="G595" s="926"/>
      <c r="H595" s="927"/>
      <c r="I595" s="927"/>
      <c r="J595" s="926"/>
      <c r="K595" s="926"/>
    </row>
    <row r="596" spans="1:11" x14ac:dyDescent="0.25">
      <c r="A596" s="928"/>
      <c r="B596" s="926"/>
      <c r="C596" s="926"/>
      <c r="D596" s="926"/>
      <c r="E596" s="926"/>
      <c r="F596" s="926"/>
      <c r="G596" s="926"/>
      <c r="H596" s="927"/>
      <c r="I596" s="927"/>
      <c r="J596" s="926"/>
      <c r="K596" s="926"/>
    </row>
    <row r="597" spans="1:11" x14ac:dyDescent="0.25">
      <c r="A597" s="928"/>
      <c r="B597" s="926"/>
      <c r="C597" s="926"/>
      <c r="D597" s="926"/>
      <c r="E597" s="926"/>
      <c r="F597" s="926"/>
      <c r="G597" s="926"/>
      <c r="H597" s="927"/>
      <c r="I597" s="927"/>
      <c r="J597" s="926"/>
      <c r="K597" s="926"/>
    </row>
    <row r="598" spans="1:11" x14ac:dyDescent="0.25">
      <c r="A598" s="928"/>
      <c r="B598" s="926"/>
      <c r="C598" s="926"/>
      <c r="D598" s="926"/>
      <c r="E598" s="926"/>
      <c r="F598" s="926"/>
      <c r="G598" s="926"/>
      <c r="H598" s="927"/>
      <c r="I598" s="927"/>
      <c r="J598" s="926"/>
      <c r="K598" s="926"/>
    </row>
    <row r="599" spans="1:11" x14ac:dyDescent="0.25">
      <c r="A599" s="928"/>
      <c r="B599" s="926"/>
      <c r="C599" s="926"/>
      <c r="D599" s="926"/>
      <c r="E599" s="926"/>
      <c r="F599" s="926"/>
      <c r="G599" s="926"/>
      <c r="H599" s="927"/>
      <c r="I599" s="927"/>
      <c r="J599" s="926"/>
      <c r="K599" s="926"/>
    </row>
    <row r="600" spans="1:11" x14ac:dyDescent="0.25">
      <c r="A600" s="928"/>
      <c r="B600" s="926"/>
      <c r="C600" s="926"/>
      <c r="D600" s="926"/>
      <c r="E600" s="926"/>
      <c r="F600" s="926"/>
      <c r="G600" s="926"/>
      <c r="H600" s="927"/>
      <c r="I600" s="927"/>
      <c r="J600" s="926"/>
      <c r="K600" s="926"/>
    </row>
    <row r="601" spans="1:11" x14ac:dyDescent="0.25">
      <c r="A601" s="928"/>
      <c r="B601" s="926"/>
      <c r="C601" s="926"/>
      <c r="D601" s="926"/>
      <c r="E601" s="926"/>
      <c r="F601" s="926"/>
      <c r="G601" s="926"/>
      <c r="H601" s="927"/>
      <c r="I601" s="927"/>
      <c r="J601" s="926"/>
      <c r="K601" s="926"/>
    </row>
    <row r="602" spans="1:11" x14ac:dyDescent="0.25">
      <c r="A602" s="928"/>
      <c r="B602" s="926"/>
      <c r="C602" s="926"/>
      <c r="D602" s="926"/>
      <c r="E602" s="926"/>
      <c r="F602" s="926"/>
      <c r="G602" s="926"/>
      <c r="H602" s="927"/>
      <c r="I602" s="927"/>
      <c r="J602" s="926"/>
      <c r="K602" s="926"/>
    </row>
    <row r="603" spans="1:11" x14ac:dyDescent="0.25">
      <c r="A603" s="928"/>
      <c r="B603" s="926"/>
      <c r="C603" s="926"/>
      <c r="D603" s="926"/>
      <c r="E603" s="926"/>
      <c r="F603" s="926"/>
      <c r="G603" s="926"/>
      <c r="H603" s="927"/>
      <c r="I603" s="927"/>
      <c r="J603" s="926"/>
      <c r="K603" s="926"/>
    </row>
    <row r="604" spans="1:11" x14ac:dyDescent="0.25">
      <c r="A604" s="928"/>
      <c r="B604" s="926"/>
      <c r="C604" s="926"/>
      <c r="D604" s="926"/>
      <c r="E604" s="926"/>
      <c r="F604" s="926"/>
      <c r="G604" s="926"/>
      <c r="H604" s="927"/>
      <c r="I604" s="927"/>
      <c r="J604" s="926"/>
      <c r="K604" s="926"/>
    </row>
    <row r="605" spans="1:11" x14ac:dyDescent="0.25">
      <c r="A605" s="928"/>
      <c r="B605" s="926"/>
      <c r="C605" s="926"/>
      <c r="D605" s="926"/>
      <c r="E605" s="926"/>
      <c r="F605" s="926"/>
      <c r="G605" s="926"/>
      <c r="H605" s="927"/>
      <c r="I605" s="927"/>
      <c r="J605" s="926"/>
      <c r="K605" s="926"/>
    </row>
    <row r="606" spans="1:11" x14ac:dyDescent="0.25">
      <c r="A606" s="928"/>
      <c r="B606" s="926"/>
      <c r="C606" s="926"/>
      <c r="D606" s="926"/>
      <c r="E606" s="926"/>
      <c r="F606" s="926"/>
      <c r="G606" s="926"/>
      <c r="H606" s="927"/>
      <c r="I606" s="927"/>
      <c r="J606" s="926"/>
      <c r="K606" s="926"/>
    </row>
    <row r="607" spans="1:11" x14ac:dyDescent="0.25">
      <c r="A607" s="928"/>
      <c r="B607" s="926"/>
      <c r="C607" s="926"/>
      <c r="D607" s="926"/>
      <c r="E607" s="926"/>
      <c r="F607" s="926"/>
      <c r="G607" s="926"/>
      <c r="H607" s="927"/>
      <c r="I607" s="927"/>
      <c r="J607" s="926"/>
      <c r="K607" s="926"/>
    </row>
    <row r="608" spans="1:11" x14ac:dyDescent="0.25">
      <c r="A608" s="928"/>
      <c r="B608" s="926"/>
      <c r="C608" s="926"/>
      <c r="D608" s="926"/>
      <c r="E608" s="926"/>
      <c r="F608" s="926"/>
      <c r="G608" s="926"/>
      <c r="H608" s="927"/>
      <c r="I608" s="927"/>
      <c r="J608" s="926"/>
      <c r="K608" s="926"/>
    </row>
    <row r="609" spans="1:11" x14ac:dyDescent="0.25">
      <c r="A609" s="928"/>
      <c r="B609" s="926"/>
      <c r="C609" s="926"/>
      <c r="D609" s="926"/>
      <c r="E609" s="926"/>
      <c r="F609" s="926"/>
      <c r="G609" s="926"/>
      <c r="H609" s="927"/>
      <c r="I609" s="927"/>
      <c r="J609" s="926"/>
      <c r="K609" s="926"/>
    </row>
    <row r="610" spans="1:11" x14ac:dyDescent="0.25">
      <c r="A610" s="928"/>
      <c r="B610" s="926"/>
      <c r="C610" s="926"/>
      <c r="D610" s="926"/>
      <c r="E610" s="926"/>
      <c r="F610" s="926"/>
      <c r="G610" s="926"/>
      <c r="H610" s="927"/>
      <c r="I610" s="927"/>
      <c r="J610" s="926"/>
      <c r="K610" s="926"/>
    </row>
    <row r="611" spans="1:11" x14ac:dyDescent="0.25">
      <c r="A611" s="928"/>
      <c r="B611" s="926"/>
      <c r="C611" s="926"/>
      <c r="D611" s="926"/>
      <c r="E611" s="926"/>
      <c r="F611" s="926"/>
      <c r="G611" s="926"/>
      <c r="H611" s="927"/>
      <c r="I611" s="927"/>
      <c r="J611" s="926"/>
      <c r="K611" s="926"/>
    </row>
    <row r="612" spans="1:11" x14ac:dyDescent="0.25">
      <c r="A612" s="928"/>
      <c r="B612" s="926"/>
      <c r="C612" s="926"/>
      <c r="D612" s="926"/>
      <c r="E612" s="926"/>
      <c r="F612" s="926"/>
      <c r="G612" s="926"/>
      <c r="H612" s="927"/>
      <c r="I612" s="927"/>
      <c r="J612" s="926"/>
      <c r="K612" s="926"/>
    </row>
    <row r="613" spans="1:11" x14ac:dyDescent="0.25">
      <c r="A613" s="928"/>
      <c r="B613" s="926"/>
      <c r="C613" s="926"/>
      <c r="D613" s="926"/>
      <c r="E613" s="926"/>
      <c r="F613" s="926"/>
      <c r="G613" s="926"/>
      <c r="H613" s="927"/>
      <c r="I613" s="927"/>
      <c r="J613" s="926"/>
      <c r="K613" s="926"/>
    </row>
    <row r="614" spans="1:11" x14ac:dyDescent="0.25">
      <c r="A614" s="928"/>
      <c r="B614" s="926"/>
      <c r="C614" s="926"/>
      <c r="D614" s="926"/>
      <c r="E614" s="926"/>
      <c r="F614" s="926"/>
      <c r="G614" s="926"/>
      <c r="H614" s="927"/>
      <c r="I614" s="927"/>
      <c r="J614" s="926"/>
      <c r="K614" s="926"/>
    </row>
    <row r="615" spans="1:11" x14ac:dyDescent="0.25">
      <c r="A615" s="928"/>
      <c r="B615" s="926"/>
      <c r="C615" s="926"/>
      <c r="D615" s="926"/>
      <c r="E615" s="926"/>
      <c r="F615" s="926"/>
      <c r="G615" s="926"/>
      <c r="H615" s="927"/>
      <c r="I615" s="927"/>
      <c r="J615" s="926"/>
      <c r="K615" s="926"/>
    </row>
    <row r="616" spans="1:11" x14ac:dyDescent="0.25">
      <c r="A616" s="928"/>
      <c r="B616" s="926"/>
      <c r="C616" s="926"/>
      <c r="D616" s="926"/>
      <c r="E616" s="926"/>
      <c r="F616" s="926"/>
      <c r="G616" s="926"/>
      <c r="H616" s="927"/>
      <c r="I616" s="927"/>
      <c r="J616" s="926"/>
      <c r="K616" s="926"/>
    </row>
    <row r="617" spans="1:11" x14ac:dyDescent="0.25">
      <c r="A617" s="928"/>
      <c r="B617" s="926"/>
      <c r="C617" s="926"/>
      <c r="D617" s="926"/>
      <c r="E617" s="926"/>
      <c r="F617" s="926"/>
      <c r="G617" s="926"/>
      <c r="H617" s="927"/>
      <c r="I617" s="927"/>
      <c r="J617" s="926"/>
      <c r="K617" s="926"/>
    </row>
    <row r="618" spans="1:11" x14ac:dyDescent="0.25">
      <c r="A618" s="928"/>
      <c r="B618" s="926"/>
      <c r="C618" s="926"/>
      <c r="D618" s="926"/>
      <c r="E618" s="926"/>
      <c r="F618" s="926"/>
      <c r="G618" s="926"/>
      <c r="H618" s="927"/>
      <c r="I618" s="927"/>
      <c r="J618" s="926"/>
      <c r="K618" s="926"/>
    </row>
    <row r="619" spans="1:11" x14ac:dyDescent="0.25">
      <c r="A619" s="928"/>
      <c r="B619" s="926"/>
      <c r="C619" s="926"/>
      <c r="D619" s="926"/>
      <c r="E619" s="926"/>
      <c r="F619" s="926"/>
      <c r="G619" s="926"/>
      <c r="H619" s="927"/>
      <c r="I619" s="927"/>
      <c r="J619" s="926"/>
      <c r="K619" s="926"/>
    </row>
    <row r="620" spans="1:11" x14ac:dyDescent="0.25">
      <c r="A620" s="928"/>
      <c r="B620" s="926"/>
      <c r="C620" s="926"/>
      <c r="D620" s="926"/>
      <c r="E620" s="926"/>
      <c r="F620" s="926"/>
      <c r="G620" s="926"/>
      <c r="H620" s="927"/>
      <c r="I620" s="927"/>
      <c r="J620" s="926"/>
      <c r="K620" s="926"/>
    </row>
    <row r="621" spans="1:11" x14ac:dyDescent="0.25">
      <c r="A621" s="928"/>
      <c r="B621" s="926"/>
      <c r="C621" s="926"/>
      <c r="D621" s="926"/>
      <c r="E621" s="926"/>
      <c r="F621" s="926"/>
      <c r="G621" s="926"/>
      <c r="H621" s="927"/>
      <c r="I621" s="927"/>
      <c r="J621" s="926"/>
      <c r="K621" s="926"/>
    </row>
    <row r="622" spans="1:11" x14ac:dyDescent="0.25">
      <c r="A622" s="928"/>
      <c r="B622" s="926"/>
      <c r="C622" s="926"/>
      <c r="D622" s="926"/>
      <c r="E622" s="926"/>
      <c r="F622" s="926"/>
      <c r="G622" s="926"/>
      <c r="H622" s="927"/>
      <c r="I622" s="927"/>
      <c r="J622" s="926"/>
      <c r="K622" s="926"/>
    </row>
    <row r="623" spans="1:11" x14ac:dyDescent="0.25">
      <c r="A623" s="928"/>
      <c r="B623" s="926"/>
      <c r="C623" s="926"/>
      <c r="D623" s="926"/>
      <c r="E623" s="926"/>
      <c r="F623" s="926"/>
      <c r="G623" s="926"/>
      <c r="H623" s="927"/>
      <c r="I623" s="927"/>
      <c r="J623" s="926"/>
      <c r="K623" s="926"/>
    </row>
    <row r="624" spans="1:11" x14ac:dyDescent="0.25">
      <c r="A624" s="928"/>
      <c r="B624" s="926"/>
      <c r="C624" s="926"/>
      <c r="D624" s="926"/>
      <c r="E624" s="926"/>
      <c r="F624" s="926"/>
      <c r="G624" s="926"/>
      <c r="H624" s="927"/>
      <c r="I624" s="927"/>
      <c r="J624" s="926"/>
      <c r="K624" s="926"/>
    </row>
    <row r="625" spans="1:11" x14ac:dyDescent="0.25">
      <c r="A625" s="928"/>
      <c r="B625" s="926"/>
      <c r="C625" s="926"/>
      <c r="D625" s="926"/>
      <c r="E625" s="926"/>
      <c r="F625" s="926"/>
      <c r="G625" s="926"/>
      <c r="H625" s="927"/>
      <c r="I625" s="927"/>
      <c r="J625" s="926"/>
      <c r="K625" s="926"/>
    </row>
    <row r="626" spans="1:11" x14ac:dyDescent="0.25">
      <c r="A626" s="928"/>
      <c r="B626" s="926"/>
      <c r="C626" s="926"/>
      <c r="D626" s="926"/>
      <c r="E626" s="926"/>
      <c r="F626" s="926"/>
      <c r="G626" s="926"/>
      <c r="H626" s="927"/>
      <c r="I626" s="927"/>
      <c r="J626" s="926"/>
      <c r="K626" s="926"/>
    </row>
    <row r="627" spans="1:11" x14ac:dyDescent="0.25">
      <c r="A627" s="928"/>
      <c r="B627" s="926"/>
      <c r="C627" s="926"/>
      <c r="D627" s="926"/>
      <c r="E627" s="926"/>
      <c r="F627" s="926"/>
      <c r="G627" s="926"/>
      <c r="H627" s="927"/>
      <c r="I627" s="927"/>
      <c r="J627" s="926"/>
      <c r="K627" s="926"/>
    </row>
    <row r="628" spans="1:11" x14ac:dyDescent="0.25">
      <c r="A628" s="928"/>
      <c r="B628" s="926"/>
      <c r="C628" s="926"/>
      <c r="D628" s="926"/>
      <c r="E628" s="926"/>
      <c r="F628" s="926"/>
      <c r="G628" s="926"/>
      <c r="H628" s="927"/>
      <c r="I628" s="927"/>
      <c r="J628" s="926"/>
      <c r="K628" s="926"/>
    </row>
    <row r="629" spans="1:11" x14ac:dyDescent="0.25">
      <c r="A629" s="928"/>
      <c r="B629" s="926"/>
      <c r="C629" s="926"/>
      <c r="D629" s="926"/>
      <c r="E629" s="926"/>
      <c r="F629" s="926"/>
      <c r="G629" s="926"/>
      <c r="H629" s="927"/>
      <c r="I629" s="927"/>
      <c r="J629" s="926"/>
      <c r="K629" s="926"/>
    </row>
    <row r="630" spans="1:11" x14ac:dyDescent="0.25">
      <c r="A630" s="928"/>
      <c r="B630" s="926"/>
      <c r="C630" s="926"/>
      <c r="D630" s="926"/>
      <c r="E630" s="926"/>
      <c r="F630" s="926"/>
      <c r="G630" s="926"/>
      <c r="H630" s="927"/>
      <c r="I630" s="927"/>
      <c r="J630" s="926"/>
      <c r="K630" s="926"/>
    </row>
    <row r="631" spans="1:11" x14ac:dyDescent="0.25">
      <c r="A631" s="928"/>
      <c r="B631" s="926"/>
      <c r="C631" s="926"/>
      <c r="D631" s="926"/>
      <c r="E631" s="926"/>
      <c r="F631" s="926"/>
      <c r="G631" s="926"/>
      <c r="H631" s="927"/>
      <c r="I631" s="927"/>
      <c r="J631" s="926"/>
      <c r="K631" s="926"/>
    </row>
    <row r="632" spans="1:11" x14ac:dyDescent="0.25">
      <c r="A632" s="928"/>
      <c r="B632" s="926"/>
      <c r="C632" s="926"/>
      <c r="D632" s="926"/>
      <c r="E632" s="926"/>
      <c r="F632" s="926"/>
      <c r="G632" s="926"/>
      <c r="H632" s="927"/>
      <c r="I632" s="927"/>
      <c r="J632" s="926"/>
      <c r="K632" s="926"/>
    </row>
    <row r="633" spans="1:11" x14ac:dyDescent="0.25">
      <c r="A633" s="928"/>
      <c r="B633" s="926"/>
      <c r="C633" s="926"/>
      <c r="D633" s="926"/>
      <c r="E633" s="926"/>
      <c r="F633" s="926"/>
      <c r="G633" s="926"/>
      <c r="H633" s="927"/>
      <c r="I633" s="927"/>
      <c r="J633" s="926"/>
      <c r="K633" s="926"/>
    </row>
    <row r="634" spans="1:11" x14ac:dyDescent="0.25">
      <c r="A634" s="928"/>
      <c r="B634" s="926"/>
      <c r="C634" s="926"/>
      <c r="D634" s="926"/>
      <c r="E634" s="926"/>
      <c r="F634" s="926"/>
      <c r="G634" s="926"/>
      <c r="H634" s="927"/>
      <c r="I634" s="927"/>
      <c r="J634" s="926"/>
      <c r="K634" s="926"/>
    </row>
    <row r="635" spans="1:11" x14ac:dyDescent="0.25">
      <c r="A635" s="928"/>
      <c r="B635" s="926"/>
      <c r="C635" s="926"/>
      <c r="D635" s="926"/>
      <c r="E635" s="926"/>
      <c r="F635" s="926"/>
      <c r="G635" s="926"/>
      <c r="H635" s="927"/>
      <c r="I635" s="927"/>
      <c r="J635" s="926"/>
      <c r="K635" s="926"/>
    </row>
    <row r="636" spans="1:11" x14ac:dyDescent="0.25">
      <c r="A636" s="928"/>
      <c r="B636" s="926"/>
      <c r="C636" s="926"/>
      <c r="D636" s="926"/>
      <c r="E636" s="926"/>
      <c r="F636" s="926"/>
      <c r="G636" s="926"/>
      <c r="H636" s="927"/>
      <c r="I636" s="927"/>
      <c r="J636" s="926"/>
      <c r="K636" s="926"/>
    </row>
    <row r="637" spans="1:11" x14ac:dyDescent="0.25">
      <c r="A637" s="928"/>
      <c r="B637" s="926"/>
      <c r="C637" s="926"/>
      <c r="D637" s="926"/>
      <c r="E637" s="926"/>
      <c r="F637" s="926"/>
      <c r="G637" s="926"/>
      <c r="H637" s="927"/>
      <c r="I637" s="927"/>
      <c r="J637" s="926"/>
      <c r="K637" s="926"/>
    </row>
    <row r="638" spans="1:11" x14ac:dyDescent="0.25">
      <c r="A638" s="928"/>
      <c r="B638" s="926"/>
      <c r="C638" s="926"/>
      <c r="D638" s="926"/>
      <c r="E638" s="926"/>
      <c r="F638" s="926"/>
      <c r="G638" s="926"/>
      <c r="H638" s="927"/>
      <c r="I638" s="927"/>
      <c r="J638" s="926"/>
      <c r="K638" s="926"/>
    </row>
    <row r="639" spans="1:11" x14ac:dyDescent="0.25">
      <c r="A639" s="928"/>
      <c r="B639" s="926"/>
      <c r="C639" s="926"/>
      <c r="D639" s="926"/>
      <c r="E639" s="926"/>
      <c r="F639" s="926"/>
      <c r="G639" s="926"/>
      <c r="H639" s="927"/>
      <c r="I639" s="927"/>
      <c r="J639" s="926"/>
      <c r="K639" s="926"/>
    </row>
    <row r="640" spans="1:11" x14ac:dyDescent="0.25">
      <c r="A640" s="928"/>
      <c r="B640" s="926"/>
      <c r="C640" s="926"/>
      <c r="D640" s="926"/>
      <c r="E640" s="926"/>
      <c r="F640" s="926"/>
      <c r="G640" s="926"/>
      <c r="H640" s="927"/>
      <c r="I640" s="927"/>
      <c r="J640" s="926"/>
      <c r="K640" s="926"/>
    </row>
    <row r="641" spans="1:11" x14ac:dyDescent="0.25">
      <c r="A641" s="928"/>
      <c r="B641" s="926"/>
      <c r="C641" s="926"/>
      <c r="D641" s="926"/>
      <c r="E641" s="926"/>
      <c r="F641" s="926"/>
      <c r="G641" s="926"/>
      <c r="H641" s="927"/>
      <c r="I641" s="927"/>
      <c r="J641" s="926"/>
      <c r="K641" s="926"/>
    </row>
    <row r="642" spans="1:11" x14ac:dyDescent="0.25">
      <c r="A642" s="928"/>
      <c r="B642" s="926"/>
      <c r="C642" s="926"/>
      <c r="D642" s="926"/>
      <c r="E642" s="926"/>
      <c r="F642" s="926"/>
      <c r="G642" s="926"/>
      <c r="H642" s="927"/>
      <c r="I642" s="927"/>
      <c r="J642" s="926"/>
      <c r="K642" s="926"/>
    </row>
    <row r="643" spans="1:11" x14ac:dyDescent="0.25">
      <c r="A643" s="928"/>
      <c r="B643" s="926"/>
      <c r="C643" s="926"/>
      <c r="D643" s="926"/>
      <c r="E643" s="926"/>
      <c r="F643" s="926"/>
      <c r="G643" s="926"/>
      <c r="H643" s="927"/>
      <c r="I643" s="927"/>
      <c r="J643" s="926"/>
      <c r="K643" s="926"/>
    </row>
    <row r="644" spans="1:11" x14ac:dyDescent="0.25">
      <c r="A644" s="928"/>
      <c r="B644" s="926"/>
      <c r="C644" s="926"/>
      <c r="D644" s="926"/>
      <c r="E644" s="926"/>
      <c r="F644" s="926"/>
      <c r="G644" s="926"/>
      <c r="H644" s="927"/>
      <c r="I644" s="927"/>
      <c r="J644" s="926"/>
      <c r="K644" s="926"/>
    </row>
    <row r="645" spans="1:11" x14ac:dyDescent="0.25">
      <c r="A645" s="928"/>
      <c r="B645" s="926"/>
      <c r="C645" s="926"/>
      <c r="D645" s="926"/>
      <c r="E645" s="926"/>
      <c r="F645" s="926"/>
      <c r="G645" s="926"/>
      <c r="H645" s="927"/>
      <c r="I645" s="927"/>
      <c r="J645" s="926"/>
      <c r="K645" s="926"/>
    </row>
    <row r="646" spans="1:11" x14ac:dyDescent="0.25">
      <c r="A646" s="928"/>
      <c r="B646" s="926"/>
      <c r="C646" s="926"/>
      <c r="D646" s="926"/>
      <c r="E646" s="926"/>
      <c r="F646" s="926"/>
      <c r="G646" s="926"/>
      <c r="H646" s="927"/>
      <c r="I646" s="927"/>
      <c r="J646" s="926"/>
      <c r="K646" s="926"/>
    </row>
    <row r="647" spans="1:11" x14ac:dyDescent="0.25">
      <c r="A647" s="928"/>
      <c r="B647" s="926"/>
      <c r="C647" s="926"/>
      <c r="D647" s="926"/>
      <c r="E647" s="926"/>
      <c r="F647" s="926"/>
      <c r="G647" s="926"/>
      <c r="H647" s="927"/>
      <c r="I647" s="927"/>
      <c r="J647" s="926"/>
      <c r="K647" s="926"/>
    </row>
    <row r="648" spans="1:11" x14ac:dyDescent="0.25">
      <c r="A648" s="928"/>
      <c r="B648" s="926"/>
      <c r="C648" s="926"/>
      <c r="D648" s="926"/>
      <c r="E648" s="926"/>
      <c r="F648" s="926"/>
      <c r="G648" s="926"/>
      <c r="H648" s="927"/>
      <c r="I648" s="927"/>
      <c r="J648" s="926"/>
      <c r="K648" s="926"/>
    </row>
    <row r="649" spans="1:11" x14ac:dyDescent="0.25">
      <c r="A649" s="928"/>
      <c r="B649" s="926"/>
      <c r="C649" s="926"/>
      <c r="D649" s="926"/>
      <c r="E649" s="926"/>
      <c r="F649" s="926"/>
      <c r="G649" s="926"/>
      <c r="H649" s="927"/>
      <c r="I649" s="927"/>
      <c r="J649" s="926"/>
      <c r="K649" s="926"/>
    </row>
    <row r="650" spans="1:11" x14ac:dyDescent="0.25">
      <c r="A650" s="928"/>
      <c r="B650" s="926"/>
      <c r="C650" s="926"/>
      <c r="D650" s="926"/>
      <c r="E650" s="926"/>
      <c r="F650" s="926"/>
      <c r="G650" s="926"/>
      <c r="H650" s="927"/>
      <c r="I650" s="927"/>
      <c r="J650" s="926"/>
      <c r="K650" s="926"/>
    </row>
    <row r="651" spans="1:11" x14ac:dyDescent="0.25">
      <c r="A651" s="928"/>
      <c r="B651" s="926"/>
      <c r="C651" s="926"/>
      <c r="D651" s="926"/>
      <c r="E651" s="926"/>
      <c r="F651" s="926"/>
      <c r="G651" s="926"/>
      <c r="H651" s="927"/>
      <c r="I651" s="927"/>
      <c r="J651" s="926"/>
      <c r="K651" s="926"/>
    </row>
    <row r="652" spans="1:11" x14ac:dyDescent="0.25">
      <c r="A652" s="928"/>
      <c r="B652" s="926"/>
      <c r="C652" s="926"/>
      <c r="D652" s="926"/>
      <c r="E652" s="926"/>
      <c r="F652" s="926"/>
      <c r="G652" s="926"/>
      <c r="H652" s="927"/>
      <c r="I652" s="927"/>
      <c r="J652" s="926"/>
      <c r="K652" s="926"/>
    </row>
    <row r="653" spans="1:11" x14ac:dyDescent="0.25">
      <c r="A653" s="928"/>
      <c r="B653" s="926"/>
      <c r="C653" s="926"/>
      <c r="D653" s="926"/>
      <c r="E653" s="926"/>
      <c r="F653" s="926"/>
      <c r="G653" s="926"/>
      <c r="H653" s="927"/>
      <c r="I653" s="927"/>
      <c r="J653" s="926"/>
      <c r="K653" s="926"/>
    </row>
    <row r="654" spans="1:11" x14ac:dyDescent="0.25">
      <c r="A654" s="928"/>
      <c r="B654" s="926"/>
      <c r="C654" s="926"/>
      <c r="D654" s="926"/>
      <c r="E654" s="926"/>
      <c r="F654" s="926"/>
      <c r="G654" s="926"/>
      <c r="H654" s="927"/>
      <c r="I654" s="927"/>
      <c r="J654" s="926"/>
      <c r="K654" s="926"/>
    </row>
    <row r="655" spans="1:11" x14ac:dyDescent="0.25">
      <c r="A655" s="928"/>
      <c r="B655" s="926"/>
      <c r="C655" s="926"/>
      <c r="D655" s="926"/>
      <c r="E655" s="926"/>
      <c r="F655" s="926"/>
      <c r="G655" s="926"/>
      <c r="H655" s="927"/>
      <c r="I655" s="927"/>
      <c r="J655" s="926"/>
      <c r="K655" s="926"/>
    </row>
    <row r="656" spans="1:11" x14ac:dyDescent="0.25">
      <c r="A656" s="928"/>
      <c r="B656" s="926"/>
      <c r="C656" s="926"/>
      <c r="D656" s="926"/>
      <c r="E656" s="926"/>
      <c r="F656" s="926"/>
      <c r="G656" s="926"/>
      <c r="H656" s="927"/>
      <c r="I656" s="927"/>
      <c r="J656" s="926"/>
      <c r="K656" s="926"/>
    </row>
    <row r="657" spans="1:11" x14ac:dyDescent="0.25">
      <c r="A657" s="928"/>
      <c r="B657" s="926"/>
      <c r="C657" s="926"/>
      <c r="D657" s="926"/>
      <c r="E657" s="926"/>
      <c r="F657" s="926"/>
      <c r="G657" s="926"/>
      <c r="H657" s="927"/>
      <c r="I657" s="927"/>
      <c r="J657" s="926"/>
      <c r="K657" s="926"/>
    </row>
    <row r="658" spans="1:11" x14ac:dyDescent="0.25">
      <c r="A658" s="928"/>
      <c r="B658" s="926"/>
      <c r="C658" s="926"/>
      <c r="D658" s="926"/>
      <c r="E658" s="926"/>
      <c r="F658" s="926"/>
      <c r="G658" s="926"/>
      <c r="H658" s="927"/>
      <c r="I658" s="927"/>
      <c r="J658" s="926"/>
      <c r="K658" s="926"/>
    </row>
    <row r="659" spans="1:11" x14ac:dyDescent="0.25">
      <c r="A659" s="928"/>
      <c r="B659" s="926"/>
      <c r="C659" s="926"/>
      <c r="D659" s="926"/>
      <c r="E659" s="926"/>
      <c r="F659" s="926"/>
      <c r="G659" s="926"/>
      <c r="H659" s="927"/>
      <c r="I659" s="927"/>
      <c r="J659" s="926"/>
      <c r="K659" s="926"/>
    </row>
    <row r="660" spans="1:11" x14ac:dyDescent="0.25">
      <c r="A660" s="928"/>
      <c r="B660" s="926"/>
      <c r="C660" s="926"/>
      <c r="D660" s="926"/>
      <c r="E660" s="926"/>
      <c r="F660" s="926"/>
      <c r="G660" s="926"/>
      <c r="H660" s="927"/>
      <c r="I660" s="927"/>
      <c r="J660" s="926"/>
      <c r="K660" s="926"/>
    </row>
    <row r="661" spans="1:11" x14ac:dyDescent="0.25">
      <c r="A661" s="928"/>
      <c r="B661" s="926"/>
      <c r="C661" s="926"/>
      <c r="D661" s="926"/>
      <c r="E661" s="926"/>
      <c r="F661" s="926"/>
      <c r="G661" s="926"/>
      <c r="H661" s="927"/>
      <c r="I661" s="927"/>
      <c r="J661" s="926"/>
      <c r="K661" s="926"/>
    </row>
    <row r="662" spans="1:11" x14ac:dyDescent="0.25">
      <c r="A662" s="928"/>
      <c r="B662" s="926"/>
      <c r="C662" s="926"/>
      <c r="D662" s="926"/>
      <c r="E662" s="926"/>
      <c r="F662" s="926"/>
      <c r="G662" s="926"/>
      <c r="H662" s="927"/>
      <c r="I662" s="927"/>
      <c r="J662" s="926"/>
      <c r="K662" s="926"/>
    </row>
    <row r="663" spans="1:11" x14ac:dyDescent="0.25">
      <c r="A663" s="928"/>
      <c r="B663" s="926"/>
      <c r="C663" s="926"/>
      <c r="D663" s="926"/>
      <c r="E663" s="926"/>
      <c r="F663" s="926"/>
      <c r="G663" s="926"/>
      <c r="H663" s="927"/>
      <c r="I663" s="927"/>
      <c r="J663" s="926"/>
      <c r="K663" s="926"/>
    </row>
    <row r="664" spans="1:11" x14ac:dyDescent="0.25">
      <c r="A664" s="928"/>
      <c r="B664" s="926"/>
      <c r="C664" s="926"/>
      <c r="D664" s="926"/>
      <c r="E664" s="926"/>
      <c r="F664" s="926"/>
      <c r="G664" s="926"/>
      <c r="H664" s="927"/>
      <c r="I664" s="927"/>
      <c r="J664" s="926"/>
      <c r="K664" s="926"/>
    </row>
    <row r="665" spans="1:11" x14ac:dyDescent="0.25">
      <c r="A665" s="928"/>
      <c r="B665" s="926"/>
      <c r="C665" s="926"/>
      <c r="D665" s="926"/>
      <c r="E665" s="926"/>
      <c r="F665" s="926"/>
      <c r="G665" s="926"/>
      <c r="H665" s="927"/>
      <c r="I665" s="927"/>
      <c r="J665" s="926"/>
      <c r="K665" s="926"/>
    </row>
    <row r="666" spans="1:11" x14ac:dyDescent="0.25">
      <c r="A666" s="928"/>
      <c r="B666" s="926"/>
      <c r="C666" s="926"/>
      <c r="D666" s="926"/>
      <c r="E666" s="926"/>
      <c r="F666" s="926"/>
      <c r="G666" s="926"/>
      <c r="H666" s="927"/>
      <c r="I666" s="927"/>
      <c r="J666" s="926"/>
      <c r="K666" s="926"/>
    </row>
    <row r="667" spans="1:11" x14ac:dyDescent="0.25">
      <c r="A667" s="928"/>
      <c r="B667" s="926"/>
      <c r="C667" s="926"/>
      <c r="D667" s="926"/>
      <c r="E667" s="926"/>
      <c r="F667" s="926"/>
      <c r="G667" s="926"/>
      <c r="H667" s="927"/>
      <c r="I667" s="927"/>
      <c r="J667" s="926"/>
      <c r="K667" s="926"/>
    </row>
    <row r="668" spans="1:11" x14ac:dyDescent="0.25">
      <c r="A668" s="928"/>
      <c r="B668" s="926"/>
      <c r="C668" s="926"/>
      <c r="D668" s="926"/>
      <c r="E668" s="926"/>
      <c r="F668" s="926"/>
      <c r="G668" s="926"/>
      <c r="H668" s="927"/>
      <c r="I668" s="927"/>
      <c r="J668" s="926"/>
      <c r="K668" s="926"/>
    </row>
    <row r="669" spans="1:11" x14ac:dyDescent="0.25">
      <c r="A669" s="928"/>
      <c r="B669" s="926"/>
      <c r="C669" s="926"/>
      <c r="D669" s="926"/>
      <c r="E669" s="926"/>
      <c r="F669" s="926"/>
      <c r="G669" s="926"/>
      <c r="H669" s="927"/>
      <c r="I669" s="927"/>
      <c r="J669" s="926"/>
      <c r="K669" s="926"/>
    </row>
    <row r="670" spans="1:11" x14ac:dyDescent="0.25">
      <c r="A670" s="928"/>
      <c r="B670" s="926"/>
      <c r="C670" s="926"/>
      <c r="D670" s="926"/>
      <c r="E670" s="926"/>
      <c r="F670" s="926"/>
      <c r="G670" s="926"/>
      <c r="H670" s="927"/>
      <c r="I670" s="927"/>
      <c r="J670" s="926"/>
      <c r="K670" s="926"/>
    </row>
    <row r="671" spans="1:11" x14ac:dyDescent="0.25">
      <c r="A671" s="928"/>
      <c r="B671" s="926"/>
      <c r="C671" s="926"/>
      <c r="D671" s="926"/>
      <c r="E671" s="926"/>
      <c r="F671" s="926"/>
      <c r="G671" s="926"/>
      <c r="H671" s="927"/>
      <c r="I671" s="927"/>
      <c r="J671" s="926"/>
      <c r="K671" s="926"/>
    </row>
    <row r="672" spans="1:11" x14ac:dyDescent="0.25">
      <c r="A672" s="928"/>
      <c r="B672" s="926"/>
      <c r="C672" s="926"/>
      <c r="D672" s="926"/>
      <c r="E672" s="926"/>
      <c r="F672" s="926"/>
      <c r="G672" s="926"/>
      <c r="H672" s="927"/>
      <c r="I672" s="927"/>
      <c r="J672" s="926"/>
      <c r="K672" s="926"/>
    </row>
    <row r="673" spans="1:11" x14ac:dyDescent="0.25">
      <c r="A673" s="928"/>
      <c r="B673" s="926"/>
      <c r="C673" s="926"/>
      <c r="D673" s="926"/>
      <c r="E673" s="926"/>
      <c r="F673" s="926"/>
      <c r="G673" s="926"/>
      <c r="H673" s="927"/>
      <c r="I673" s="927"/>
      <c r="J673" s="926"/>
      <c r="K673" s="926"/>
    </row>
    <row r="674" spans="1:11" x14ac:dyDescent="0.25">
      <c r="A674" s="928"/>
      <c r="B674" s="926"/>
      <c r="C674" s="926"/>
      <c r="D674" s="926"/>
      <c r="E674" s="926"/>
      <c r="F674" s="926"/>
      <c r="G674" s="926"/>
      <c r="H674" s="927"/>
      <c r="I674" s="927"/>
      <c r="J674" s="926"/>
      <c r="K674" s="926"/>
    </row>
    <row r="675" spans="1:11" x14ac:dyDescent="0.25">
      <c r="A675" s="928"/>
      <c r="B675" s="926"/>
      <c r="C675" s="926"/>
      <c r="D675" s="926"/>
      <c r="E675" s="926"/>
      <c r="F675" s="926"/>
      <c r="G675" s="926"/>
      <c r="H675" s="927"/>
      <c r="I675" s="927"/>
      <c r="J675" s="926"/>
      <c r="K675" s="926"/>
    </row>
    <row r="676" spans="1:11" x14ac:dyDescent="0.25">
      <c r="A676" s="928"/>
      <c r="B676" s="926"/>
      <c r="C676" s="926"/>
      <c r="D676" s="926"/>
      <c r="E676" s="926"/>
      <c r="F676" s="926"/>
      <c r="G676" s="926"/>
      <c r="H676" s="927"/>
      <c r="I676" s="927"/>
      <c r="J676" s="926"/>
      <c r="K676" s="926"/>
    </row>
    <row r="677" spans="1:11" x14ac:dyDescent="0.25">
      <c r="A677" s="928"/>
      <c r="B677" s="926"/>
      <c r="C677" s="926"/>
      <c r="D677" s="926"/>
      <c r="E677" s="926"/>
      <c r="F677" s="926"/>
      <c r="G677" s="926"/>
      <c r="H677" s="927"/>
      <c r="I677" s="927"/>
      <c r="J677" s="926"/>
      <c r="K677" s="926"/>
    </row>
    <row r="678" spans="1:11" x14ac:dyDescent="0.25">
      <c r="A678" s="928"/>
      <c r="B678" s="926"/>
      <c r="C678" s="926"/>
      <c r="D678" s="926"/>
      <c r="E678" s="926"/>
      <c r="F678" s="926"/>
      <c r="G678" s="926"/>
      <c r="H678" s="927"/>
      <c r="I678" s="927"/>
      <c r="J678" s="926"/>
      <c r="K678" s="926"/>
    </row>
    <row r="679" spans="1:11" x14ac:dyDescent="0.25">
      <c r="A679" s="928"/>
      <c r="B679" s="926"/>
      <c r="C679" s="926"/>
      <c r="D679" s="926"/>
      <c r="E679" s="926"/>
      <c r="F679" s="926"/>
      <c r="G679" s="926"/>
      <c r="H679" s="927"/>
      <c r="I679" s="927"/>
      <c r="J679" s="926"/>
      <c r="K679" s="926"/>
    </row>
    <row r="680" spans="1:11" x14ac:dyDescent="0.25">
      <c r="A680" s="928"/>
      <c r="B680" s="926"/>
      <c r="C680" s="926"/>
      <c r="D680" s="926"/>
      <c r="E680" s="926"/>
      <c r="F680" s="926"/>
      <c r="G680" s="926"/>
      <c r="H680" s="927"/>
      <c r="I680" s="927"/>
      <c r="J680" s="926"/>
      <c r="K680" s="926"/>
    </row>
    <row r="681" spans="1:11" x14ac:dyDescent="0.25">
      <c r="A681" s="928"/>
      <c r="B681" s="926"/>
      <c r="C681" s="926"/>
      <c r="D681" s="926"/>
      <c r="E681" s="926"/>
      <c r="F681" s="926"/>
      <c r="G681" s="926"/>
      <c r="H681" s="927"/>
      <c r="I681" s="927"/>
      <c r="J681" s="926"/>
      <c r="K681" s="926"/>
    </row>
    <row r="682" spans="1:11" x14ac:dyDescent="0.25">
      <c r="A682" s="928"/>
      <c r="B682" s="926"/>
      <c r="C682" s="926"/>
      <c r="D682" s="926"/>
      <c r="E682" s="926"/>
      <c r="F682" s="926"/>
      <c r="G682" s="926"/>
      <c r="H682" s="927"/>
      <c r="I682" s="927"/>
      <c r="J682" s="926"/>
      <c r="K682" s="926"/>
    </row>
    <row r="683" spans="1:11" x14ac:dyDescent="0.25">
      <c r="A683" s="928"/>
      <c r="B683" s="926"/>
      <c r="C683" s="926"/>
      <c r="D683" s="926"/>
      <c r="E683" s="926"/>
      <c r="F683" s="926"/>
      <c r="G683" s="926"/>
      <c r="H683" s="927"/>
      <c r="I683" s="927"/>
      <c r="J683" s="926"/>
      <c r="K683" s="926"/>
    </row>
    <row r="684" spans="1:11" x14ac:dyDescent="0.25">
      <c r="A684" s="928"/>
      <c r="B684" s="926"/>
      <c r="C684" s="926"/>
      <c r="D684" s="926"/>
      <c r="E684" s="926"/>
      <c r="F684" s="926"/>
      <c r="G684" s="926"/>
      <c r="H684" s="927"/>
      <c r="I684" s="927"/>
      <c r="J684" s="926"/>
      <c r="K684" s="926"/>
    </row>
    <row r="685" spans="1:11" x14ac:dyDescent="0.25">
      <c r="A685" s="928"/>
      <c r="B685" s="926"/>
      <c r="C685" s="926"/>
      <c r="D685" s="926"/>
      <c r="E685" s="926"/>
      <c r="F685" s="926"/>
      <c r="G685" s="926"/>
      <c r="H685" s="927"/>
      <c r="I685" s="927"/>
      <c r="J685" s="926"/>
      <c r="K685" s="926"/>
    </row>
    <row r="686" spans="1:11" x14ac:dyDescent="0.25">
      <c r="A686" s="928"/>
      <c r="B686" s="926"/>
      <c r="C686" s="926"/>
      <c r="D686" s="926"/>
      <c r="E686" s="926"/>
      <c r="F686" s="926"/>
      <c r="G686" s="926"/>
      <c r="H686" s="927"/>
      <c r="I686" s="927"/>
      <c r="J686" s="926"/>
      <c r="K686" s="926"/>
    </row>
    <row r="687" spans="1:11" x14ac:dyDescent="0.25">
      <c r="A687" s="928"/>
      <c r="B687" s="926"/>
      <c r="C687" s="926"/>
      <c r="D687" s="926"/>
      <c r="E687" s="926"/>
      <c r="F687" s="926"/>
      <c r="G687" s="926"/>
      <c r="H687" s="927"/>
      <c r="I687" s="927"/>
      <c r="J687" s="926"/>
      <c r="K687" s="926"/>
    </row>
    <row r="688" spans="1:11" x14ac:dyDescent="0.25">
      <c r="A688" s="928"/>
      <c r="B688" s="926"/>
      <c r="C688" s="926"/>
      <c r="D688" s="926"/>
      <c r="E688" s="926"/>
      <c r="F688" s="926"/>
      <c r="G688" s="926"/>
      <c r="H688" s="927"/>
      <c r="I688" s="927"/>
      <c r="J688" s="926"/>
      <c r="K688" s="926"/>
    </row>
    <row r="689" spans="1:11" x14ac:dyDescent="0.25">
      <c r="A689" s="929" t="s">
        <v>1012</v>
      </c>
      <c r="B689" s="929" t="s">
        <v>1012</v>
      </c>
      <c r="C689" s="929" t="s">
        <v>1012</v>
      </c>
      <c r="D689" s="929" t="s">
        <v>1012</v>
      </c>
      <c r="E689" s="929" t="s">
        <v>1012</v>
      </c>
      <c r="F689" s="929" t="s">
        <v>1012</v>
      </c>
      <c r="G689" s="929" t="s">
        <v>1012</v>
      </c>
      <c r="H689" s="929" t="s">
        <v>1012</v>
      </c>
      <c r="I689" s="929" t="s">
        <v>1012</v>
      </c>
      <c r="J689" s="929" t="s">
        <v>1012</v>
      </c>
      <c r="K689" s="929" t="s">
        <v>1012</v>
      </c>
    </row>
  </sheetData>
  <sheetProtection algorithmName="SHA-512" hashValue="FXCHLTmlFdYkSPSEtgqO/6XPB0KponbDXBardC1ufgUCHWMOTGm0DB1lpvuw3XFTVkp9Q1a8YzptigrbJihiMw==" saltValue="iU1CqtL1HxGqscnU7hdWcQ==" spinCount="100000" sheet="1" objects="1" scenarios="1" autoFilter="0"/>
  <autoFilter ref="A1:K443" xr:uid="{8D93AE74-C5B9-4ECA-9FB9-E45922B75EA8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106635-b9a8-4f0b-bbd7-d236a8880032" xsi:nil="true"/>
    <lcf76f155ced4ddcb4097134ff3c332f xmlns="2254ba46-2b42-46e2-b1fb-c0e93dfa82a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8AA96A946BC9DE42A81967A6D8625098" ma:contentTypeVersion="18" ma:contentTypeDescription="צור מסמך חדש." ma:contentTypeScope="" ma:versionID="a03d73898847ba546582acbf3caa29fe">
  <xsd:schema xmlns:xsd="http://www.w3.org/2001/XMLSchema" xmlns:xs="http://www.w3.org/2001/XMLSchema" xmlns:p="http://schemas.microsoft.com/office/2006/metadata/properties" xmlns:ns2="2254ba46-2b42-46e2-b1fb-c0e93dfa82a1" xmlns:ns3="ca106635-b9a8-4f0b-bbd7-d236a8880032" targetNamespace="http://schemas.microsoft.com/office/2006/metadata/properties" ma:root="true" ma:fieldsID="101afad9f2b7c3155d16c3fe4aa61cb4" ns2:_="" ns3:_="">
    <xsd:import namespace="2254ba46-2b42-46e2-b1fb-c0e93dfa82a1"/>
    <xsd:import namespace="ca106635-b9a8-4f0b-bbd7-d236a88800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54ba46-2b42-46e2-b1fb-c0e93dfa82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תגיות תמונה" ma:readOnly="false" ma:fieldId="{5cf76f15-5ced-4ddc-b409-7134ff3c332f}" ma:taxonomyMulti="true" ma:sspId="249542c6-2124-448a-992c-07e7ad66b3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106635-b9a8-4f0b-bbd7-d236a888003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1d6ccc7-f785-47c1-8d8a-9e47eee2506d}" ma:internalName="TaxCatchAll" ma:showField="CatchAllData" ma:web="ca106635-b9a8-4f0b-bbd7-d236a88800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84C4D6-AA88-4D6F-991A-93969D57DAD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F76AA49-13A3-4A73-91C3-D9A629646A60}">
  <ds:schemaRefs>
    <ds:schemaRef ds:uri="http://purl.org/dc/elements/1.1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2254ba46-2b42-46e2-b1fb-c0e93dfa82a1"/>
    <ds:schemaRef ds:uri="http://schemas.microsoft.com/office/2006/metadata/properties"/>
    <ds:schemaRef ds:uri="ca106635-b9a8-4f0b-bbd7-d236a8880032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EBA0E5BA-EE87-43E0-B925-8ECD212281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54ba46-2b42-46e2-b1fb-c0e93dfa82a1"/>
    <ds:schemaRef ds:uri="ca106635-b9a8-4f0b-bbd7-d236a88800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25</vt:i4>
      </vt:variant>
      <vt:variant>
        <vt:lpstr>טווחים בעלי שם</vt:lpstr>
      </vt:variant>
      <vt:variant>
        <vt:i4>30</vt:i4>
      </vt:variant>
    </vt:vector>
  </HeadingPairs>
  <TitlesOfParts>
    <vt:vector size="55" baseType="lpstr">
      <vt:lpstr>הדרכה למשתמש</vt:lpstr>
      <vt:lpstr>פרמטרים</vt:lpstr>
      <vt:lpstr>תנאי סף - כלליים</vt:lpstr>
      <vt:lpstr>הוראת שעה</vt:lpstr>
      <vt:lpstr>סיווג</vt:lpstr>
      <vt:lpstr>הרצות</vt:lpstr>
      <vt:lpstr>רקדנים ומבצעים</vt:lpstr>
      <vt:lpstr>מיקום ההרצות</vt:lpstr>
      <vt:lpstr>הכנסות עצמיות</vt:lpstr>
      <vt:lpstr>רמה אומנותית</vt:lpstr>
      <vt:lpstr>התחשיב הבסיסי</vt:lpstr>
      <vt:lpstr>פרמטרים לעקרונות חישוב התמיכה</vt:lpstr>
      <vt:lpstr>מוסדי ותמיכה ממקורות אחרים</vt:lpstr>
      <vt:lpstr>ייצוב</vt:lpstr>
      <vt:lpstr>הגנה</vt:lpstr>
      <vt:lpstr>גירעון - בוטל</vt:lpstr>
      <vt:lpstr>הרכב חברי הוועדה -בוטל</vt:lpstr>
      <vt:lpstr>סיכום</vt:lpstr>
      <vt:lpstr>הגבלה לסכום מבוקש (1)</vt:lpstr>
      <vt:lpstr>קיזוזים בגין איחורים</vt:lpstr>
      <vt:lpstr>קיזוזים- החלטות ועדה</vt:lpstr>
      <vt:lpstr>הגבלה לסכום מבוקש (2)</vt:lpstr>
      <vt:lpstr>סיכום לועדה- הזנת נתונים</vt:lpstr>
      <vt:lpstr>סיכום לועדה - תוצאות</vt:lpstr>
      <vt:lpstr>מרכבה</vt:lpstr>
      <vt:lpstr>פרמטרים!OLE_LINK1</vt:lpstr>
      <vt:lpstr>'גירעון - בוטל'!WPrint_Area_W</vt:lpstr>
      <vt:lpstr>'הגבלה לסכום מבוקש (1)'!WPrint_Area_W</vt:lpstr>
      <vt:lpstr>'הגבלה לסכום מבוקש (2)'!WPrint_Area_W</vt:lpstr>
      <vt:lpstr>הגנה!WPrint_Area_W</vt:lpstr>
      <vt:lpstr>'הדרכה למשתמש'!WPrint_Area_W</vt:lpstr>
      <vt:lpstr>'הכנסות עצמיות'!WPrint_Area_W</vt:lpstr>
      <vt:lpstr>'הרכב חברי הוועדה -בוטל'!WPrint_Area_W</vt:lpstr>
      <vt:lpstr>הרצות!WPrint_Area_W</vt:lpstr>
      <vt:lpstr>'התחשיב הבסיסי'!WPrint_Area_W</vt:lpstr>
      <vt:lpstr>ייצוב!WPrint_Area_W</vt:lpstr>
      <vt:lpstr>'מוסדי ותמיכה ממקורות אחרים'!WPrint_Area_W</vt:lpstr>
      <vt:lpstr>'מיקום ההרצות'!WPrint_Area_W</vt:lpstr>
      <vt:lpstr>סיכום!WPrint_Area_W</vt:lpstr>
      <vt:lpstr>'סיכום לועדה- הזנת נתונים'!WPrint_Area_W</vt:lpstr>
      <vt:lpstr>'סיכום לועדה - תוצאות'!WPrint_Area_W</vt:lpstr>
      <vt:lpstr>'פרמטרים לעקרונות חישוב התמיכה'!WPrint_Area_W</vt:lpstr>
      <vt:lpstr>'קיזוזים- החלטות ועדה'!WPrint_Area_W</vt:lpstr>
      <vt:lpstr>'קיזוזים בגין איחורים'!WPrint_Area_W</vt:lpstr>
      <vt:lpstr>'רמה אומנותית'!WPrint_Area_W</vt:lpstr>
      <vt:lpstr>'רקדנים ומבצעים'!WPrint_Area_W</vt:lpstr>
      <vt:lpstr>'הגבלה לסכום מבוקש (1)'!WPrint_TitlesW</vt:lpstr>
      <vt:lpstr>'הגבלה לסכום מבוקש (2)'!WPrint_TitlesW</vt:lpstr>
      <vt:lpstr>הגנה!WPrint_TitlesW</vt:lpstr>
      <vt:lpstr>'הרכב חברי הוועדה -בוטל'!WPrint_TitlesW</vt:lpstr>
      <vt:lpstr>ייצוב!WPrint_TitlesW</vt:lpstr>
      <vt:lpstr>'מוסדי ותמיכה ממקורות אחרים'!WPrint_TitlesW</vt:lpstr>
      <vt:lpstr>'קיזוזים- החלטות ועדה'!WPrint_TitlesW</vt:lpstr>
      <vt:lpstr>'קיזוזים בגין איחורים'!WPrint_TitlesW</vt:lpstr>
      <vt:lpstr>'תנאי סף - כלליים'!WPrint_TitlesW</vt:lpstr>
    </vt:vector>
  </TitlesOfParts>
  <Manager/>
  <Company>HD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א. חפץ ושות'</dc:creator>
  <cp:keywords/>
  <dc:description/>
  <cp:lastModifiedBy>Shai Zabari</cp:lastModifiedBy>
  <cp:revision/>
  <cp:lastPrinted>2024-08-12T08:30:05Z</cp:lastPrinted>
  <dcterms:created xsi:type="dcterms:W3CDTF">2005-02-10T09:27:24Z</dcterms:created>
  <dcterms:modified xsi:type="dcterms:W3CDTF">2025-11-18T10:20:39Z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ulaDeskUniqueName">
    <vt:lpwstr>83e7a327-e758-47a1-87b8-25f05fecc845</vt:lpwstr>
  </property>
  <property fmtid="{D5CDD505-2E9C-101B-9397-08002B2CF9AE}" pid="3" name="ContentTypeId">
    <vt:lpwstr>0x0101008AA96A946BC9DE42A81967A6D8625098</vt:lpwstr>
  </property>
  <property fmtid="{D5CDD505-2E9C-101B-9397-08002B2CF9AE}" pid="4" name="MediaServiceImageTags">
    <vt:lpwstr/>
  </property>
</Properties>
</file>